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桌面\富力中心ABS\结果\现金流\"/>
    </mc:Choice>
  </mc:AlternateContent>
  <bookViews>
    <workbookView xWindow="0" yWindow="0" windowWidth="19200" windowHeight="11040" tabRatio="559"/>
  </bookViews>
  <sheets>
    <sheet name="总表" sheetId="10" r:id="rId1"/>
    <sheet name="仓储现金流" sheetId="1" r:id="rId2"/>
    <sheet name="地下车库现金流" sheetId="5" r:id="rId3"/>
    <sheet name="地下商业现金流" sheetId="4" r:id="rId4"/>
    <sheet name="地上商业现金流" sheetId="6" r:id="rId5"/>
    <sheet name="取值表" sheetId="7" r:id="rId6"/>
    <sheet name="基础资料" sheetId="3" r:id="rId7"/>
    <sheet name="前3年整理" sheetId="8" r:id="rId8"/>
    <sheet name="Sheet3" sheetId="14" r:id="rId9"/>
    <sheet name="Sheet1" sheetId="11" state="hidden" r:id="rId10"/>
  </sheets>
  <externalReferences>
    <externalReference r:id="rId11"/>
  </externalReferences>
  <definedNames>
    <definedName name="_xlnm._FilterDatabase" localSheetId="1" hidden="1">仓储现金流!$A$1:$CP$74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36" i="10" l="1"/>
  <c r="C36" i="10"/>
  <c r="D36" i="10"/>
  <c r="E36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R36" i="10"/>
  <c r="S36" i="10"/>
  <c r="T36" i="10"/>
  <c r="U36" i="10"/>
  <c r="V36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W36" i="10"/>
  <c r="B39" i="8"/>
  <c r="B38" i="8"/>
  <c r="E415" i="6"/>
  <c r="H398" i="6"/>
  <c r="F398" i="6"/>
  <c r="F396" i="6"/>
  <c r="F397" i="6"/>
  <c r="C35" i="5" l="1"/>
  <c r="X34" i="10"/>
  <c r="X35" i="10"/>
  <c r="C3" i="7" l="1"/>
  <c r="B5" i="7"/>
  <c r="B19" i="7"/>
  <c r="B17" i="7"/>
  <c r="B15" i="7"/>
  <c r="B13" i="7"/>
  <c r="B11" i="7"/>
  <c r="B9" i="7"/>
  <c r="B7" i="7"/>
  <c r="C7" i="7"/>
  <c r="C5" i="7"/>
  <c r="H41" i="8"/>
  <c r="I41" i="8"/>
  <c r="E89" i="4"/>
  <c r="AC89" i="4"/>
  <c r="P11" i="7"/>
  <c r="CL10" i="5"/>
  <c r="J396" i="6"/>
  <c r="K396" i="6" s="1"/>
  <c r="CL9" i="5"/>
  <c r="CK8" i="5"/>
  <c r="CL5" i="5"/>
  <c r="CL3" i="5"/>
  <c r="CL8" i="5"/>
  <c r="BJ369" i="6"/>
  <c r="BN369" i="6"/>
  <c r="BR369" i="6"/>
  <c r="BV369" i="6"/>
  <c r="BZ369" i="6"/>
  <c r="CD369" i="6"/>
  <c r="CH369" i="6"/>
  <c r="CL369" i="6"/>
  <c r="BJ371" i="6"/>
  <c r="BN371" i="6"/>
  <c r="BR371" i="6"/>
  <c r="BV371" i="6"/>
  <c r="BZ371" i="6"/>
  <c r="CD371" i="6"/>
  <c r="CH371" i="6"/>
  <c r="CL371" i="6"/>
  <c r="BJ387" i="6"/>
  <c r="BN387" i="6"/>
  <c r="BR387" i="6"/>
  <c r="BV387" i="6"/>
  <c r="BZ387" i="6"/>
  <c r="CD387" i="6"/>
  <c r="CH387" i="6"/>
  <c r="CL387" i="6"/>
  <c r="BJ389" i="6"/>
  <c r="BN389" i="6"/>
  <c r="BR389" i="6"/>
  <c r="BV389" i="6"/>
  <c r="BZ389" i="6"/>
  <c r="CD389" i="6"/>
  <c r="CH389" i="6"/>
  <c r="CL389" i="6"/>
  <c r="BJ391" i="6"/>
  <c r="BN391" i="6"/>
  <c r="BR391" i="6"/>
  <c r="BV391" i="6"/>
  <c r="BZ391" i="6"/>
  <c r="CD391" i="6"/>
  <c r="CH391" i="6"/>
  <c r="CL391" i="6"/>
  <c r="BJ393" i="6"/>
  <c r="BN393" i="6"/>
  <c r="BR393" i="6"/>
  <c r="BV393" i="6"/>
  <c r="BZ393" i="6"/>
  <c r="CD393" i="6"/>
  <c r="CH393" i="6"/>
  <c r="CL393" i="6"/>
  <c r="AE3" i="4"/>
  <c r="AC3" i="4"/>
  <c r="Z3" i="4"/>
  <c r="CG99" i="4"/>
  <c r="I99" i="4"/>
  <c r="E100" i="4" s="1"/>
  <c r="M99" i="4"/>
  <c r="Q99" i="4"/>
  <c r="U99" i="4"/>
  <c r="Y99" i="4"/>
  <c r="AC99" i="4"/>
  <c r="AG99" i="4"/>
  <c r="AK99" i="4"/>
  <c r="AO99" i="4"/>
  <c r="AK100" i="4" s="1"/>
  <c r="AS99" i="4"/>
  <c r="AW99" i="4"/>
  <c r="AS100" i="4" s="1"/>
  <c r="BA99" i="4"/>
  <c r="BE99" i="4"/>
  <c r="BA100" i="4" s="1"/>
  <c r="BI99" i="4"/>
  <c r="BM99" i="4"/>
  <c r="BI100" i="4" s="1"/>
  <c r="BQ99" i="4"/>
  <c r="BU99" i="4"/>
  <c r="BQ100" i="4" s="1"/>
  <c r="BY99" i="4"/>
  <c r="CC99" i="4"/>
  <c r="BY100" i="4" s="1"/>
  <c r="E99" i="4"/>
  <c r="CH5" i="5"/>
  <c r="I27" i="5"/>
  <c r="E28" i="5" s="1"/>
  <c r="M27" i="5"/>
  <c r="I28" i="5" s="1"/>
  <c r="Q27" i="5"/>
  <c r="U27" i="5"/>
  <c r="Q28" i="5" s="1"/>
  <c r="Y27" i="5"/>
  <c r="AC27" i="5"/>
  <c r="Y28" i="5" s="1"/>
  <c r="AG27" i="5"/>
  <c r="AK27" i="5"/>
  <c r="AG28" i="5" s="1"/>
  <c r="AO27" i="5"/>
  <c r="AS27" i="5"/>
  <c r="AO28" i="5" s="1"/>
  <c r="AW27" i="5"/>
  <c r="BA27" i="5"/>
  <c r="AW28" i="5" s="1"/>
  <c r="BE27" i="5"/>
  <c r="BI27" i="5"/>
  <c r="BE28" i="5" s="1"/>
  <c r="BM27" i="5"/>
  <c r="BQ27" i="5"/>
  <c r="BM28" i="5" s="1"/>
  <c r="BU27" i="5"/>
  <c r="BY27" i="5"/>
  <c r="BU28" i="5" s="1"/>
  <c r="E27" i="5"/>
  <c r="CH73" i="1"/>
  <c r="CH72" i="1"/>
  <c r="CD73" i="1"/>
  <c r="CD72" i="1"/>
  <c r="CC72" i="1"/>
  <c r="CB72" i="1"/>
  <c r="CA72" i="1"/>
  <c r="BZ73" i="1"/>
  <c r="BZ4" i="1"/>
  <c r="BZ5" i="1"/>
  <c r="BZ6" i="1"/>
  <c r="BZ7" i="1"/>
  <c r="BZ8" i="1"/>
  <c r="BZ9" i="1"/>
  <c r="BZ10" i="1"/>
  <c r="BZ11" i="1"/>
  <c r="BZ12" i="1"/>
  <c r="BZ13" i="1"/>
  <c r="BZ14" i="1"/>
  <c r="BZ15" i="1"/>
  <c r="BZ16" i="1"/>
  <c r="BZ17" i="1"/>
  <c r="BZ18" i="1"/>
  <c r="BZ19" i="1"/>
  <c r="BZ20" i="1"/>
  <c r="BZ21" i="1"/>
  <c r="BZ22" i="1"/>
  <c r="BZ23" i="1"/>
  <c r="BZ24" i="1"/>
  <c r="BZ25" i="1"/>
  <c r="BZ26" i="1"/>
  <c r="BZ27" i="1"/>
  <c r="BZ28" i="1"/>
  <c r="BZ29" i="1"/>
  <c r="BZ30" i="1"/>
  <c r="BZ31" i="1"/>
  <c r="BZ32" i="1"/>
  <c r="BZ33" i="1"/>
  <c r="BZ34" i="1"/>
  <c r="BZ35" i="1"/>
  <c r="BZ36" i="1"/>
  <c r="BZ37" i="1"/>
  <c r="BZ38" i="1"/>
  <c r="BZ39" i="1"/>
  <c r="BZ40" i="1"/>
  <c r="BZ41" i="1"/>
  <c r="BZ42" i="1"/>
  <c r="BZ43" i="1"/>
  <c r="BZ44" i="1"/>
  <c r="BZ45" i="1"/>
  <c r="BZ46" i="1"/>
  <c r="BZ47" i="1"/>
  <c r="BZ48" i="1"/>
  <c r="BZ49" i="1"/>
  <c r="BZ50" i="1"/>
  <c r="BZ51" i="1"/>
  <c r="BZ52" i="1"/>
  <c r="BZ53" i="1"/>
  <c r="BZ54" i="1"/>
  <c r="BZ55" i="1"/>
  <c r="BZ56" i="1"/>
  <c r="BZ57" i="1"/>
  <c r="BZ58" i="1"/>
  <c r="BZ59" i="1"/>
  <c r="BZ60" i="1"/>
  <c r="BZ61" i="1"/>
  <c r="BZ62" i="1"/>
  <c r="BZ63" i="1"/>
  <c r="BZ64" i="1"/>
  <c r="BZ65" i="1"/>
  <c r="BZ66" i="1"/>
  <c r="BZ67" i="1"/>
  <c r="BZ68" i="1"/>
  <c r="BZ69" i="1"/>
  <c r="BZ70" i="1"/>
  <c r="BZ71" i="1"/>
  <c r="BZ72" i="1"/>
  <c r="BZ3" i="1"/>
  <c r="CL4" i="1"/>
  <c r="CL6" i="1"/>
  <c r="CL8" i="1"/>
  <c r="CL10" i="1"/>
  <c r="CL12" i="1"/>
  <c r="CL14" i="1"/>
  <c r="CL16" i="1"/>
  <c r="CL18" i="1"/>
  <c r="CL20" i="1"/>
  <c r="CL22" i="1"/>
  <c r="CL24" i="1"/>
  <c r="CL26" i="1"/>
  <c r="CL28" i="1"/>
  <c r="CL30" i="1"/>
  <c r="CL32" i="1"/>
  <c r="CL34" i="1"/>
  <c r="CL36" i="1"/>
  <c r="CL38" i="1"/>
  <c r="CL40" i="1"/>
  <c r="CL42" i="1"/>
  <c r="CL44" i="1"/>
  <c r="CL46" i="1"/>
  <c r="CL48" i="1"/>
  <c r="CL50" i="1"/>
  <c r="CL52" i="1"/>
  <c r="CL54" i="1"/>
  <c r="CL56" i="1"/>
  <c r="CL58" i="1"/>
  <c r="CL60" i="1"/>
  <c r="CL63" i="1"/>
  <c r="CL65" i="1"/>
  <c r="CL67" i="1"/>
  <c r="CL69" i="1"/>
  <c r="CL71" i="1"/>
  <c r="E92" i="1"/>
  <c r="I91" i="1"/>
  <c r="M91" i="1"/>
  <c r="I92" i="1" s="1"/>
  <c r="Q91" i="1"/>
  <c r="U91" i="1"/>
  <c r="Q92" i="1" s="1"/>
  <c r="Y91" i="1"/>
  <c r="AC91" i="1"/>
  <c r="Y92" i="1" s="1"/>
  <c r="AG91" i="1"/>
  <c r="AK91" i="1"/>
  <c r="AG92" i="1" s="1"/>
  <c r="AO91" i="1"/>
  <c r="AS91" i="1"/>
  <c r="AO92" i="1" s="1"/>
  <c r="AW91" i="1"/>
  <c r="BA91" i="1"/>
  <c r="AW92" i="1" s="1"/>
  <c r="BE91" i="1"/>
  <c r="BI91" i="1"/>
  <c r="BE92" i="1" s="1"/>
  <c r="BM91" i="1"/>
  <c r="BQ91" i="1"/>
  <c r="BM92" i="1" s="1"/>
  <c r="E91" i="1"/>
  <c r="N29" i="6"/>
  <c r="P144" i="6"/>
  <c r="P185" i="6"/>
  <c r="P187" i="6"/>
  <c r="P189" i="6"/>
  <c r="P191" i="6"/>
  <c r="P195" i="6"/>
  <c r="P211" i="6"/>
  <c r="P366" i="6"/>
  <c r="P400" i="6"/>
  <c r="M88" i="6"/>
  <c r="N88" i="6" s="1"/>
  <c r="O88" i="6" s="1"/>
  <c r="P88" i="6" s="1"/>
  <c r="AA348" i="6"/>
  <c r="T14" i="5"/>
  <c r="S14" i="5"/>
  <c r="R14" i="5"/>
  <c r="Q14" i="5"/>
  <c r="L14" i="8"/>
  <c r="H28" i="3"/>
  <c r="J26" i="3"/>
  <c r="BU100" i="4" l="1"/>
  <c r="BM100" i="4"/>
  <c r="BE100" i="4"/>
  <c r="AW100" i="4"/>
  <c r="AO100" i="4"/>
  <c r="AG100" i="4"/>
  <c r="Y100" i="4"/>
  <c r="Q100" i="4"/>
  <c r="I100" i="4"/>
  <c r="CC100" i="4"/>
  <c r="BQ28" i="5"/>
  <c r="BI28" i="5"/>
  <c r="BA28" i="5"/>
  <c r="AS28" i="5"/>
  <c r="AK28" i="5"/>
  <c r="AC28" i="5"/>
  <c r="U28" i="5"/>
  <c r="M28" i="5"/>
  <c r="U100" i="4"/>
  <c r="M100" i="4"/>
  <c r="AC100" i="4"/>
  <c r="BI92" i="1"/>
  <c r="BA92" i="1"/>
  <c r="AS92" i="1"/>
  <c r="AK92" i="1"/>
  <c r="AC92" i="1"/>
  <c r="U92" i="1"/>
  <c r="M92" i="1"/>
  <c r="H39" i="8"/>
  <c r="D422" i="6" l="1"/>
  <c r="L17" i="3" l="1"/>
  <c r="L16" i="3"/>
  <c r="K17" i="3"/>
  <c r="F42" i="3"/>
  <c r="K16" i="3"/>
  <c r="K15" i="3"/>
  <c r="K14" i="3"/>
  <c r="Z4" i="1" l="1"/>
  <c r="AD4" i="1"/>
  <c r="AH4" i="1"/>
  <c r="AL4" i="1"/>
  <c r="AP4" i="1"/>
  <c r="AT4" i="1"/>
  <c r="AX4" i="1"/>
  <c r="BB4" i="1"/>
  <c r="BF4" i="1"/>
  <c r="BJ4" i="1"/>
  <c r="BN4" i="1"/>
  <c r="BR4" i="1"/>
  <c r="BV4" i="1"/>
  <c r="CD4" i="1"/>
  <c r="CH4" i="1"/>
  <c r="Z6" i="1"/>
  <c r="AD6" i="1"/>
  <c r="AH6" i="1"/>
  <c r="AL6" i="1"/>
  <c r="AP6" i="1"/>
  <c r="AT6" i="1"/>
  <c r="AX6" i="1"/>
  <c r="BB6" i="1"/>
  <c r="BF6" i="1"/>
  <c r="BJ6" i="1"/>
  <c r="BN6" i="1"/>
  <c r="BR6" i="1"/>
  <c r="BV6" i="1"/>
  <c r="CD6" i="1"/>
  <c r="CH6" i="1"/>
  <c r="Z8" i="1"/>
  <c r="AD8" i="1"/>
  <c r="AH8" i="1"/>
  <c r="AL8" i="1"/>
  <c r="AP8" i="1"/>
  <c r="AT8" i="1"/>
  <c r="AX8" i="1"/>
  <c r="BB8" i="1"/>
  <c r="BF8" i="1"/>
  <c r="BJ8" i="1"/>
  <c r="BN8" i="1"/>
  <c r="BR8" i="1"/>
  <c r="BV8" i="1"/>
  <c r="CD8" i="1"/>
  <c r="CH8" i="1"/>
  <c r="Z10" i="1"/>
  <c r="AD10" i="1"/>
  <c r="AH10" i="1"/>
  <c r="AL10" i="1"/>
  <c r="AP10" i="1"/>
  <c r="AT10" i="1"/>
  <c r="AX10" i="1"/>
  <c r="BB10" i="1"/>
  <c r="BF10" i="1"/>
  <c r="BJ10" i="1"/>
  <c r="BN10" i="1"/>
  <c r="BR10" i="1"/>
  <c r="BV10" i="1"/>
  <c r="CD10" i="1"/>
  <c r="CH10" i="1"/>
  <c r="Z12" i="1"/>
  <c r="AD12" i="1"/>
  <c r="AH12" i="1"/>
  <c r="AL12" i="1"/>
  <c r="AP12" i="1"/>
  <c r="AT12" i="1"/>
  <c r="AX12" i="1"/>
  <c r="BB12" i="1"/>
  <c r="BF12" i="1"/>
  <c r="BJ12" i="1"/>
  <c r="BN12" i="1"/>
  <c r="BR12" i="1"/>
  <c r="BV12" i="1"/>
  <c r="CD12" i="1"/>
  <c r="CH12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CD14" i="1"/>
  <c r="CH14" i="1"/>
  <c r="Z16" i="1"/>
  <c r="AD16" i="1"/>
  <c r="AH16" i="1"/>
  <c r="AL16" i="1"/>
  <c r="AP16" i="1"/>
  <c r="AT16" i="1"/>
  <c r="AX16" i="1"/>
  <c r="BB16" i="1"/>
  <c r="BF16" i="1"/>
  <c r="BJ16" i="1"/>
  <c r="BN16" i="1"/>
  <c r="BR16" i="1"/>
  <c r="BV16" i="1"/>
  <c r="CD16" i="1"/>
  <c r="CH16" i="1"/>
  <c r="Z18" i="1"/>
  <c r="AD18" i="1"/>
  <c r="AH18" i="1"/>
  <c r="AL18" i="1"/>
  <c r="AP18" i="1"/>
  <c r="AT18" i="1"/>
  <c r="AX18" i="1"/>
  <c r="BB18" i="1"/>
  <c r="BF18" i="1"/>
  <c r="BJ18" i="1"/>
  <c r="BN18" i="1"/>
  <c r="BR18" i="1"/>
  <c r="BV18" i="1"/>
  <c r="CD18" i="1"/>
  <c r="CH18" i="1"/>
  <c r="Z20" i="1"/>
  <c r="AD20" i="1"/>
  <c r="AH20" i="1"/>
  <c r="AL20" i="1"/>
  <c r="AP20" i="1"/>
  <c r="AT20" i="1"/>
  <c r="AX20" i="1"/>
  <c r="BB20" i="1"/>
  <c r="BF20" i="1"/>
  <c r="BJ20" i="1"/>
  <c r="BN20" i="1"/>
  <c r="BR20" i="1"/>
  <c r="BV20" i="1"/>
  <c r="CD20" i="1"/>
  <c r="CH20" i="1"/>
  <c r="Z22" i="1"/>
  <c r="AD22" i="1"/>
  <c r="AH22" i="1"/>
  <c r="AL22" i="1"/>
  <c r="AP22" i="1"/>
  <c r="AT22" i="1"/>
  <c r="AX22" i="1"/>
  <c r="BB22" i="1"/>
  <c r="BF22" i="1"/>
  <c r="BJ22" i="1"/>
  <c r="BN22" i="1"/>
  <c r="BR22" i="1"/>
  <c r="BV22" i="1"/>
  <c r="CD22" i="1"/>
  <c r="CH22" i="1"/>
  <c r="Z24" i="1"/>
  <c r="AD24" i="1"/>
  <c r="AH24" i="1"/>
  <c r="AL24" i="1"/>
  <c r="AP24" i="1"/>
  <c r="AT24" i="1"/>
  <c r="AX24" i="1"/>
  <c r="BB24" i="1"/>
  <c r="BF24" i="1"/>
  <c r="BJ24" i="1"/>
  <c r="BN24" i="1"/>
  <c r="BR24" i="1"/>
  <c r="BV24" i="1"/>
  <c r="CD24" i="1"/>
  <c r="CH24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CD26" i="1"/>
  <c r="CH26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BV28" i="1"/>
  <c r="CD28" i="1"/>
  <c r="CH28" i="1"/>
  <c r="Z30" i="1"/>
  <c r="AD30" i="1"/>
  <c r="AH30" i="1"/>
  <c r="AL30" i="1"/>
  <c r="AP30" i="1"/>
  <c r="AT30" i="1"/>
  <c r="AX30" i="1"/>
  <c r="BB30" i="1"/>
  <c r="BF30" i="1"/>
  <c r="BJ30" i="1"/>
  <c r="BN30" i="1"/>
  <c r="BR30" i="1"/>
  <c r="BV30" i="1"/>
  <c r="CD30" i="1"/>
  <c r="CH30" i="1"/>
  <c r="Z32" i="1"/>
  <c r="AD32" i="1"/>
  <c r="AH32" i="1"/>
  <c r="AL32" i="1"/>
  <c r="AP32" i="1"/>
  <c r="AT32" i="1"/>
  <c r="AX32" i="1"/>
  <c r="BB32" i="1"/>
  <c r="BF32" i="1"/>
  <c r="BJ32" i="1"/>
  <c r="BN32" i="1"/>
  <c r="BR32" i="1"/>
  <c r="BV32" i="1"/>
  <c r="CD32" i="1"/>
  <c r="CH32" i="1"/>
  <c r="Z34" i="1"/>
  <c r="AD34" i="1"/>
  <c r="AH34" i="1"/>
  <c r="AL34" i="1"/>
  <c r="AP34" i="1"/>
  <c r="AT34" i="1"/>
  <c r="AX34" i="1"/>
  <c r="BB34" i="1"/>
  <c r="BF34" i="1"/>
  <c r="BJ34" i="1"/>
  <c r="BN34" i="1"/>
  <c r="BR34" i="1"/>
  <c r="BV34" i="1"/>
  <c r="CD34" i="1"/>
  <c r="CH34" i="1"/>
  <c r="Z36" i="1"/>
  <c r="AD36" i="1"/>
  <c r="AH36" i="1"/>
  <c r="AL36" i="1"/>
  <c r="AP36" i="1"/>
  <c r="AT36" i="1"/>
  <c r="AX36" i="1"/>
  <c r="BB36" i="1"/>
  <c r="BF36" i="1"/>
  <c r="BJ36" i="1"/>
  <c r="BN36" i="1"/>
  <c r="BR36" i="1"/>
  <c r="BV36" i="1"/>
  <c r="CD36" i="1"/>
  <c r="CH36" i="1"/>
  <c r="Z38" i="1"/>
  <c r="AD38" i="1"/>
  <c r="AH38" i="1"/>
  <c r="AL38" i="1"/>
  <c r="AP38" i="1"/>
  <c r="AT38" i="1"/>
  <c r="AX38" i="1"/>
  <c r="BB38" i="1"/>
  <c r="BF38" i="1"/>
  <c r="BJ38" i="1"/>
  <c r="BN38" i="1"/>
  <c r="BR38" i="1"/>
  <c r="BV38" i="1"/>
  <c r="CD38" i="1"/>
  <c r="CH38" i="1"/>
  <c r="Z40" i="1"/>
  <c r="AD40" i="1"/>
  <c r="AH40" i="1"/>
  <c r="AL40" i="1"/>
  <c r="AP40" i="1"/>
  <c r="AT40" i="1"/>
  <c r="AX40" i="1"/>
  <c r="BB40" i="1"/>
  <c r="BF40" i="1"/>
  <c r="BJ40" i="1"/>
  <c r="BN40" i="1"/>
  <c r="BR40" i="1"/>
  <c r="BV40" i="1"/>
  <c r="CD40" i="1"/>
  <c r="CH40" i="1"/>
  <c r="Z42" i="1"/>
  <c r="AD42" i="1"/>
  <c r="AH42" i="1"/>
  <c r="AL42" i="1"/>
  <c r="AP42" i="1"/>
  <c r="AT42" i="1"/>
  <c r="AX42" i="1"/>
  <c r="BB42" i="1"/>
  <c r="BF42" i="1"/>
  <c r="BJ42" i="1"/>
  <c r="BN42" i="1"/>
  <c r="BR42" i="1"/>
  <c r="BV42" i="1"/>
  <c r="CD42" i="1"/>
  <c r="CH42" i="1"/>
  <c r="Z44" i="1"/>
  <c r="AD44" i="1"/>
  <c r="AH44" i="1"/>
  <c r="AL44" i="1"/>
  <c r="AP44" i="1"/>
  <c r="AT44" i="1"/>
  <c r="AX44" i="1"/>
  <c r="BB44" i="1"/>
  <c r="BF44" i="1"/>
  <c r="BJ44" i="1"/>
  <c r="BN44" i="1"/>
  <c r="BR44" i="1"/>
  <c r="BV44" i="1"/>
  <c r="CD44" i="1"/>
  <c r="CH44" i="1"/>
  <c r="Z46" i="1"/>
  <c r="AD46" i="1"/>
  <c r="AH46" i="1"/>
  <c r="AL46" i="1"/>
  <c r="AP46" i="1"/>
  <c r="AT46" i="1"/>
  <c r="AX46" i="1"/>
  <c r="BB46" i="1"/>
  <c r="BF46" i="1"/>
  <c r="BJ46" i="1"/>
  <c r="BN46" i="1"/>
  <c r="BR46" i="1"/>
  <c r="BV46" i="1"/>
  <c r="CD46" i="1"/>
  <c r="CH46" i="1"/>
  <c r="Z48" i="1"/>
  <c r="AD48" i="1"/>
  <c r="AH48" i="1"/>
  <c r="AL48" i="1"/>
  <c r="AP48" i="1"/>
  <c r="AT48" i="1"/>
  <c r="AX48" i="1"/>
  <c r="BB48" i="1"/>
  <c r="BF48" i="1"/>
  <c r="BJ48" i="1"/>
  <c r="BN48" i="1"/>
  <c r="BR48" i="1"/>
  <c r="BV48" i="1"/>
  <c r="CD48" i="1"/>
  <c r="CH48" i="1"/>
  <c r="Z50" i="1"/>
  <c r="AD50" i="1"/>
  <c r="AH50" i="1"/>
  <c r="AL50" i="1"/>
  <c r="AP50" i="1"/>
  <c r="AT50" i="1"/>
  <c r="AX50" i="1"/>
  <c r="BB50" i="1"/>
  <c r="BF50" i="1"/>
  <c r="BJ50" i="1"/>
  <c r="BN50" i="1"/>
  <c r="BR50" i="1"/>
  <c r="BV50" i="1"/>
  <c r="CD50" i="1"/>
  <c r="CH50" i="1"/>
  <c r="Z52" i="1"/>
  <c r="AD52" i="1"/>
  <c r="AH52" i="1"/>
  <c r="AL52" i="1"/>
  <c r="AP52" i="1"/>
  <c r="AT52" i="1"/>
  <c r="AX52" i="1"/>
  <c r="BB52" i="1"/>
  <c r="BF52" i="1"/>
  <c r="BJ52" i="1"/>
  <c r="BN52" i="1"/>
  <c r="BR52" i="1"/>
  <c r="BV52" i="1"/>
  <c r="CD52" i="1"/>
  <c r="CH52" i="1"/>
  <c r="Z54" i="1"/>
  <c r="AD54" i="1"/>
  <c r="AH54" i="1"/>
  <c r="AL54" i="1"/>
  <c r="AP54" i="1"/>
  <c r="AT54" i="1"/>
  <c r="AX54" i="1"/>
  <c r="BB54" i="1"/>
  <c r="BF54" i="1"/>
  <c r="BJ54" i="1"/>
  <c r="BN54" i="1"/>
  <c r="BR54" i="1"/>
  <c r="BV54" i="1"/>
  <c r="CD54" i="1"/>
  <c r="CH54" i="1"/>
  <c r="Z56" i="1"/>
  <c r="AD56" i="1"/>
  <c r="AH56" i="1"/>
  <c r="AL56" i="1"/>
  <c r="AP56" i="1"/>
  <c r="AT56" i="1"/>
  <c r="AX56" i="1"/>
  <c r="BB56" i="1"/>
  <c r="BF56" i="1"/>
  <c r="BJ56" i="1"/>
  <c r="BN56" i="1"/>
  <c r="BR56" i="1"/>
  <c r="BV56" i="1"/>
  <c r="CD56" i="1"/>
  <c r="CH56" i="1"/>
  <c r="Z58" i="1"/>
  <c r="AD58" i="1"/>
  <c r="AH58" i="1"/>
  <c r="AL58" i="1"/>
  <c r="AP58" i="1"/>
  <c r="AT58" i="1"/>
  <c r="AX58" i="1"/>
  <c r="BB58" i="1"/>
  <c r="BF58" i="1"/>
  <c r="BJ58" i="1"/>
  <c r="BN58" i="1"/>
  <c r="BR58" i="1"/>
  <c r="BV58" i="1"/>
  <c r="CD58" i="1"/>
  <c r="CH58" i="1"/>
  <c r="Z60" i="1"/>
  <c r="AD60" i="1"/>
  <c r="AH60" i="1"/>
  <c r="AL60" i="1"/>
  <c r="AP60" i="1"/>
  <c r="AT60" i="1"/>
  <c r="AX60" i="1"/>
  <c r="BB60" i="1"/>
  <c r="BF60" i="1"/>
  <c r="BJ60" i="1"/>
  <c r="BN60" i="1"/>
  <c r="BR60" i="1"/>
  <c r="BV60" i="1"/>
  <c r="CD60" i="1"/>
  <c r="CH60" i="1"/>
  <c r="Z63" i="1"/>
  <c r="AD63" i="1"/>
  <c r="AH63" i="1"/>
  <c r="AL63" i="1"/>
  <c r="AP63" i="1"/>
  <c r="AT63" i="1"/>
  <c r="AX63" i="1"/>
  <c r="BB63" i="1"/>
  <c r="BF63" i="1"/>
  <c r="BJ63" i="1"/>
  <c r="BN63" i="1"/>
  <c r="BR63" i="1"/>
  <c r="BV63" i="1"/>
  <c r="CD63" i="1"/>
  <c r="CH63" i="1"/>
  <c r="Z65" i="1"/>
  <c r="AD65" i="1"/>
  <c r="AH65" i="1"/>
  <c r="AL65" i="1"/>
  <c r="AP65" i="1"/>
  <c r="AT65" i="1"/>
  <c r="AX65" i="1"/>
  <c r="BB65" i="1"/>
  <c r="BF65" i="1"/>
  <c r="BJ65" i="1"/>
  <c r="BN65" i="1"/>
  <c r="BR65" i="1"/>
  <c r="BV65" i="1"/>
  <c r="CD65" i="1"/>
  <c r="CH65" i="1"/>
  <c r="Z67" i="1"/>
  <c r="AD67" i="1"/>
  <c r="AH67" i="1"/>
  <c r="AL67" i="1"/>
  <c r="AP67" i="1"/>
  <c r="AT67" i="1"/>
  <c r="AX67" i="1"/>
  <c r="BB67" i="1"/>
  <c r="BF67" i="1"/>
  <c r="BJ67" i="1"/>
  <c r="BN67" i="1"/>
  <c r="BR67" i="1"/>
  <c r="BV67" i="1"/>
  <c r="CD67" i="1"/>
  <c r="CH67" i="1"/>
  <c r="Z69" i="1"/>
  <c r="AD69" i="1"/>
  <c r="AH69" i="1"/>
  <c r="AL69" i="1"/>
  <c r="AP69" i="1"/>
  <c r="AT69" i="1"/>
  <c r="AX69" i="1"/>
  <c r="BB69" i="1"/>
  <c r="BF69" i="1"/>
  <c r="BJ69" i="1"/>
  <c r="BN69" i="1"/>
  <c r="BR69" i="1"/>
  <c r="BV69" i="1"/>
  <c r="CD69" i="1"/>
  <c r="CH69" i="1"/>
  <c r="V4" i="1"/>
  <c r="V6" i="1"/>
  <c r="V8" i="1"/>
  <c r="V10" i="1"/>
  <c r="V12" i="1"/>
  <c r="V14" i="1"/>
  <c r="V16" i="1"/>
  <c r="V18" i="1"/>
  <c r="V20" i="1"/>
  <c r="V22" i="1"/>
  <c r="V24" i="1"/>
  <c r="V26" i="1"/>
  <c r="V28" i="1"/>
  <c r="V30" i="1"/>
  <c r="V32" i="1"/>
  <c r="V34" i="1"/>
  <c r="V36" i="1"/>
  <c r="V38" i="1"/>
  <c r="V40" i="1"/>
  <c r="V42" i="1"/>
  <c r="V44" i="1"/>
  <c r="V46" i="1"/>
  <c r="V48" i="1"/>
  <c r="V50" i="1"/>
  <c r="V52" i="1"/>
  <c r="V54" i="1"/>
  <c r="V56" i="1"/>
  <c r="V58" i="1"/>
  <c r="V60" i="1"/>
  <c r="V63" i="1"/>
  <c r="V65" i="1"/>
  <c r="V67" i="1"/>
  <c r="V69" i="1"/>
  <c r="F73" i="1" l="1"/>
  <c r="H72" i="1"/>
  <c r="H73" i="1" s="1"/>
  <c r="G73" i="1" s="1"/>
  <c r="F72" i="1"/>
  <c r="C28" i="7"/>
  <c r="C26" i="7"/>
  <c r="C24" i="7"/>
  <c r="C22" i="7"/>
  <c r="C20" i="7"/>
  <c r="C18" i="7"/>
  <c r="C16" i="7"/>
  <c r="C14" i="7"/>
  <c r="C12" i="7"/>
  <c r="C10" i="7"/>
  <c r="C8" i="7"/>
  <c r="C6" i="7"/>
  <c r="E409" i="6"/>
  <c r="F409" i="6" s="1"/>
  <c r="G409" i="6" s="1"/>
  <c r="H409" i="6" s="1"/>
  <c r="I409" i="6" s="1"/>
  <c r="J409" i="6" s="1"/>
  <c r="K409" i="6" s="1"/>
  <c r="L409" i="6" s="1"/>
  <c r="M409" i="6" s="1"/>
  <c r="N409" i="6" s="1"/>
  <c r="O409" i="6" s="1"/>
  <c r="E94" i="4"/>
  <c r="F94" i="4" s="1"/>
  <c r="G94" i="4" s="1"/>
  <c r="H94" i="4" s="1"/>
  <c r="I94" i="4" s="1"/>
  <c r="J94" i="4" s="1"/>
  <c r="K94" i="4" s="1"/>
  <c r="L94" i="4" s="1"/>
  <c r="M94" i="4" s="1"/>
  <c r="N94" i="4" s="1"/>
  <c r="O94" i="4" s="1"/>
  <c r="P94" i="4" s="1"/>
  <c r="Q94" i="4" s="1"/>
  <c r="R94" i="4" s="1"/>
  <c r="S94" i="4" s="1"/>
  <c r="T94" i="4" s="1"/>
  <c r="U94" i="4" s="1"/>
  <c r="V94" i="4" s="1"/>
  <c r="W94" i="4" s="1"/>
  <c r="X94" i="4" s="1"/>
  <c r="Y94" i="4" s="1"/>
  <c r="Z94" i="4" s="1"/>
  <c r="AA94" i="4" s="1"/>
  <c r="AB94" i="4" s="1"/>
  <c r="AC94" i="4" s="1"/>
  <c r="AD94" i="4" s="1"/>
  <c r="AE94" i="4" s="1"/>
  <c r="AF94" i="4" s="1"/>
  <c r="AG94" i="4" s="1"/>
  <c r="AH94" i="4" s="1"/>
  <c r="AI94" i="4" s="1"/>
  <c r="AJ94" i="4" s="1"/>
  <c r="AK94" i="4" s="1"/>
  <c r="AL94" i="4" s="1"/>
  <c r="AM94" i="4" s="1"/>
  <c r="AN94" i="4" s="1"/>
  <c r="AO94" i="4" s="1"/>
  <c r="AP94" i="4" s="1"/>
  <c r="AQ94" i="4" s="1"/>
  <c r="AR94" i="4" s="1"/>
  <c r="AS94" i="4" s="1"/>
  <c r="AT94" i="4" s="1"/>
  <c r="AU94" i="4" s="1"/>
  <c r="AV94" i="4" s="1"/>
  <c r="AW94" i="4" s="1"/>
  <c r="AX94" i="4" s="1"/>
  <c r="AY94" i="4" s="1"/>
  <c r="AZ94" i="4" s="1"/>
  <c r="BA94" i="4" s="1"/>
  <c r="BB94" i="4" s="1"/>
  <c r="BC94" i="4" s="1"/>
  <c r="BD94" i="4" s="1"/>
  <c r="BE94" i="4" s="1"/>
  <c r="BF94" i="4" s="1"/>
  <c r="BG94" i="4" s="1"/>
  <c r="BH94" i="4" s="1"/>
  <c r="BI94" i="4" s="1"/>
  <c r="BJ94" i="4" s="1"/>
  <c r="BK94" i="4" s="1"/>
  <c r="BL94" i="4" s="1"/>
  <c r="BM94" i="4" s="1"/>
  <c r="BN94" i="4" s="1"/>
  <c r="BO94" i="4" s="1"/>
  <c r="BP94" i="4" s="1"/>
  <c r="BQ94" i="4" s="1"/>
  <c r="BR94" i="4" s="1"/>
  <c r="BS94" i="4" s="1"/>
  <c r="BT94" i="4" s="1"/>
  <c r="BU94" i="4" s="1"/>
  <c r="BV94" i="4" s="1"/>
  <c r="BW94" i="4" s="1"/>
  <c r="BX94" i="4" s="1"/>
  <c r="BY94" i="4" s="1"/>
  <c r="BZ94" i="4" s="1"/>
  <c r="CA94" i="4" s="1"/>
  <c r="CB94" i="4" s="1"/>
  <c r="CC94" i="4" s="1"/>
  <c r="CD94" i="4" s="1"/>
  <c r="CE94" i="4" s="1"/>
  <c r="CF94" i="4" s="1"/>
  <c r="CG94" i="4" s="1"/>
  <c r="CH94" i="4" s="1"/>
  <c r="CI94" i="4" s="1"/>
  <c r="CJ94" i="4" s="1"/>
  <c r="E21" i="5"/>
  <c r="F21" i="5" s="1"/>
  <c r="F74" i="1" l="1"/>
  <c r="D97" i="1"/>
  <c r="P409" i="6"/>
  <c r="Q409" i="6" s="1"/>
  <c r="R409" i="6" s="1"/>
  <c r="S409" i="6" s="1"/>
  <c r="T409" i="6" s="1"/>
  <c r="U409" i="6" s="1"/>
  <c r="V409" i="6" s="1"/>
  <c r="W409" i="6" s="1"/>
  <c r="X409" i="6" s="1"/>
  <c r="Y409" i="6" s="1"/>
  <c r="Z409" i="6" s="1"/>
  <c r="AA409" i="6" s="1"/>
  <c r="AB409" i="6" s="1"/>
  <c r="AC409" i="6" s="1"/>
  <c r="AD409" i="6" s="1"/>
  <c r="AE409" i="6" s="1"/>
  <c r="AF409" i="6" s="1"/>
  <c r="AG409" i="6" s="1"/>
  <c r="AH409" i="6" s="1"/>
  <c r="AI409" i="6" s="1"/>
  <c r="AJ409" i="6" s="1"/>
  <c r="AK409" i="6" s="1"/>
  <c r="AL409" i="6" s="1"/>
  <c r="AM409" i="6" s="1"/>
  <c r="AN409" i="6" s="1"/>
  <c r="AO409" i="6" s="1"/>
  <c r="AP409" i="6" s="1"/>
  <c r="AQ409" i="6" s="1"/>
  <c r="AR409" i="6" s="1"/>
  <c r="AS409" i="6" s="1"/>
  <c r="AT409" i="6" s="1"/>
  <c r="AU409" i="6" s="1"/>
  <c r="AV409" i="6" s="1"/>
  <c r="AW409" i="6" s="1"/>
  <c r="AX409" i="6" s="1"/>
  <c r="AY409" i="6" s="1"/>
  <c r="AZ409" i="6" s="1"/>
  <c r="BA409" i="6" s="1"/>
  <c r="BB409" i="6" s="1"/>
  <c r="BC409" i="6" s="1"/>
  <c r="BD409" i="6" s="1"/>
  <c r="BE409" i="6" s="1"/>
  <c r="BF409" i="6" s="1"/>
  <c r="BG409" i="6" s="1"/>
  <c r="BH409" i="6" s="1"/>
  <c r="BI409" i="6" s="1"/>
  <c r="BJ409" i="6" s="1"/>
  <c r="BK409" i="6" s="1"/>
  <c r="BL409" i="6" s="1"/>
  <c r="BM409" i="6" s="1"/>
  <c r="BN409" i="6" s="1"/>
  <c r="BO409" i="6" s="1"/>
  <c r="BP409" i="6" s="1"/>
  <c r="BQ409" i="6" s="1"/>
  <c r="BR409" i="6" s="1"/>
  <c r="BS409" i="6" s="1"/>
  <c r="BT409" i="6" s="1"/>
  <c r="BU409" i="6" s="1"/>
  <c r="BV409" i="6" s="1"/>
  <c r="BW409" i="6" s="1"/>
  <c r="BX409" i="6" s="1"/>
  <c r="BY409" i="6" s="1"/>
  <c r="BZ409" i="6" s="1"/>
  <c r="CA409" i="6" s="1"/>
  <c r="CB409" i="6" s="1"/>
  <c r="CC409" i="6" s="1"/>
  <c r="CD409" i="6" s="1"/>
  <c r="CE409" i="6" s="1"/>
  <c r="CF409" i="6" s="1"/>
  <c r="CG409" i="6" s="1"/>
  <c r="CH409" i="6" s="1"/>
  <c r="CI409" i="6" s="1"/>
  <c r="CJ409" i="6" s="1"/>
  <c r="CK94" i="4"/>
  <c r="G21" i="5"/>
  <c r="CK409" i="6" l="1"/>
  <c r="H21" i="5"/>
  <c r="I21" i="5" l="1"/>
  <c r="J21" i="5" l="1"/>
  <c r="K21" i="5" l="1"/>
  <c r="L21" i="5" l="1"/>
  <c r="M21" i="5" l="1"/>
  <c r="N21" i="5" l="1"/>
  <c r="O21" i="5" l="1"/>
  <c r="P21" i="5" l="1"/>
  <c r="Q21" i="5" l="1"/>
  <c r="R21" i="5" l="1"/>
  <c r="S21" i="5" l="1"/>
  <c r="T21" i="5" l="1"/>
  <c r="U21" i="5" l="1"/>
  <c r="V21" i="5" l="1"/>
  <c r="W21" i="5" l="1"/>
  <c r="X21" i="5" l="1"/>
  <c r="Y21" i="5" l="1"/>
  <c r="Z21" i="5" l="1"/>
  <c r="AA21" i="5" l="1"/>
  <c r="AB21" i="5" l="1"/>
  <c r="AC21" i="5" l="1"/>
  <c r="AD21" i="5" l="1"/>
  <c r="AE21" i="5" l="1"/>
  <c r="AF21" i="5" l="1"/>
  <c r="AG21" i="5" l="1"/>
  <c r="AH21" i="5" l="1"/>
  <c r="AI21" i="5" l="1"/>
  <c r="AJ21" i="5" l="1"/>
  <c r="AK21" i="5" l="1"/>
  <c r="AL21" i="5" l="1"/>
  <c r="AM21" i="5" l="1"/>
  <c r="AN21" i="5" l="1"/>
  <c r="AO21" i="5" l="1"/>
  <c r="AP21" i="5" l="1"/>
  <c r="AQ21" i="5" l="1"/>
  <c r="AR21" i="5" l="1"/>
  <c r="AS21" i="5" l="1"/>
  <c r="AT21" i="5" l="1"/>
  <c r="AU21" i="5" l="1"/>
  <c r="AV21" i="5" l="1"/>
  <c r="AW21" i="5" l="1"/>
  <c r="AX21" i="5" l="1"/>
  <c r="AY21" i="5" l="1"/>
  <c r="AZ21" i="5" l="1"/>
  <c r="BA21" i="5" l="1"/>
  <c r="BB21" i="5" l="1"/>
  <c r="BC21" i="5" l="1"/>
  <c r="BD21" i="5" l="1"/>
  <c r="BE21" i="5" l="1"/>
  <c r="BF21" i="5" l="1"/>
  <c r="BG21" i="5" l="1"/>
  <c r="BH21" i="5" l="1"/>
  <c r="BI21" i="5" l="1"/>
  <c r="BJ21" i="5" l="1"/>
  <c r="BK21" i="5" l="1"/>
  <c r="BL21" i="5" l="1"/>
  <c r="BM21" i="5" l="1"/>
  <c r="BN21" i="5" l="1"/>
  <c r="BO21" i="5" l="1"/>
  <c r="BP21" i="5" l="1"/>
  <c r="BQ21" i="5" l="1"/>
  <c r="BR21" i="5" l="1"/>
  <c r="BS21" i="5" l="1"/>
  <c r="BT21" i="5" l="1"/>
  <c r="BU21" i="5" l="1"/>
  <c r="BV21" i="5" l="1"/>
  <c r="BW21" i="5" l="1"/>
  <c r="BX21" i="5" l="1"/>
  <c r="BY21" i="5" l="1"/>
  <c r="BZ21" i="5" l="1"/>
  <c r="CA21" i="5" l="1"/>
  <c r="CB21" i="5" l="1"/>
  <c r="CC21" i="5" l="1"/>
  <c r="CD21" i="5" l="1"/>
  <c r="CE21" i="5" l="1"/>
  <c r="CF21" i="5" l="1"/>
  <c r="CG21" i="5" l="1"/>
  <c r="CH21" i="5" l="1"/>
  <c r="CI21" i="5" l="1"/>
  <c r="CJ21" i="5" l="1"/>
  <c r="CK21" i="5" l="1"/>
  <c r="H14" i="5" l="1"/>
  <c r="G14" i="5"/>
  <c r="F14" i="5"/>
  <c r="E14" i="5"/>
  <c r="F8" i="5" l="1"/>
  <c r="G34" i="8"/>
  <c r="H34" i="8"/>
  <c r="I34" i="8"/>
  <c r="I82" i="4" l="1"/>
  <c r="B53" i="8"/>
  <c r="B16" i="7"/>
  <c r="B14" i="7"/>
  <c r="CI3" i="10"/>
  <c r="P3" i="4"/>
  <c r="D18" i="7"/>
  <c r="E18" i="7" s="1"/>
  <c r="D4" i="7"/>
  <c r="E4" i="7" s="1"/>
  <c r="D2" i="7"/>
  <c r="E2" i="7" s="1"/>
  <c r="B2" i="7"/>
  <c r="B20" i="7"/>
  <c r="B22" i="7"/>
  <c r="B24" i="7" s="1"/>
  <c r="B26" i="7" s="1"/>
  <c r="B28" i="7" s="1"/>
  <c r="B6" i="7"/>
  <c r="B18" i="7"/>
  <c r="U28" i="8"/>
  <c r="S28" i="8"/>
  <c r="E28" i="8"/>
  <c r="I37" i="8"/>
  <c r="I36" i="8"/>
  <c r="H36" i="8"/>
  <c r="G36" i="8"/>
  <c r="G35" i="8"/>
  <c r="H35" i="8"/>
  <c r="I53" i="8"/>
  <c r="B54" i="8"/>
  <c r="B55" i="8" s="1"/>
  <c r="D53" i="8"/>
  <c r="C53" i="8"/>
  <c r="J54" i="8"/>
  <c r="H54" i="8"/>
  <c r="H53" i="8"/>
  <c r="G53" i="8"/>
  <c r="C54" i="8" l="1"/>
  <c r="D54" i="8" s="1"/>
  <c r="D55" i="8" s="1"/>
  <c r="C55" i="8"/>
  <c r="E55" i="8" s="1"/>
  <c r="G2" i="7" s="1"/>
  <c r="L2" i="7"/>
  <c r="H23" i="8"/>
  <c r="I23" i="8"/>
  <c r="J23" i="8" s="1"/>
  <c r="F23" i="8"/>
  <c r="G23" i="8" s="1"/>
  <c r="E23" i="8"/>
  <c r="C23" i="8"/>
  <c r="B23" i="8"/>
  <c r="D23" i="8" s="1"/>
  <c r="K23" i="8" s="1"/>
  <c r="I22" i="8"/>
  <c r="H22" i="8"/>
  <c r="J22" i="8" s="1"/>
  <c r="F22" i="8"/>
  <c r="G22" i="8" s="1"/>
  <c r="E22" i="8"/>
  <c r="C22" i="8"/>
  <c r="B22" i="8"/>
  <c r="D22" i="8" s="1"/>
  <c r="K22" i="8" s="1"/>
  <c r="I2" i="7" l="1"/>
  <c r="G18" i="7"/>
  <c r="I18" i="7" s="1"/>
  <c r="L22" i="8"/>
  <c r="M22" i="8" s="1"/>
  <c r="L23" i="8"/>
  <c r="M23" i="8" s="1"/>
  <c r="H27" i="3" l="1"/>
  <c r="CK15" i="5"/>
  <c r="CP4" i="5"/>
  <c r="CP6" i="5"/>
  <c r="CP4" i="4"/>
  <c r="CP8" i="4"/>
  <c r="CP14" i="4"/>
  <c r="CP16" i="4"/>
  <c r="CP24" i="4"/>
  <c r="CP26" i="4"/>
  <c r="CP28" i="4"/>
  <c r="CP30" i="4"/>
  <c r="CP36" i="4"/>
  <c r="CP44" i="4"/>
  <c r="CP48" i="4"/>
  <c r="CP50" i="4"/>
  <c r="CP52" i="4"/>
  <c r="CP54" i="4"/>
  <c r="CP56" i="4"/>
  <c r="CP58" i="4"/>
  <c r="CP60" i="4"/>
  <c r="CP68" i="4"/>
  <c r="CP70" i="4"/>
  <c r="CP72" i="4"/>
  <c r="CP74" i="4"/>
  <c r="CP76" i="4"/>
  <c r="CP78" i="4"/>
  <c r="CP4" i="6"/>
  <c r="CP6" i="6"/>
  <c r="CP8" i="6"/>
  <c r="CP10" i="6"/>
  <c r="CP12" i="6"/>
  <c r="CP14" i="6"/>
  <c r="CP16" i="6"/>
  <c r="CP18" i="6"/>
  <c r="CP20" i="6"/>
  <c r="CP32" i="6"/>
  <c r="CP36" i="6"/>
  <c r="CP38" i="6"/>
  <c r="CP40" i="6"/>
  <c r="CP42" i="6"/>
  <c r="CP48" i="6"/>
  <c r="CP50" i="6"/>
  <c r="CP52" i="6"/>
  <c r="CP54" i="6"/>
  <c r="CP56" i="6"/>
  <c r="CP58" i="6"/>
  <c r="CP60" i="6"/>
  <c r="CP62" i="6"/>
  <c r="CP64" i="6"/>
  <c r="CP66" i="6"/>
  <c r="CP70" i="6"/>
  <c r="CP73" i="6"/>
  <c r="CP75" i="6"/>
  <c r="CP77" i="6"/>
  <c r="CP79" i="6"/>
  <c r="CP81" i="6"/>
  <c r="CP83" i="6"/>
  <c r="CP85" i="6"/>
  <c r="CP87" i="6"/>
  <c r="CP89" i="6"/>
  <c r="CP91" i="6"/>
  <c r="CP93" i="6"/>
  <c r="CP95" i="6"/>
  <c r="CP97" i="6"/>
  <c r="CP99" i="6"/>
  <c r="CP101" i="6"/>
  <c r="CP103" i="6"/>
  <c r="CP105" i="6"/>
  <c r="CP107" i="6"/>
  <c r="CP109" i="6"/>
  <c r="CP111" i="6"/>
  <c r="CP113" i="6"/>
  <c r="CP115" i="6"/>
  <c r="CP117" i="6"/>
  <c r="CP119" i="6"/>
  <c r="CP121" i="6"/>
  <c r="CP123" i="6"/>
  <c r="CP125" i="6"/>
  <c r="CP127" i="6"/>
  <c r="CP129" i="6"/>
  <c r="CP131" i="6"/>
  <c r="CP133" i="6"/>
  <c r="CP135" i="6"/>
  <c r="CP137" i="6"/>
  <c r="CP139" i="6"/>
  <c r="CP141" i="6"/>
  <c r="CP143" i="6"/>
  <c r="CP145" i="6"/>
  <c r="CP147" i="6"/>
  <c r="CP149" i="6"/>
  <c r="CP151" i="6"/>
  <c r="CP153" i="6"/>
  <c r="CP155" i="6"/>
  <c r="CP157" i="6"/>
  <c r="CP159" i="6"/>
  <c r="CP161" i="6"/>
  <c r="CP163" i="6"/>
  <c r="CP165" i="6"/>
  <c r="CP167" i="6"/>
  <c r="CP169" i="6"/>
  <c r="CP171" i="6"/>
  <c r="CP174" i="6"/>
  <c r="CP176" i="6"/>
  <c r="CP178" i="6"/>
  <c r="CP180" i="6"/>
  <c r="CP182" i="6"/>
  <c r="CP184" i="6"/>
  <c r="CP186" i="6"/>
  <c r="CP188" i="6"/>
  <c r="CP190" i="6"/>
  <c r="CP192" i="6"/>
  <c r="CP194" i="6"/>
  <c r="CP196" i="6"/>
  <c r="CP198" i="6"/>
  <c r="CP200" i="6"/>
  <c r="CP202" i="6"/>
  <c r="CP204" i="6"/>
  <c r="CP206" i="6"/>
  <c r="CP208" i="6"/>
  <c r="CP210" i="6"/>
  <c r="CP212" i="6"/>
  <c r="CP214" i="6"/>
  <c r="CP216" i="6"/>
  <c r="CP218" i="6"/>
  <c r="CP220" i="6"/>
  <c r="CP222" i="6"/>
  <c r="CP224" i="6"/>
  <c r="CP226" i="6"/>
  <c r="CP228" i="6"/>
  <c r="CP230" i="6"/>
  <c r="CP232" i="6"/>
  <c r="CP234" i="6"/>
  <c r="CP236" i="6"/>
  <c r="CP238" i="6"/>
  <c r="CP240" i="6"/>
  <c r="CP242" i="6"/>
  <c r="CP244" i="6"/>
  <c r="CP246" i="6"/>
  <c r="CP248" i="6"/>
  <c r="CP250" i="6"/>
  <c r="CP253" i="6"/>
  <c r="CP255" i="6"/>
  <c r="CP258" i="6"/>
  <c r="CP260" i="6"/>
  <c r="CP262" i="6"/>
  <c r="CP264" i="6"/>
  <c r="CP266" i="6"/>
  <c r="CP268" i="6"/>
  <c r="CP270" i="6"/>
  <c r="CP272" i="6"/>
  <c r="CP274" i="6"/>
  <c r="CP276" i="6"/>
  <c r="CP278" i="6"/>
  <c r="CP280" i="6"/>
  <c r="CP282" i="6"/>
  <c r="CP284" i="6"/>
  <c r="CP286" i="6"/>
  <c r="CP288" i="6"/>
  <c r="CP290" i="6"/>
  <c r="CP292" i="6"/>
  <c r="CP294" i="6"/>
  <c r="CP296" i="6"/>
  <c r="CP298" i="6"/>
  <c r="CP300" i="6"/>
  <c r="CP302" i="6"/>
  <c r="CP304" i="6"/>
  <c r="CP311" i="6"/>
  <c r="CP313" i="6"/>
  <c r="CP315" i="6"/>
  <c r="CP317" i="6"/>
  <c r="CP319" i="6"/>
  <c r="CP321" i="6"/>
  <c r="CP323" i="6"/>
  <c r="CP325" i="6"/>
  <c r="CP327" i="6"/>
  <c r="CP329" i="6"/>
  <c r="CP331" i="6"/>
  <c r="CP333" i="6"/>
  <c r="CP335" i="6"/>
  <c r="CP337" i="6"/>
  <c r="CP339" i="6"/>
  <c r="CP341" i="6"/>
  <c r="CP343" i="6"/>
  <c r="CP345" i="6"/>
  <c r="CP347" i="6"/>
  <c r="CP349" i="6"/>
  <c r="CP351" i="6"/>
  <c r="CP353" i="6"/>
  <c r="CP355" i="6"/>
  <c r="CP357" i="6"/>
  <c r="CP359" i="6"/>
  <c r="CP361" i="6"/>
  <c r="CP363" i="6"/>
  <c r="CP365" i="6"/>
  <c r="CP395" i="6"/>
  <c r="N49" i="8"/>
  <c r="J4" i="8" l="1"/>
  <c r="G4" i="8"/>
  <c r="D4" i="8"/>
  <c r="D3" i="8"/>
  <c r="J4" i="3" l="1"/>
  <c r="J5" i="5"/>
  <c r="H5" i="5"/>
  <c r="H3" i="5" l="1"/>
  <c r="H8" i="5" s="1"/>
  <c r="D408" i="6" l="1"/>
  <c r="D20" i="5"/>
  <c r="D93" i="4"/>
  <c r="N47" i="8"/>
  <c r="N48" i="8"/>
  <c r="G31" i="7"/>
  <c r="H31" i="7" s="1"/>
  <c r="G29" i="7"/>
  <c r="G27" i="7"/>
  <c r="G21" i="7"/>
  <c r="G19" i="7"/>
  <c r="G17" i="7"/>
  <c r="G15" i="7"/>
  <c r="G13" i="7"/>
  <c r="G11" i="7"/>
  <c r="G9" i="7"/>
  <c r="G7" i="7"/>
  <c r="H5" i="7"/>
  <c r="H3" i="7"/>
  <c r="B27" i="7"/>
  <c r="B25" i="7"/>
  <c r="B23" i="7"/>
  <c r="B21" i="7"/>
  <c r="C13" i="7"/>
  <c r="H396" i="6" l="1"/>
  <c r="I4" i="7"/>
  <c r="K27" i="8"/>
  <c r="J28" i="8" s="1"/>
  <c r="H27" i="8"/>
  <c r="G28" i="8" s="1"/>
  <c r="E27" i="8"/>
  <c r="F27" i="8" l="1"/>
  <c r="I27" i="8"/>
  <c r="L27" i="8"/>
  <c r="K28" i="8" l="1"/>
  <c r="M27" i="8"/>
  <c r="F28" i="8"/>
  <c r="I28" i="8"/>
  <c r="H28" i="8"/>
  <c r="H26" i="3"/>
  <c r="H25" i="3"/>
  <c r="L28" i="8" l="1"/>
  <c r="N27" i="8"/>
  <c r="M28" i="8" l="1"/>
  <c r="O27" i="8"/>
  <c r="H2" i="7"/>
  <c r="N28" i="8" l="1"/>
  <c r="P27" i="8"/>
  <c r="D6" i="7"/>
  <c r="E6" i="7" s="1"/>
  <c r="B34" i="8"/>
  <c r="H354" i="6"/>
  <c r="J354" i="6" s="1"/>
  <c r="D30" i="7" l="1"/>
  <c r="D28" i="7"/>
  <c r="E28" i="7" s="1"/>
  <c r="O28" i="8"/>
  <c r="Q27" i="8"/>
  <c r="G37" i="8"/>
  <c r="H37" i="8"/>
  <c r="I38" i="8"/>
  <c r="V369" i="6" l="1"/>
  <c r="AD369" i="6"/>
  <c r="AL369" i="6"/>
  <c r="AT369" i="6"/>
  <c r="BB369" i="6"/>
  <c r="V371" i="6"/>
  <c r="AD371" i="6"/>
  <c r="AL371" i="6"/>
  <c r="AT371" i="6"/>
  <c r="BB371" i="6"/>
  <c r="V387" i="6"/>
  <c r="AD387" i="6"/>
  <c r="AL387" i="6"/>
  <c r="AT387" i="6"/>
  <c r="BB387" i="6"/>
  <c r="V389" i="6"/>
  <c r="AD389" i="6"/>
  <c r="AL389" i="6"/>
  <c r="AT389" i="6"/>
  <c r="BB389" i="6"/>
  <c r="V391" i="6"/>
  <c r="AD391" i="6"/>
  <c r="AL391" i="6"/>
  <c r="AT391" i="6"/>
  <c r="BB391" i="6"/>
  <c r="V393" i="6"/>
  <c r="AD393" i="6"/>
  <c r="AL393" i="6"/>
  <c r="AT393" i="6"/>
  <c r="BB393" i="6"/>
  <c r="R369" i="6"/>
  <c r="R387" i="6"/>
  <c r="R391" i="6"/>
  <c r="Z369" i="6"/>
  <c r="AP369" i="6"/>
  <c r="BF369" i="6"/>
  <c r="AH371" i="6"/>
  <c r="AX371" i="6"/>
  <c r="Z387" i="6"/>
  <c r="AP387" i="6"/>
  <c r="BF387" i="6"/>
  <c r="AH389" i="6"/>
  <c r="AX389" i="6"/>
  <c r="Z391" i="6"/>
  <c r="AP391" i="6"/>
  <c r="BF391" i="6"/>
  <c r="AH393" i="6"/>
  <c r="AX393" i="6"/>
  <c r="R371" i="6"/>
  <c r="R393" i="6"/>
  <c r="E30" i="7"/>
  <c r="AH369" i="6"/>
  <c r="AX369" i="6"/>
  <c r="Z371" i="6"/>
  <c r="AP371" i="6"/>
  <c r="BF371" i="6"/>
  <c r="AH387" i="6"/>
  <c r="AX387" i="6"/>
  <c r="Z389" i="6"/>
  <c r="AP389" i="6"/>
  <c r="BF389" i="6"/>
  <c r="AH391" i="6"/>
  <c r="AX391" i="6"/>
  <c r="Z393" i="6"/>
  <c r="AP393" i="6"/>
  <c r="BF393" i="6"/>
  <c r="R389" i="6"/>
  <c r="P28" i="8"/>
  <c r="R27" i="8"/>
  <c r="H38" i="8"/>
  <c r="CP389" i="6" l="1"/>
  <c r="CP371" i="6"/>
  <c r="CP387" i="6"/>
  <c r="CP393" i="6"/>
  <c r="CP391" i="6"/>
  <c r="CP369" i="6"/>
  <c r="Q28" i="8"/>
  <c r="S27" i="8"/>
  <c r="J29" i="11"/>
  <c r="I29" i="11"/>
  <c r="H29" i="11"/>
  <c r="D29" i="11"/>
  <c r="C29" i="11"/>
  <c r="B29" i="11"/>
  <c r="G25" i="11"/>
  <c r="H25" i="11" s="1"/>
  <c r="F25" i="11"/>
  <c r="H24" i="11"/>
  <c r="B24" i="11"/>
  <c r="B25" i="11" s="1"/>
  <c r="H23" i="11"/>
  <c r="H19" i="11"/>
  <c r="E19" i="11"/>
  <c r="B19" i="11"/>
  <c r="J16" i="11"/>
  <c r="G16" i="11"/>
  <c r="D16" i="11"/>
  <c r="J14" i="11"/>
  <c r="G14" i="11"/>
  <c r="L14" i="11" s="1"/>
  <c r="D14" i="11"/>
  <c r="D13" i="11"/>
  <c r="J12" i="11"/>
  <c r="J13" i="11" s="1"/>
  <c r="G12" i="11"/>
  <c r="L12" i="11" s="1"/>
  <c r="D12" i="11"/>
  <c r="J11" i="11"/>
  <c r="G11" i="11"/>
  <c r="D11" i="11"/>
  <c r="J10" i="11"/>
  <c r="G10" i="11"/>
  <c r="L10" i="11" s="1"/>
  <c r="D10" i="11"/>
  <c r="J9" i="11"/>
  <c r="G9" i="11"/>
  <c r="D9" i="11"/>
  <c r="J7" i="11"/>
  <c r="G7" i="11"/>
  <c r="L7" i="11" s="1"/>
  <c r="D7" i="11"/>
  <c r="J6" i="11"/>
  <c r="G6" i="11"/>
  <c r="D6" i="11"/>
  <c r="J5" i="11"/>
  <c r="G5" i="11"/>
  <c r="L5" i="11" s="1"/>
  <c r="D5" i="11"/>
  <c r="J4" i="11"/>
  <c r="G4" i="11"/>
  <c r="D4" i="11"/>
  <c r="J3" i="11"/>
  <c r="G3" i="11"/>
  <c r="L3" i="11" s="1"/>
  <c r="D3" i="11"/>
  <c r="C19" i="11" l="1"/>
  <c r="F19" i="11"/>
  <c r="G19" i="11" s="1"/>
  <c r="L19" i="11" s="1"/>
  <c r="I19" i="11"/>
  <c r="G38" i="8"/>
  <c r="R28" i="8"/>
  <c r="T27" i="8"/>
  <c r="C24" i="11"/>
  <c r="D19" i="11"/>
  <c r="J19" i="11"/>
  <c r="L4" i="11"/>
  <c r="L6" i="11"/>
  <c r="L9" i="11"/>
  <c r="L11" i="11"/>
  <c r="L16" i="11"/>
  <c r="K3" i="11"/>
  <c r="M3" i="11" s="1"/>
  <c r="K4" i="11"/>
  <c r="M4" i="11" s="1"/>
  <c r="K5" i="11"/>
  <c r="M5" i="11" s="1"/>
  <c r="K6" i="11"/>
  <c r="M6" i="11" s="1"/>
  <c r="K7" i="11"/>
  <c r="M7" i="11" s="1"/>
  <c r="K9" i="11"/>
  <c r="M9" i="11" s="1"/>
  <c r="K10" i="11"/>
  <c r="M10" i="11" s="1"/>
  <c r="K11" i="11"/>
  <c r="M11" i="11" s="1"/>
  <c r="K12" i="11"/>
  <c r="M12" i="11" s="1"/>
  <c r="G13" i="11"/>
  <c r="K14" i="11"/>
  <c r="M14" i="11" s="1"/>
  <c r="K16" i="11"/>
  <c r="M16" i="11" s="1"/>
  <c r="H30" i="11"/>
  <c r="K19" i="11" l="1"/>
  <c r="M19" i="11" s="1"/>
  <c r="L13" i="11"/>
  <c r="K13" i="11"/>
  <c r="M13" i="11" s="1"/>
  <c r="B28" i="8" l="1"/>
  <c r="B27" i="8"/>
  <c r="B19" i="8" s="1"/>
  <c r="B21" i="8" s="1"/>
  <c r="F354" i="6"/>
  <c r="G354" i="6" s="1"/>
  <c r="F19" i="8" l="1"/>
  <c r="F21" i="8" s="1"/>
  <c r="C19" i="8"/>
  <c r="C21" i="8" s="1"/>
  <c r="E19" i="8"/>
  <c r="E21" i="8" s="1"/>
  <c r="B29" i="8"/>
  <c r="C34" i="8"/>
  <c r="D34" i="8"/>
  <c r="D21" i="8" l="1"/>
  <c r="G21" i="8"/>
  <c r="B35" i="8"/>
  <c r="D19" i="8"/>
  <c r="B30" i="11"/>
  <c r="F400" i="6"/>
  <c r="G400" i="6"/>
  <c r="H400" i="6"/>
  <c r="I400" i="6"/>
  <c r="J400" i="6"/>
  <c r="K400" i="6"/>
  <c r="L400" i="6"/>
  <c r="M400" i="6"/>
  <c r="N400" i="6"/>
  <c r="O400" i="6"/>
  <c r="Q400" i="6"/>
  <c r="R400" i="6"/>
  <c r="S400" i="6"/>
  <c r="T400" i="6"/>
  <c r="U400" i="6"/>
  <c r="V400" i="6"/>
  <c r="W400" i="6"/>
  <c r="X400" i="6"/>
  <c r="Y400" i="6"/>
  <c r="Z400" i="6"/>
  <c r="AA400" i="6"/>
  <c r="AB400" i="6"/>
  <c r="AC400" i="6"/>
  <c r="AD400" i="6"/>
  <c r="AE400" i="6"/>
  <c r="AF400" i="6"/>
  <c r="AG400" i="6"/>
  <c r="AH400" i="6"/>
  <c r="AI400" i="6"/>
  <c r="AJ400" i="6"/>
  <c r="AK400" i="6"/>
  <c r="AL400" i="6"/>
  <c r="AM400" i="6"/>
  <c r="AN400" i="6"/>
  <c r="AO400" i="6"/>
  <c r="AP400" i="6"/>
  <c r="AQ400" i="6"/>
  <c r="AR400" i="6"/>
  <c r="AS400" i="6"/>
  <c r="AT400" i="6"/>
  <c r="AU400" i="6"/>
  <c r="AV400" i="6"/>
  <c r="AW400" i="6"/>
  <c r="AX400" i="6"/>
  <c r="AY400" i="6"/>
  <c r="AZ400" i="6"/>
  <c r="BA400" i="6"/>
  <c r="BB400" i="6"/>
  <c r="BC400" i="6"/>
  <c r="BD400" i="6"/>
  <c r="BE400" i="6"/>
  <c r="BF400" i="6"/>
  <c r="BG400" i="6"/>
  <c r="BH400" i="6"/>
  <c r="BI400" i="6"/>
  <c r="BJ400" i="6"/>
  <c r="BK400" i="6"/>
  <c r="BL400" i="6"/>
  <c r="BM400" i="6"/>
  <c r="BN400" i="6"/>
  <c r="BO400" i="6"/>
  <c r="BP400" i="6"/>
  <c r="BQ400" i="6"/>
  <c r="BR400" i="6"/>
  <c r="BS400" i="6"/>
  <c r="BT400" i="6"/>
  <c r="BU400" i="6"/>
  <c r="BV400" i="6"/>
  <c r="BW400" i="6"/>
  <c r="BX400" i="6"/>
  <c r="BY400" i="6"/>
  <c r="BZ400" i="6"/>
  <c r="CA400" i="6"/>
  <c r="CB400" i="6"/>
  <c r="CC400" i="6"/>
  <c r="CD400" i="6"/>
  <c r="CE400" i="6"/>
  <c r="CF400" i="6"/>
  <c r="CG400" i="6"/>
  <c r="CH400" i="6"/>
  <c r="CI400" i="6"/>
  <c r="CJ400" i="6"/>
  <c r="E400" i="6"/>
  <c r="J364" i="6"/>
  <c r="O373" i="6"/>
  <c r="O375" i="6"/>
  <c r="O377" i="6"/>
  <c r="O379" i="6"/>
  <c r="O381" i="6"/>
  <c r="O383" i="6"/>
  <c r="O385" i="6"/>
  <c r="H30" i="7"/>
  <c r="K373" i="6"/>
  <c r="K375" i="6"/>
  <c r="K377" i="6"/>
  <c r="K379" i="6"/>
  <c r="K381" i="6"/>
  <c r="K383" i="6"/>
  <c r="K385" i="6"/>
  <c r="O23" i="7"/>
  <c r="HA75" i="6"/>
  <c r="HA77" i="6"/>
  <c r="HA79" i="6"/>
  <c r="HA81" i="6"/>
  <c r="HA165" i="6"/>
  <c r="HA167" i="6"/>
  <c r="HA169" i="6"/>
  <c r="HA253" i="6"/>
  <c r="HA255" i="6"/>
  <c r="HA313" i="6"/>
  <c r="HA315" i="6"/>
  <c r="HA317" i="6"/>
  <c r="HA319" i="6"/>
  <c r="HA321" i="6"/>
  <c r="HA323" i="6"/>
  <c r="HA353" i="6"/>
  <c r="B31" i="7"/>
  <c r="B29" i="7"/>
  <c r="Q366" i="6"/>
  <c r="J366" i="6"/>
  <c r="G366" i="6"/>
  <c r="HB352" i="6"/>
  <c r="J352" i="6"/>
  <c r="H352" i="6"/>
  <c r="J322" i="6"/>
  <c r="H322" i="6"/>
  <c r="J320" i="6"/>
  <c r="H320" i="6"/>
  <c r="J318" i="6"/>
  <c r="H318" i="6"/>
  <c r="HB316" i="6"/>
  <c r="J316" i="6"/>
  <c r="H316" i="6"/>
  <c r="HB314" i="6"/>
  <c r="J314" i="6"/>
  <c r="H314" i="6"/>
  <c r="J312" i="6"/>
  <c r="H312" i="6"/>
  <c r="J310" i="6"/>
  <c r="H310" i="6"/>
  <c r="J309" i="6"/>
  <c r="H309" i="6"/>
  <c r="J308" i="6"/>
  <c r="H308" i="6"/>
  <c r="J307" i="6"/>
  <c r="H307" i="6"/>
  <c r="J306" i="6"/>
  <c r="H306" i="6"/>
  <c r="J305" i="6"/>
  <c r="H305" i="6"/>
  <c r="H324" i="6"/>
  <c r="J324" i="6"/>
  <c r="H326" i="6"/>
  <c r="J326" i="6"/>
  <c r="G328" i="6"/>
  <c r="H328" i="6" s="1"/>
  <c r="L328" i="6"/>
  <c r="M328" i="6" s="1"/>
  <c r="N328" i="6" s="1"/>
  <c r="O328" i="6" s="1"/>
  <c r="G330" i="6"/>
  <c r="H330" i="6" s="1"/>
  <c r="J330" i="6"/>
  <c r="N330" i="6"/>
  <c r="O330" i="6" s="1"/>
  <c r="P330" i="6" s="1"/>
  <c r="H332" i="6"/>
  <c r="J332" i="6"/>
  <c r="H334" i="6"/>
  <c r="J334" i="6"/>
  <c r="H336" i="6"/>
  <c r="J336" i="6"/>
  <c r="H338" i="6"/>
  <c r="J338" i="6"/>
  <c r="H340" i="6"/>
  <c r="J340" i="6"/>
  <c r="J342" i="6"/>
  <c r="J256" i="6"/>
  <c r="H256" i="6"/>
  <c r="F256" i="6" s="1"/>
  <c r="J254" i="6"/>
  <c r="H254" i="6"/>
  <c r="J252" i="6"/>
  <c r="H252" i="6"/>
  <c r="J251" i="6"/>
  <c r="H251" i="6"/>
  <c r="J172" i="6"/>
  <c r="H172" i="6"/>
  <c r="HA171" i="6"/>
  <c r="J170" i="6"/>
  <c r="H170" i="6"/>
  <c r="J168" i="6"/>
  <c r="H168" i="6"/>
  <c r="J166" i="6"/>
  <c r="H166" i="6"/>
  <c r="HB164" i="6"/>
  <c r="J164" i="6"/>
  <c r="H164" i="6"/>
  <c r="J162" i="6"/>
  <c r="H162" i="6"/>
  <c r="J80" i="6"/>
  <c r="H80" i="6"/>
  <c r="J78" i="6"/>
  <c r="H78" i="6"/>
  <c r="J76" i="6"/>
  <c r="H76" i="6"/>
  <c r="J74" i="6"/>
  <c r="H74" i="6"/>
  <c r="HA73" i="6"/>
  <c r="J72" i="6"/>
  <c r="H72" i="6"/>
  <c r="J71" i="6"/>
  <c r="H71" i="6"/>
  <c r="G82" i="6"/>
  <c r="H82" i="6" s="1"/>
  <c r="M82" i="6"/>
  <c r="L82" i="6" s="1"/>
  <c r="K82" i="6" s="1"/>
  <c r="J82" i="6" s="1"/>
  <c r="Q82" i="6"/>
  <c r="U82" i="6"/>
  <c r="H84" i="6"/>
  <c r="J84" i="6"/>
  <c r="H86" i="6"/>
  <c r="J86" i="6"/>
  <c r="G88" i="6"/>
  <c r="H88" i="6" s="1"/>
  <c r="J88" i="6"/>
  <c r="Q88" i="6"/>
  <c r="H90" i="6"/>
  <c r="J90" i="6"/>
  <c r="H173" i="6"/>
  <c r="J173" i="6"/>
  <c r="G175" i="6"/>
  <c r="H177" i="6"/>
  <c r="J177" i="6"/>
  <c r="H179" i="6"/>
  <c r="J179" i="6"/>
  <c r="H181" i="6"/>
  <c r="J181" i="6"/>
  <c r="H257" i="6"/>
  <c r="J257" i="6"/>
  <c r="H259" i="6"/>
  <c r="J259" i="6"/>
  <c r="H261" i="6"/>
  <c r="J261" i="6"/>
  <c r="H342" i="6"/>
  <c r="J344" i="6"/>
  <c r="H344" i="6"/>
  <c r="I19" i="8"/>
  <c r="I21" i="8" s="1"/>
  <c r="H19" i="8"/>
  <c r="H21" i="8" s="1"/>
  <c r="J16" i="8"/>
  <c r="G16" i="8"/>
  <c r="L16" i="8" s="1"/>
  <c r="D16" i="8"/>
  <c r="J14" i="8"/>
  <c r="G14" i="8"/>
  <c r="D14" i="8"/>
  <c r="D13" i="8"/>
  <c r="J12" i="8"/>
  <c r="J13" i="8" s="1"/>
  <c r="G12" i="8"/>
  <c r="D12" i="8"/>
  <c r="J11" i="8"/>
  <c r="G11" i="8"/>
  <c r="D11" i="8"/>
  <c r="J10" i="8"/>
  <c r="G10" i="8"/>
  <c r="D10" i="8"/>
  <c r="J9" i="8"/>
  <c r="G9" i="8"/>
  <c r="D9" i="8"/>
  <c r="J7" i="8"/>
  <c r="G7" i="8"/>
  <c r="D7" i="8"/>
  <c r="J6" i="8"/>
  <c r="G6" i="8"/>
  <c r="D6" i="8"/>
  <c r="J5" i="8"/>
  <c r="G5" i="8"/>
  <c r="D5" i="8"/>
  <c r="J3" i="8"/>
  <c r="G3" i="8"/>
  <c r="P82" i="6" l="1"/>
  <c r="O82" i="6" s="1"/>
  <c r="N82" i="6" s="1"/>
  <c r="P328" i="6"/>
  <c r="Q328" i="6" s="1"/>
  <c r="P385" i="6"/>
  <c r="Q385" i="6" s="1"/>
  <c r="R385" i="6" s="1"/>
  <c r="S385" i="6" s="1"/>
  <c r="T385" i="6" s="1"/>
  <c r="U385" i="6" s="1"/>
  <c r="V385" i="6" s="1"/>
  <c r="W385" i="6" s="1"/>
  <c r="X385" i="6" s="1"/>
  <c r="Y385" i="6" s="1"/>
  <c r="Z385" i="6" s="1"/>
  <c r="AA385" i="6" s="1"/>
  <c r="AB385" i="6" s="1"/>
  <c r="AC385" i="6" s="1"/>
  <c r="AD385" i="6" s="1"/>
  <c r="AE385" i="6" s="1"/>
  <c r="AF385" i="6" s="1"/>
  <c r="AG385" i="6" s="1"/>
  <c r="AH385" i="6" s="1"/>
  <c r="AI385" i="6" s="1"/>
  <c r="AJ385" i="6" s="1"/>
  <c r="AK385" i="6" s="1"/>
  <c r="AL385" i="6" s="1"/>
  <c r="AM385" i="6" s="1"/>
  <c r="AN385" i="6" s="1"/>
  <c r="AO385" i="6" s="1"/>
  <c r="AP385" i="6" s="1"/>
  <c r="AQ385" i="6" s="1"/>
  <c r="AR385" i="6" s="1"/>
  <c r="AS385" i="6" s="1"/>
  <c r="AT385" i="6" s="1"/>
  <c r="AU385" i="6" s="1"/>
  <c r="AV385" i="6" s="1"/>
  <c r="AW385" i="6" s="1"/>
  <c r="AX385" i="6" s="1"/>
  <c r="AY385" i="6" s="1"/>
  <c r="AZ385" i="6" s="1"/>
  <c r="BA385" i="6" s="1"/>
  <c r="BB385" i="6" s="1"/>
  <c r="P381" i="6"/>
  <c r="Q381" i="6" s="1"/>
  <c r="R381" i="6" s="1"/>
  <c r="S381" i="6" s="1"/>
  <c r="T381" i="6" s="1"/>
  <c r="U381" i="6" s="1"/>
  <c r="V381" i="6" s="1"/>
  <c r="W381" i="6" s="1"/>
  <c r="X381" i="6" s="1"/>
  <c r="Y381" i="6" s="1"/>
  <c r="Z381" i="6" s="1"/>
  <c r="AA381" i="6" s="1"/>
  <c r="AB381" i="6" s="1"/>
  <c r="AC381" i="6" s="1"/>
  <c r="AD381" i="6" s="1"/>
  <c r="AE381" i="6" s="1"/>
  <c r="AF381" i="6" s="1"/>
  <c r="AG381" i="6" s="1"/>
  <c r="AH381" i="6" s="1"/>
  <c r="AI381" i="6" s="1"/>
  <c r="AJ381" i="6" s="1"/>
  <c r="AK381" i="6" s="1"/>
  <c r="AL381" i="6" s="1"/>
  <c r="AM381" i="6" s="1"/>
  <c r="AN381" i="6" s="1"/>
  <c r="AO381" i="6" s="1"/>
  <c r="AP381" i="6" s="1"/>
  <c r="AQ381" i="6" s="1"/>
  <c r="AR381" i="6" s="1"/>
  <c r="AS381" i="6" s="1"/>
  <c r="AT381" i="6" s="1"/>
  <c r="AU381" i="6" s="1"/>
  <c r="AV381" i="6" s="1"/>
  <c r="AW381" i="6" s="1"/>
  <c r="AX381" i="6" s="1"/>
  <c r="AY381" i="6" s="1"/>
  <c r="AZ381" i="6" s="1"/>
  <c r="BA381" i="6" s="1"/>
  <c r="BB381" i="6" s="1"/>
  <c r="P377" i="6"/>
  <c r="Q377" i="6" s="1"/>
  <c r="R377" i="6" s="1"/>
  <c r="S377" i="6" s="1"/>
  <c r="T377" i="6" s="1"/>
  <c r="U377" i="6" s="1"/>
  <c r="V377" i="6" s="1"/>
  <c r="W377" i="6" s="1"/>
  <c r="X377" i="6" s="1"/>
  <c r="Y377" i="6" s="1"/>
  <c r="Z377" i="6" s="1"/>
  <c r="AA377" i="6" s="1"/>
  <c r="AB377" i="6" s="1"/>
  <c r="AC377" i="6" s="1"/>
  <c r="AD377" i="6" s="1"/>
  <c r="AE377" i="6" s="1"/>
  <c r="AF377" i="6" s="1"/>
  <c r="AG377" i="6" s="1"/>
  <c r="AH377" i="6" s="1"/>
  <c r="AI377" i="6" s="1"/>
  <c r="AJ377" i="6" s="1"/>
  <c r="AK377" i="6" s="1"/>
  <c r="AL377" i="6" s="1"/>
  <c r="AM377" i="6" s="1"/>
  <c r="AN377" i="6" s="1"/>
  <c r="AO377" i="6" s="1"/>
  <c r="AP377" i="6" s="1"/>
  <c r="AQ377" i="6" s="1"/>
  <c r="AR377" i="6" s="1"/>
  <c r="AS377" i="6" s="1"/>
  <c r="AT377" i="6" s="1"/>
  <c r="AU377" i="6" s="1"/>
  <c r="AV377" i="6" s="1"/>
  <c r="AW377" i="6" s="1"/>
  <c r="AX377" i="6" s="1"/>
  <c r="AY377" i="6" s="1"/>
  <c r="AZ377" i="6" s="1"/>
  <c r="BA377" i="6" s="1"/>
  <c r="BB377" i="6" s="1"/>
  <c r="P373" i="6"/>
  <c r="Q373" i="6" s="1"/>
  <c r="R373" i="6" s="1"/>
  <c r="S373" i="6" s="1"/>
  <c r="T373" i="6" s="1"/>
  <c r="U373" i="6" s="1"/>
  <c r="V373" i="6" s="1"/>
  <c r="W373" i="6" s="1"/>
  <c r="X373" i="6" s="1"/>
  <c r="Y373" i="6" s="1"/>
  <c r="Z373" i="6" s="1"/>
  <c r="AA373" i="6" s="1"/>
  <c r="AB373" i="6" s="1"/>
  <c r="AC373" i="6" s="1"/>
  <c r="AD373" i="6" s="1"/>
  <c r="AE373" i="6" s="1"/>
  <c r="AF373" i="6" s="1"/>
  <c r="AG373" i="6" s="1"/>
  <c r="AH373" i="6" s="1"/>
  <c r="AI373" i="6" s="1"/>
  <c r="AJ373" i="6" s="1"/>
  <c r="AK373" i="6" s="1"/>
  <c r="AL373" i="6" s="1"/>
  <c r="AM373" i="6" s="1"/>
  <c r="AN373" i="6" s="1"/>
  <c r="AO373" i="6" s="1"/>
  <c r="AP373" i="6" s="1"/>
  <c r="AQ373" i="6" s="1"/>
  <c r="AR373" i="6" s="1"/>
  <c r="AS373" i="6" s="1"/>
  <c r="AT373" i="6" s="1"/>
  <c r="AU373" i="6" s="1"/>
  <c r="AV373" i="6" s="1"/>
  <c r="AW373" i="6" s="1"/>
  <c r="AX373" i="6" s="1"/>
  <c r="AY373" i="6" s="1"/>
  <c r="AZ373" i="6" s="1"/>
  <c r="BA373" i="6" s="1"/>
  <c r="BB373" i="6" s="1"/>
  <c r="P383" i="6"/>
  <c r="Q383" i="6" s="1"/>
  <c r="R383" i="6" s="1"/>
  <c r="S383" i="6" s="1"/>
  <c r="T383" i="6" s="1"/>
  <c r="U383" i="6" s="1"/>
  <c r="V383" i="6" s="1"/>
  <c r="W383" i="6" s="1"/>
  <c r="X383" i="6" s="1"/>
  <c r="Y383" i="6" s="1"/>
  <c r="Z383" i="6" s="1"/>
  <c r="AA383" i="6" s="1"/>
  <c r="AB383" i="6" s="1"/>
  <c r="AC383" i="6" s="1"/>
  <c r="AD383" i="6" s="1"/>
  <c r="AE383" i="6" s="1"/>
  <c r="AF383" i="6" s="1"/>
  <c r="AG383" i="6" s="1"/>
  <c r="AH383" i="6" s="1"/>
  <c r="AI383" i="6" s="1"/>
  <c r="AJ383" i="6" s="1"/>
  <c r="AK383" i="6" s="1"/>
  <c r="AL383" i="6" s="1"/>
  <c r="AM383" i="6" s="1"/>
  <c r="AN383" i="6" s="1"/>
  <c r="AO383" i="6" s="1"/>
  <c r="AP383" i="6" s="1"/>
  <c r="AQ383" i="6" s="1"/>
  <c r="AR383" i="6" s="1"/>
  <c r="AS383" i="6" s="1"/>
  <c r="AT383" i="6" s="1"/>
  <c r="AU383" i="6" s="1"/>
  <c r="AV383" i="6" s="1"/>
  <c r="AW383" i="6" s="1"/>
  <c r="AX383" i="6" s="1"/>
  <c r="AY383" i="6" s="1"/>
  <c r="AZ383" i="6" s="1"/>
  <c r="BA383" i="6" s="1"/>
  <c r="BB383" i="6" s="1"/>
  <c r="P379" i="6"/>
  <c r="Q379" i="6" s="1"/>
  <c r="R379" i="6" s="1"/>
  <c r="S379" i="6" s="1"/>
  <c r="T379" i="6" s="1"/>
  <c r="U379" i="6" s="1"/>
  <c r="V379" i="6" s="1"/>
  <c r="W379" i="6" s="1"/>
  <c r="X379" i="6" s="1"/>
  <c r="Y379" i="6" s="1"/>
  <c r="Z379" i="6" s="1"/>
  <c r="AA379" i="6" s="1"/>
  <c r="AB379" i="6" s="1"/>
  <c r="AC379" i="6" s="1"/>
  <c r="AD379" i="6" s="1"/>
  <c r="AE379" i="6" s="1"/>
  <c r="AF379" i="6" s="1"/>
  <c r="AG379" i="6" s="1"/>
  <c r="AH379" i="6" s="1"/>
  <c r="AI379" i="6" s="1"/>
  <c r="AJ379" i="6" s="1"/>
  <c r="AK379" i="6" s="1"/>
  <c r="AL379" i="6" s="1"/>
  <c r="AM379" i="6" s="1"/>
  <c r="AN379" i="6" s="1"/>
  <c r="AO379" i="6" s="1"/>
  <c r="AP379" i="6" s="1"/>
  <c r="AQ379" i="6" s="1"/>
  <c r="AR379" i="6" s="1"/>
  <c r="AS379" i="6" s="1"/>
  <c r="AT379" i="6" s="1"/>
  <c r="AU379" i="6" s="1"/>
  <c r="AV379" i="6" s="1"/>
  <c r="AW379" i="6" s="1"/>
  <c r="AX379" i="6" s="1"/>
  <c r="AY379" i="6" s="1"/>
  <c r="AZ379" i="6" s="1"/>
  <c r="BA379" i="6" s="1"/>
  <c r="BB379" i="6" s="1"/>
  <c r="P375" i="6"/>
  <c r="Q375" i="6" s="1"/>
  <c r="R375" i="6" s="1"/>
  <c r="S375" i="6" s="1"/>
  <c r="T375" i="6" s="1"/>
  <c r="U375" i="6" s="1"/>
  <c r="V375" i="6" s="1"/>
  <c r="W375" i="6" s="1"/>
  <c r="X375" i="6" s="1"/>
  <c r="Y375" i="6" s="1"/>
  <c r="Z375" i="6" s="1"/>
  <c r="AA375" i="6" s="1"/>
  <c r="AB375" i="6" s="1"/>
  <c r="AC375" i="6" s="1"/>
  <c r="AD375" i="6" s="1"/>
  <c r="AE375" i="6" s="1"/>
  <c r="AF375" i="6" s="1"/>
  <c r="AG375" i="6" s="1"/>
  <c r="AH375" i="6" s="1"/>
  <c r="AI375" i="6" s="1"/>
  <c r="AJ375" i="6" s="1"/>
  <c r="AK375" i="6" s="1"/>
  <c r="AL375" i="6" s="1"/>
  <c r="AM375" i="6" s="1"/>
  <c r="AN375" i="6" s="1"/>
  <c r="AO375" i="6" s="1"/>
  <c r="AP375" i="6" s="1"/>
  <c r="AQ375" i="6" s="1"/>
  <c r="AR375" i="6" s="1"/>
  <c r="AS375" i="6" s="1"/>
  <c r="AT375" i="6" s="1"/>
  <c r="AU375" i="6" s="1"/>
  <c r="AV375" i="6" s="1"/>
  <c r="AW375" i="6" s="1"/>
  <c r="AX375" i="6" s="1"/>
  <c r="AY375" i="6" s="1"/>
  <c r="AZ375" i="6" s="1"/>
  <c r="BA375" i="6" s="1"/>
  <c r="BB375" i="6" s="1"/>
  <c r="R366" i="6"/>
  <c r="S366" i="6" s="1"/>
  <c r="C31" i="7"/>
  <c r="G54" i="8"/>
  <c r="J21" i="8"/>
  <c r="L21" i="8" s="1"/>
  <c r="K21" i="8"/>
  <c r="L3" i="8"/>
  <c r="K173" i="6"/>
  <c r="L173" i="6" s="1"/>
  <c r="M173" i="6" s="1"/>
  <c r="K71" i="6"/>
  <c r="L71" i="6" s="1"/>
  <c r="M71" i="6" s="1"/>
  <c r="K72" i="6"/>
  <c r="K168" i="6"/>
  <c r="L168" i="6" s="1"/>
  <c r="M168" i="6" s="1"/>
  <c r="K170" i="6"/>
  <c r="L170" i="6" s="1"/>
  <c r="M170" i="6" s="1"/>
  <c r="K324" i="6"/>
  <c r="L324" i="6" s="1"/>
  <c r="M324" i="6" s="1"/>
  <c r="K316" i="6"/>
  <c r="L316" i="6" s="1"/>
  <c r="M316" i="6" s="1"/>
  <c r="K261" i="6"/>
  <c r="K259" i="6"/>
  <c r="L259" i="6" s="1"/>
  <c r="M259" i="6" s="1"/>
  <c r="N259" i="6" s="1"/>
  <c r="O259" i="6" s="1"/>
  <c r="K257" i="6"/>
  <c r="K181" i="6"/>
  <c r="L181" i="6" s="1"/>
  <c r="M181" i="6" s="1"/>
  <c r="K179" i="6"/>
  <c r="L179" i="6" s="1"/>
  <c r="M179" i="6" s="1"/>
  <c r="K177" i="6"/>
  <c r="L177" i="6" s="1"/>
  <c r="M177" i="6" s="1"/>
  <c r="K74" i="6"/>
  <c r="L74" i="6" s="1"/>
  <c r="M74" i="6" s="1"/>
  <c r="K76" i="6"/>
  <c r="L76" i="6" s="1"/>
  <c r="M76" i="6" s="1"/>
  <c r="K78" i="6"/>
  <c r="L78" i="6" s="1"/>
  <c r="M78" i="6" s="1"/>
  <c r="K80" i="6"/>
  <c r="L80" i="6" s="1"/>
  <c r="M80" i="6" s="1"/>
  <c r="K164" i="6"/>
  <c r="L164" i="6" s="1"/>
  <c r="M164" i="6" s="1"/>
  <c r="K252" i="6"/>
  <c r="L252" i="6" s="1"/>
  <c r="M252" i="6" s="1"/>
  <c r="K254" i="6"/>
  <c r="L254" i="6" s="1"/>
  <c r="M254" i="6" s="1"/>
  <c r="K309" i="6"/>
  <c r="L309" i="6" s="1"/>
  <c r="M309" i="6" s="1"/>
  <c r="N309" i="6" s="1"/>
  <c r="O309" i="6" s="1"/>
  <c r="K312" i="6"/>
  <c r="L312" i="6" s="1"/>
  <c r="M312" i="6" s="1"/>
  <c r="K318" i="6"/>
  <c r="L318" i="6" s="1"/>
  <c r="M318" i="6" s="1"/>
  <c r="K320" i="6"/>
  <c r="L320" i="6" s="1"/>
  <c r="M320" i="6" s="1"/>
  <c r="K322" i="6"/>
  <c r="L322" i="6" s="1"/>
  <c r="M322" i="6" s="1"/>
  <c r="K352" i="6"/>
  <c r="L352" i="6" s="1"/>
  <c r="M352" i="6" s="1"/>
  <c r="L72" i="6"/>
  <c r="M72" i="6" s="1"/>
  <c r="L383" i="6"/>
  <c r="M383" i="6" s="1"/>
  <c r="L379" i="6"/>
  <c r="M379" i="6" s="1"/>
  <c r="Q330" i="6"/>
  <c r="R330" i="6" s="1"/>
  <c r="S330" i="6" s="1"/>
  <c r="T330" i="6" s="1"/>
  <c r="U330" i="6" s="1"/>
  <c r="L385" i="6"/>
  <c r="M385" i="6" s="1"/>
  <c r="L381" i="6"/>
  <c r="M381" i="6" s="1"/>
  <c r="L377" i="6"/>
  <c r="M377" i="6" s="1"/>
  <c r="L373" i="6"/>
  <c r="M373" i="6" s="1"/>
  <c r="C30" i="11"/>
  <c r="B31" i="11"/>
  <c r="L4" i="8"/>
  <c r="L6" i="8"/>
  <c r="L9" i="8"/>
  <c r="L11" i="8"/>
  <c r="J19" i="8"/>
  <c r="L5" i="8"/>
  <c r="L7" i="8"/>
  <c r="L10" i="8"/>
  <c r="L12" i="8"/>
  <c r="L375" i="6"/>
  <c r="M375" i="6" s="1"/>
  <c r="T82" i="6"/>
  <c r="S82" i="6" s="1"/>
  <c r="R82" i="6" s="1"/>
  <c r="H175" i="6"/>
  <c r="J175" i="6"/>
  <c r="K88" i="6"/>
  <c r="L88" i="6" s="1"/>
  <c r="K86" i="6"/>
  <c r="L86" i="6" s="1"/>
  <c r="M86" i="6" s="1"/>
  <c r="K84" i="6"/>
  <c r="L84" i="6" s="1"/>
  <c r="M84" i="6" s="1"/>
  <c r="N84" i="6" s="1"/>
  <c r="O84" i="6" s="1"/>
  <c r="K162" i="6"/>
  <c r="L162" i="6" s="1"/>
  <c r="M162" i="6" s="1"/>
  <c r="K256" i="6"/>
  <c r="K340" i="6"/>
  <c r="L340" i="6" s="1"/>
  <c r="M340" i="6" s="1"/>
  <c r="K338" i="6"/>
  <c r="K336" i="6"/>
  <c r="L336" i="6" s="1"/>
  <c r="M336" i="6" s="1"/>
  <c r="K334" i="6"/>
  <c r="L334" i="6" s="1"/>
  <c r="M334" i="6" s="1"/>
  <c r="K332" i="6"/>
  <c r="L332" i="6" s="1"/>
  <c r="M332" i="6" s="1"/>
  <c r="K305" i="6"/>
  <c r="K306" i="6"/>
  <c r="L306" i="6" s="1"/>
  <c r="M306" i="6" s="1"/>
  <c r="N306" i="6" s="1"/>
  <c r="O306" i="6" s="1"/>
  <c r="K307" i="6"/>
  <c r="L307" i="6" s="1"/>
  <c r="M307" i="6" s="1"/>
  <c r="K308" i="6"/>
  <c r="L308" i="6" s="1"/>
  <c r="M308" i="6" s="1"/>
  <c r="M366" i="6"/>
  <c r="K172" i="6"/>
  <c r="K251" i="6"/>
  <c r="K344" i="6"/>
  <c r="K90" i="6"/>
  <c r="K342" i="6"/>
  <c r="K330" i="6"/>
  <c r="L330" i="6" s="1"/>
  <c r="M330" i="6" s="1"/>
  <c r="K326" i="6"/>
  <c r="K310" i="6"/>
  <c r="L310" i="6" s="1"/>
  <c r="M310" i="6" s="1"/>
  <c r="N310" i="6" s="1"/>
  <c r="L366" i="6"/>
  <c r="N366" i="6"/>
  <c r="O366" i="6" s="1"/>
  <c r="K366" i="6"/>
  <c r="J328" i="6"/>
  <c r="HA311" i="6"/>
  <c r="K314" i="6"/>
  <c r="L314" i="6" s="1"/>
  <c r="M314" i="6" s="1"/>
  <c r="HA163" i="6"/>
  <c r="K166" i="6"/>
  <c r="L166" i="6" s="1"/>
  <c r="M166" i="6" s="1"/>
  <c r="K3" i="8"/>
  <c r="K4" i="8"/>
  <c r="K5" i="8"/>
  <c r="M5" i="8" s="1"/>
  <c r="K6" i="8"/>
  <c r="K7" i="8"/>
  <c r="K9" i="8"/>
  <c r="M9" i="8" s="1"/>
  <c r="K10" i="8"/>
  <c r="K11" i="8"/>
  <c r="K12" i="8"/>
  <c r="G13" i="8"/>
  <c r="K14" i="8"/>
  <c r="K16" i="8"/>
  <c r="M16" i="8" s="1"/>
  <c r="G19" i="8"/>
  <c r="F12" i="5"/>
  <c r="D3" i="10" s="1"/>
  <c r="G12" i="5"/>
  <c r="E3" i="10" s="1"/>
  <c r="H12" i="5"/>
  <c r="F3" i="10" s="1"/>
  <c r="I12" i="5"/>
  <c r="G3" i="10" s="1"/>
  <c r="J12" i="5"/>
  <c r="H3" i="10" s="1"/>
  <c r="K12" i="5"/>
  <c r="I3" i="10" s="1"/>
  <c r="L12" i="5"/>
  <c r="J3" i="10" s="1"/>
  <c r="M12" i="5"/>
  <c r="K3" i="10" s="1"/>
  <c r="N12" i="5"/>
  <c r="L3" i="10" s="1"/>
  <c r="O12" i="5"/>
  <c r="M3" i="10" s="1"/>
  <c r="P12" i="5"/>
  <c r="N3" i="10" s="1"/>
  <c r="Q12" i="5"/>
  <c r="O3" i="10" s="1"/>
  <c r="R12" i="5"/>
  <c r="P3" i="10" s="1"/>
  <c r="S12" i="5"/>
  <c r="Q3" i="10" s="1"/>
  <c r="T12" i="5"/>
  <c r="R3" i="10" s="1"/>
  <c r="U12" i="5"/>
  <c r="S3" i="10" s="1"/>
  <c r="V12" i="5"/>
  <c r="T3" i="10" s="1"/>
  <c r="W12" i="5"/>
  <c r="U3" i="10" s="1"/>
  <c r="X12" i="5"/>
  <c r="V3" i="10" s="1"/>
  <c r="Y12" i="5"/>
  <c r="W3" i="10" s="1"/>
  <c r="Z12" i="5"/>
  <c r="X3" i="10" s="1"/>
  <c r="AA12" i="5"/>
  <c r="Y3" i="10" s="1"/>
  <c r="AB12" i="5"/>
  <c r="Z3" i="10" s="1"/>
  <c r="AC12" i="5"/>
  <c r="AA3" i="10" s="1"/>
  <c r="AD12" i="5"/>
  <c r="AB3" i="10" s="1"/>
  <c r="AE12" i="5"/>
  <c r="AC3" i="10" s="1"/>
  <c r="AF12" i="5"/>
  <c r="AD3" i="10" s="1"/>
  <c r="AG12" i="5"/>
  <c r="AE3" i="10" s="1"/>
  <c r="AH12" i="5"/>
  <c r="AF3" i="10" s="1"/>
  <c r="AI12" i="5"/>
  <c r="AG3" i="10" s="1"/>
  <c r="AJ12" i="5"/>
  <c r="AH3" i="10" s="1"/>
  <c r="AK12" i="5"/>
  <c r="AI3" i="10" s="1"/>
  <c r="AL12" i="5"/>
  <c r="AJ3" i="10" s="1"/>
  <c r="AM12" i="5"/>
  <c r="AK3" i="10" s="1"/>
  <c r="AN12" i="5"/>
  <c r="AL3" i="10" s="1"/>
  <c r="AO12" i="5"/>
  <c r="AM3" i="10" s="1"/>
  <c r="AP12" i="5"/>
  <c r="AN3" i="10" s="1"/>
  <c r="AQ12" i="5"/>
  <c r="AO3" i="10" s="1"/>
  <c r="AR12" i="5"/>
  <c r="AP3" i="10" s="1"/>
  <c r="AS12" i="5"/>
  <c r="AQ3" i="10" s="1"/>
  <c r="AT12" i="5"/>
  <c r="AR3" i="10" s="1"/>
  <c r="AU12" i="5"/>
  <c r="AS3" i="10" s="1"/>
  <c r="AV12" i="5"/>
  <c r="AT3" i="10" s="1"/>
  <c r="AW12" i="5"/>
  <c r="AU3" i="10" s="1"/>
  <c r="AX12" i="5"/>
  <c r="AV3" i="10" s="1"/>
  <c r="AY12" i="5"/>
  <c r="AW3" i="10" s="1"/>
  <c r="AZ12" i="5"/>
  <c r="AX3" i="10" s="1"/>
  <c r="BA12" i="5"/>
  <c r="AY3" i="10" s="1"/>
  <c r="BB12" i="5"/>
  <c r="AZ3" i="10" s="1"/>
  <c r="BC12" i="5"/>
  <c r="BA3" i="10" s="1"/>
  <c r="BD12" i="5"/>
  <c r="BB3" i="10" s="1"/>
  <c r="BE12" i="5"/>
  <c r="BC3" i="10" s="1"/>
  <c r="BF12" i="5"/>
  <c r="BD3" i="10" s="1"/>
  <c r="BG12" i="5"/>
  <c r="BE3" i="10" s="1"/>
  <c r="BH12" i="5"/>
  <c r="BF3" i="10" s="1"/>
  <c r="BI12" i="5"/>
  <c r="BG3" i="10" s="1"/>
  <c r="BJ12" i="5"/>
  <c r="BH3" i="10" s="1"/>
  <c r="BK12" i="5"/>
  <c r="BI3" i="10" s="1"/>
  <c r="BL12" i="5"/>
  <c r="BJ3" i="10" s="1"/>
  <c r="BM12" i="5"/>
  <c r="BK3" i="10" s="1"/>
  <c r="BN12" i="5"/>
  <c r="BL3" i="10" s="1"/>
  <c r="BO12" i="5"/>
  <c r="BM3" i="10" s="1"/>
  <c r="BP12" i="5"/>
  <c r="BN3" i="10" s="1"/>
  <c r="BQ12" i="5"/>
  <c r="BO3" i="10" s="1"/>
  <c r="BR12" i="5"/>
  <c r="BP3" i="10" s="1"/>
  <c r="BS12" i="5"/>
  <c r="BQ3" i="10" s="1"/>
  <c r="BT12" i="5"/>
  <c r="BR3" i="10" s="1"/>
  <c r="BU12" i="5"/>
  <c r="BS3" i="10" s="1"/>
  <c r="BV12" i="5"/>
  <c r="BT3" i="10" s="1"/>
  <c r="BW12" i="5"/>
  <c r="BU3" i="10" s="1"/>
  <c r="BX12" i="5"/>
  <c r="BV3" i="10" s="1"/>
  <c r="BY12" i="5"/>
  <c r="BW3" i="10" s="1"/>
  <c r="BZ12" i="5"/>
  <c r="BX3" i="10" s="1"/>
  <c r="CA12" i="5"/>
  <c r="BY3" i="10" s="1"/>
  <c r="CB12" i="5"/>
  <c r="BZ3" i="10" s="1"/>
  <c r="CC12" i="5"/>
  <c r="CA3" i="10" s="1"/>
  <c r="CD12" i="5"/>
  <c r="CB3" i="10" s="1"/>
  <c r="CE12" i="5"/>
  <c r="CC3" i="10" s="1"/>
  <c r="CF12" i="5"/>
  <c r="CD3" i="10" s="1"/>
  <c r="CG12" i="5"/>
  <c r="CE3" i="10" s="1"/>
  <c r="CH12" i="5"/>
  <c r="CF3" i="10" s="1"/>
  <c r="CI12" i="5"/>
  <c r="CG3" i="10" s="1"/>
  <c r="CJ12" i="5"/>
  <c r="CH3" i="10" s="1"/>
  <c r="E12" i="5"/>
  <c r="C3" i="10" s="1"/>
  <c r="J3" i="5"/>
  <c r="K5" i="5"/>
  <c r="J23" i="4"/>
  <c r="J25" i="4"/>
  <c r="F85" i="4"/>
  <c r="G85" i="4"/>
  <c r="H85" i="4"/>
  <c r="I85" i="4"/>
  <c r="J85" i="4"/>
  <c r="K85" i="4"/>
  <c r="L85" i="4"/>
  <c r="M85" i="4"/>
  <c r="N85" i="4"/>
  <c r="O85" i="4"/>
  <c r="P85" i="4"/>
  <c r="Q85" i="4"/>
  <c r="R85" i="4"/>
  <c r="S85" i="4"/>
  <c r="T85" i="4"/>
  <c r="U85" i="4"/>
  <c r="V85" i="4"/>
  <c r="W85" i="4"/>
  <c r="X85" i="4"/>
  <c r="Y85" i="4"/>
  <c r="Z85" i="4"/>
  <c r="AA85" i="4"/>
  <c r="AB85" i="4"/>
  <c r="AC85" i="4"/>
  <c r="AD85" i="4"/>
  <c r="AE85" i="4"/>
  <c r="AF85" i="4"/>
  <c r="AG85" i="4"/>
  <c r="AH85" i="4"/>
  <c r="AI85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Y85" i="4"/>
  <c r="AZ85" i="4"/>
  <c r="BA85" i="4"/>
  <c r="BB85" i="4"/>
  <c r="BC85" i="4"/>
  <c r="BD85" i="4"/>
  <c r="BE85" i="4"/>
  <c r="BF85" i="4"/>
  <c r="BG85" i="4"/>
  <c r="BH85" i="4"/>
  <c r="BI85" i="4"/>
  <c r="BJ85" i="4"/>
  <c r="BK85" i="4"/>
  <c r="BL85" i="4"/>
  <c r="BM85" i="4"/>
  <c r="BN85" i="4"/>
  <c r="BO85" i="4"/>
  <c r="BP85" i="4"/>
  <c r="BQ85" i="4"/>
  <c r="BR85" i="4"/>
  <c r="BS85" i="4"/>
  <c r="BT85" i="4"/>
  <c r="BU85" i="4"/>
  <c r="BV85" i="4"/>
  <c r="BW85" i="4"/>
  <c r="BX85" i="4"/>
  <c r="BY85" i="4"/>
  <c r="BZ85" i="4"/>
  <c r="CA85" i="4"/>
  <c r="CB85" i="4"/>
  <c r="CC85" i="4"/>
  <c r="CD85" i="4"/>
  <c r="CE85" i="4"/>
  <c r="CF85" i="4"/>
  <c r="CG85" i="4"/>
  <c r="CH85" i="4"/>
  <c r="CI85" i="4"/>
  <c r="CJ85" i="4"/>
  <c r="E85" i="4"/>
  <c r="K23" i="4"/>
  <c r="L23" i="4" s="1"/>
  <c r="M23" i="4" s="1"/>
  <c r="J5" i="4"/>
  <c r="H28" i="7"/>
  <c r="H26" i="7"/>
  <c r="H24" i="7"/>
  <c r="H22" i="7"/>
  <c r="H20" i="7"/>
  <c r="H18" i="7"/>
  <c r="H16" i="7"/>
  <c r="H14" i="7"/>
  <c r="H12" i="7"/>
  <c r="H10" i="7"/>
  <c r="H8" i="7"/>
  <c r="H6" i="7"/>
  <c r="D26" i="7"/>
  <c r="E26" i="7" s="1"/>
  <c r="D24" i="7"/>
  <c r="E24" i="7" s="1"/>
  <c r="D22" i="7"/>
  <c r="E22" i="7" s="1"/>
  <c r="D20" i="7"/>
  <c r="E20" i="7" s="1"/>
  <c r="D16" i="7"/>
  <c r="E16" i="7" s="1"/>
  <c r="D14" i="7"/>
  <c r="E14" i="7" s="1"/>
  <c r="G3" i="4"/>
  <c r="F81" i="4"/>
  <c r="H70" i="1"/>
  <c r="CK80" i="1"/>
  <c r="CK81" i="1"/>
  <c r="CB77" i="1"/>
  <c r="CC77" i="1"/>
  <c r="CD77" i="1"/>
  <c r="CE77" i="1"/>
  <c r="CF77" i="1"/>
  <c r="CG77" i="1"/>
  <c r="CH77" i="1"/>
  <c r="CI77" i="1"/>
  <c r="CJ77" i="1"/>
  <c r="BR77" i="1"/>
  <c r="BS77" i="1"/>
  <c r="BT77" i="1"/>
  <c r="BU77" i="1"/>
  <c r="BV77" i="1"/>
  <c r="BW77" i="1"/>
  <c r="BX77" i="1"/>
  <c r="BY77" i="1"/>
  <c r="BZ77" i="1"/>
  <c r="CA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AT77" i="1"/>
  <c r="AW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U77" i="1"/>
  <c r="AV77" i="1"/>
  <c r="E77" i="1"/>
  <c r="H11" i="1"/>
  <c r="H13" i="1" s="1"/>
  <c r="H9" i="1"/>
  <c r="H59" i="1"/>
  <c r="H61" i="1"/>
  <c r="H62" i="1"/>
  <c r="H66" i="1"/>
  <c r="J25" i="1"/>
  <c r="CP63" i="1"/>
  <c r="CP65" i="1"/>
  <c r="CP67" i="1"/>
  <c r="CP69" i="1"/>
  <c r="CP71" i="1"/>
  <c r="J59" i="1"/>
  <c r="K59" i="1" s="1"/>
  <c r="L59" i="1" s="1"/>
  <c r="M59" i="1" s="1"/>
  <c r="H29" i="7"/>
  <c r="H27" i="7"/>
  <c r="G25" i="7"/>
  <c r="G23" i="7"/>
  <c r="H23" i="7" s="1"/>
  <c r="H19" i="7"/>
  <c r="H15" i="7"/>
  <c r="H11" i="7"/>
  <c r="H7" i="7"/>
  <c r="C9" i="7"/>
  <c r="C25" i="7"/>
  <c r="C21" i="7"/>
  <c r="C17" i="7"/>
  <c r="H15" i="1"/>
  <c r="G3" i="1"/>
  <c r="J3" i="1"/>
  <c r="G35" i="1"/>
  <c r="G57" i="1"/>
  <c r="J57" i="1" s="1"/>
  <c r="G55" i="1"/>
  <c r="BC379" i="6" l="1"/>
  <c r="BD379" i="6" s="1"/>
  <c r="BE379" i="6" s="1"/>
  <c r="BF379" i="6" s="1"/>
  <c r="BG379" i="6" s="1"/>
  <c r="BH379" i="6" s="1"/>
  <c r="BI379" i="6" s="1"/>
  <c r="BJ379" i="6" s="1"/>
  <c r="BK379" i="6" s="1"/>
  <c r="BL379" i="6" s="1"/>
  <c r="BM379" i="6" s="1"/>
  <c r="BN379" i="6" s="1"/>
  <c r="BO379" i="6" s="1"/>
  <c r="BP379" i="6" s="1"/>
  <c r="BQ379" i="6" s="1"/>
  <c r="BR379" i="6" s="1"/>
  <c r="BS379" i="6" s="1"/>
  <c r="BT379" i="6" s="1"/>
  <c r="BU379" i="6" s="1"/>
  <c r="BV379" i="6" s="1"/>
  <c r="BW379" i="6" s="1"/>
  <c r="BX379" i="6" s="1"/>
  <c r="BY379" i="6" s="1"/>
  <c r="BZ379" i="6" s="1"/>
  <c r="CA379" i="6" s="1"/>
  <c r="CB379" i="6" s="1"/>
  <c r="CC379" i="6" s="1"/>
  <c r="CD379" i="6" s="1"/>
  <c r="CE379" i="6" s="1"/>
  <c r="CF379" i="6" s="1"/>
  <c r="CG379" i="6" s="1"/>
  <c r="CH379" i="6" s="1"/>
  <c r="CI379" i="6" s="1"/>
  <c r="CJ379" i="6" s="1"/>
  <c r="CK379" i="6" s="1"/>
  <c r="CL379" i="6" s="1"/>
  <c r="CM379" i="6" s="1"/>
  <c r="CN379" i="6" s="1"/>
  <c r="CO379" i="6" s="1"/>
  <c r="CP379" i="6"/>
  <c r="BC373" i="6"/>
  <c r="BD373" i="6" s="1"/>
  <c r="BE373" i="6" s="1"/>
  <c r="BF373" i="6" s="1"/>
  <c r="BG373" i="6" s="1"/>
  <c r="BH373" i="6" s="1"/>
  <c r="BI373" i="6" s="1"/>
  <c r="BJ373" i="6" s="1"/>
  <c r="BK373" i="6" s="1"/>
  <c r="BL373" i="6" s="1"/>
  <c r="BM373" i="6" s="1"/>
  <c r="BN373" i="6" s="1"/>
  <c r="BO373" i="6" s="1"/>
  <c r="BP373" i="6" s="1"/>
  <c r="BQ373" i="6" s="1"/>
  <c r="BR373" i="6" s="1"/>
  <c r="BS373" i="6" s="1"/>
  <c r="BT373" i="6" s="1"/>
  <c r="BU373" i="6" s="1"/>
  <c r="BV373" i="6" s="1"/>
  <c r="BW373" i="6" s="1"/>
  <c r="BX373" i="6" s="1"/>
  <c r="BY373" i="6" s="1"/>
  <c r="BZ373" i="6" s="1"/>
  <c r="CA373" i="6" s="1"/>
  <c r="CB373" i="6" s="1"/>
  <c r="CC373" i="6" s="1"/>
  <c r="CD373" i="6" s="1"/>
  <c r="CE373" i="6" s="1"/>
  <c r="CF373" i="6" s="1"/>
  <c r="CG373" i="6" s="1"/>
  <c r="CH373" i="6" s="1"/>
  <c r="CI373" i="6" s="1"/>
  <c r="CJ373" i="6" s="1"/>
  <c r="CK373" i="6" s="1"/>
  <c r="CL373" i="6" s="1"/>
  <c r="CM373" i="6" s="1"/>
  <c r="CN373" i="6" s="1"/>
  <c r="CO373" i="6" s="1"/>
  <c r="CP373" i="6"/>
  <c r="BC381" i="6"/>
  <c r="BD381" i="6" s="1"/>
  <c r="BE381" i="6" s="1"/>
  <c r="BF381" i="6" s="1"/>
  <c r="BG381" i="6" s="1"/>
  <c r="BH381" i="6" s="1"/>
  <c r="BI381" i="6" s="1"/>
  <c r="BJ381" i="6" s="1"/>
  <c r="BK381" i="6" s="1"/>
  <c r="BL381" i="6" s="1"/>
  <c r="BM381" i="6" s="1"/>
  <c r="BN381" i="6" s="1"/>
  <c r="BO381" i="6" s="1"/>
  <c r="BP381" i="6" s="1"/>
  <c r="BQ381" i="6" s="1"/>
  <c r="BR381" i="6" s="1"/>
  <c r="BS381" i="6" s="1"/>
  <c r="BT381" i="6" s="1"/>
  <c r="BU381" i="6" s="1"/>
  <c r="BV381" i="6" s="1"/>
  <c r="BW381" i="6" s="1"/>
  <c r="BX381" i="6" s="1"/>
  <c r="BY381" i="6" s="1"/>
  <c r="BZ381" i="6" s="1"/>
  <c r="CA381" i="6" s="1"/>
  <c r="CB381" i="6" s="1"/>
  <c r="CC381" i="6" s="1"/>
  <c r="CD381" i="6" s="1"/>
  <c r="CE381" i="6" s="1"/>
  <c r="CF381" i="6" s="1"/>
  <c r="CG381" i="6" s="1"/>
  <c r="CH381" i="6" s="1"/>
  <c r="CI381" i="6" s="1"/>
  <c r="CJ381" i="6" s="1"/>
  <c r="CK381" i="6" s="1"/>
  <c r="CL381" i="6" s="1"/>
  <c r="CM381" i="6" s="1"/>
  <c r="CN381" i="6" s="1"/>
  <c r="CO381" i="6" s="1"/>
  <c r="BC375" i="6"/>
  <c r="BD375" i="6" s="1"/>
  <c r="BE375" i="6" s="1"/>
  <c r="BF375" i="6" s="1"/>
  <c r="BG375" i="6" s="1"/>
  <c r="BH375" i="6" s="1"/>
  <c r="BI375" i="6" s="1"/>
  <c r="BJ375" i="6" s="1"/>
  <c r="BK375" i="6" s="1"/>
  <c r="BL375" i="6" s="1"/>
  <c r="BM375" i="6" s="1"/>
  <c r="BN375" i="6" s="1"/>
  <c r="BO375" i="6" s="1"/>
  <c r="BP375" i="6" s="1"/>
  <c r="BQ375" i="6" s="1"/>
  <c r="BR375" i="6" s="1"/>
  <c r="BS375" i="6" s="1"/>
  <c r="BT375" i="6" s="1"/>
  <c r="BU375" i="6" s="1"/>
  <c r="BV375" i="6" s="1"/>
  <c r="BW375" i="6" s="1"/>
  <c r="BX375" i="6" s="1"/>
  <c r="BY375" i="6" s="1"/>
  <c r="BZ375" i="6" s="1"/>
  <c r="CA375" i="6" s="1"/>
  <c r="CB375" i="6" s="1"/>
  <c r="CC375" i="6" s="1"/>
  <c r="CD375" i="6" s="1"/>
  <c r="CE375" i="6" s="1"/>
  <c r="CF375" i="6" s="1"/>
  <c r="CG375" i="6" s="1"/>
  <c r="CH375" i="6" s="1"/>
  <c r="CI375" i="6" s="1"/>
  <c r="CJ375" i="6" s="1"/>
  <c r="CK375" i="6" s="1"/>
  <c r="CL375" i="6" s="1"/>
  <c r="CM375" i="6" s="1"/>
  <c r="CN375" i="6" s="1"/>
  <c r="CO375" i="6" s="1"/>
  <c r="BC383" i="6"/>
  <c r="BD383" i="6" s="1"/>
  <c r="BE383" i="6" s="1"/>
  <c r="BF383" i="6" s="1"/>
  <c r="BG383" i="6" s="1"/>
  <c r="BH383" i="6" s="1"/>
  <c r="BI383" i="6" s="1"/>
  <c r="BJ383" i="6" s="1"/>
  <c r="BK383" i="6" s="1"/>
  <c r="BL383" i="6" s="1"/>
  <c r="BM383" i="6" s="1"/>
  <c r="BN383" i="6" s="1"/>
  <c r="BO383" i="6" s="1"/>
  <c r="BP383" i="6" s="1"/>
  <c r="BQ383" i="6" s="1"/>
  <c r="BR383" i="6" s="1"/>
  <c r="BS383" i="6" s="1"/>
  <c r="BT383" i="6" s="1"/>
  <c r="BU383" i="6" s="1"/>
  <c r="BV383" i="6" s="1"/>
  <c r="BW383" i="6" s="1"/>
  <c r="BX383" i="6" s="1"/>
  <c r="BY383" i="6" s="1"/>
  <c r="BZ383" i="6" s="1"/>
  <c r="CA383" i="6" s="1"/>
  <c r="CB383" i="6" s="1"/>
  <c r="CC383" i="6" s="1"/>
  <c r="CD383" i="6" s="1"/>
  <c r="CE383" i="6" s="1"/>
  <c r="CF383" i="6" s="1"/>
  <c r="CG383" i="6" s="1"/>
  <c r="CH383" i="6" s="1"/>
  <c r="CI383" i="6" s="1"/>
  <c r="CJ383" i="6" s="1"/>
  <c r="CK383" i="6" s="1"/>
  <c r="CL383" i="6" s="1"/>
  <c r="CM383" i="6" s="1"/>
  <c r="CN383" i="6" s="1"/>
  <c r="CO383" i="6" s="1"/>
  <c r="BC377" i="6"/>
  <c r="BD377" i="6" s="1"/>
  <c r="BE377" i="6" s="1"/>
  <c r="BF377" i="6" s="1"/>
  <c r="BG377" i="6" s="1"/>
  <c r="BH377" i="6" s="1"/>
  <c r="BI377" i="6" s="1"/>
  <c r="BJ377" i="6" s="1"/>
  <c r="BK377" i="6" s="1"/>
  <c r="BL377" i="6" s="1"/>
  <c r="BM377" i="6" s="1"/>
  <c r="BN377" i="6" s="1"/>
  <c r="BO377" i="6" s="1"/>
  <c r="BP377" i="6" s="1"/>
  <c r="BQ377" i="6" s="1"/>
  <c r="BR377" i="6" s="1"/>
  <c r="BS377" i="6" s="1"/>
  <c r="BT377" i="6" s="1"/>
  <c r="BU377" i="6" s="1"/>
  <c r="BV377" i="6" s="1"/>
  <c r="BW377" i="6" s="1"/>
  <c r="BX377" i="6" s="1"/>
  <c r="BY377" i="6" s="1"/>
  <c r="BZ377" i="6" s="1"/>
  <c r="CA377" i="6" s="1"/>
  <c r="CB377" i="6" s="1"/>
  <c r="CC377" i="6" s="1"/>
  <c r="CD377" i="6" s="1"/>
  <c r="CE377" i="6" s="1"/>
  <c r="CF377" i="6" s="1"/>
  <c r="CG377" i="6" s="1"/>
  <c r="CH377" i="6" s="1"/>
  <c r="CI377" i="6" s="1"/>
  <c r="CJ377" i="6" s="1"/>
  <c r="CK377" i="6" s="1"/>
  <c r="CL377" i="6" s="1"/>
  <c r="CM377" i="6" s="1"/>
  <c r="CN377" i="6" s="1"/>
  <c r="CO377" i="6" s="1"/>
  <c r="BC385" i="6"/>
  <c r="BD385" i="6" s="1"/>
  <c r="BE385" i="6" s="1"/>
  <c r="BF385" i="6" s="1"/>
  <c r="BG385" i="6" s="1"/>
  <c r="BH385" i="6" s="1"/>
  <c r="BI385" i="6" s="1"/>
  <c r="BJ385" i="6" s="1"/>
  <c r="BK385" i="6" s="1"/>
  <c r="BL385" i="6" s="1"/>
  <c r="BM385" i="6" s="1"/>
  <c r="BN385" i="6" s="1"/>
  <c r="BO385" i="6" s="1"/>
  <c r="BP385" i="6" s="1"/>
  <c r="BQ385" i="6" s="1"/>
  <c r="BR385" i="6" s="1"/>
  <c r="BS385" i="6" s="1"/>
  <c r="BT385" i="6" s="1"/>
  <c r="BU385" i="6" s="1"/>
  <c r="BV385" i="6" s="1"/>
  <c r="BW385" i="6" s="1"/>
  <c r="BX385" i="6" s="1"/>
  <c r="BY385" i="6" s="1"/>
  <c r="BZ385" i="6" s="1"/>
  <c r="CA385" i="6" s="1"/>
  <c r="CB385" i="6" s="1"/>
  <c r="CC385" i="6" s="1"/>
  <c r="CD385" i="6" s="1"/>
  <c r="CE385" i="6" s="1"/>
  <c r="CF385" i="6" s="1"/>
  <c r="CG385" i="6" s="1"/>
  <c r="CH385" i="6" s="1"/>
  <c r="CI385" i="6" s="1"/>
  <c r="CJ385" i="6" s="1"/>
  <c r="CK385" i="6" s="1"/>
  <c r="CL385" i="6" s="1"/>
  <c r="CM385" i="6" s="1"/>
  <c r="CN385" i="6" s="1"/>
  <c r="CO385" i="6" s="1"/>
  <c r="P84" i="6"/>
  <c r="Q84" i="6" s="1"/>
  <c r="P306" i="6"/>
  <c r="Q306" i="6" s="1"/>
  <c r="P309" i="6"/>
  <c r="Q309" i="6" s="1"/>
  <c r="R309" i="6" s="1"/>
  <c r="S309" i="6" s="1"/>
  <c r="T309" i="6" s="1"/>
  <c r="U309" i="6" s="1"/>
  <c r="P259" i="6"/>
  <c r="Q259" i="6" s="1"/>
  <c r="U366" i="6"/>
  <c r="V366" i="6" s="1"/>
  <c r="W366" i="6" s="1"/>
  <c r="X366" i="6" s="1"/>
  <c r="Y366" i="6" s="1"/>
  <c r="T366" i="6"/>
  <c r="H81" i="4"/>
  <c r="F82" i="4"/>
  <c r="J8" i="5"/>
  <c r="M21" i="8"/>
  <c r="B8" i="7" s="1"/>
  <c r="M3" i="8"/>
  <c r="M4" i="8"/>
  <c r="L5" i="5"/>
  <c r="M5" i="5" s="1"/>
  <c r="CP381" i="6"/>
  <c r="L261" i="6"/>
  <c r="M261" i="6" s="1"/>
  <c r="L257" i="6"/>
  <c r="M257" i="6" s="1"/>
  <c r="L326" i="6"/>
  <c r="M326" i="6" s="1"/>
  <c r="N326" i="6" s="1"/>
  <c r="O326" i="6" s="1"/>
  <c r="L342" i="6"/>
  <c r="M342" i="6" s="1"/>
  <c r="N342" i="6" s="1"/>
  <c r="O342" i="6" s="1"/>
  <c r="L172" i="6"/>
  <c r="M172" i="6" s="1"/>
  <c r="N172" i="6" s="1"/>
  <c r="O172" i="6" s="1"/>
  <c r="L90" i="6"/>
  <c r="M90" i="6" s="1"/>
  <c r="N90" i="6" s="1"/>
  <c r="O90" i="6" s="1"/>
  <c r="L251" i="6"/>
  <c r="M251" i="6" s="1"/>
  <c r="L338" i="6"/>
  <c r="M338" i="6" s="1"/>
  <c r="N338" i="6" s="1"/>
  <c r="O338" i="6" s="1"/>
  <c r="L256" i="6"/>
  <c r="M256" i="6" s="1"/>
  <c r="K5" i="4"/>
  <c r="L5" i="4" s="1"/>
  <c r="M5" i="4" s="1"/>
  <c r="D30" i="11"/>
  <c r="D31" i="11" s="1"/>
  <c r="C31" i="11"/>
  <c r="M12" i="8"/>
  <c r="M7" i="8"/>
  <c r="P16" i="7" s="1"/>
  <c r="M11" i="8"/>
  <c r="M6" i="8"/>
  <c r="L19" i="8"/>
  <c r="M14" i="8"/>
  <c r="M10" i="8"/>
  <c r="L305" i="6"/>
  <c r="L344" i="6"/>
  <c r="M344" i="6" s="1"/>
  <c r="K175" i="6"/>
  <c r="L175" i="6" s="1"/>
  <c r="M175" i="6" s="1"/>
  <c r="K328" i="6"/>
  <c r="L13" i="8"/>
  <c r="K13" i="8"/>
  <c r="K19" i="8"/>
  <c r="P18" i="7"/>
  <c r="C29" i="7"/>
  <c r="C11" i="7"/>
  <c r="C15" i="7"/>
  <c r="C19" i="7"/>
  <c r="C23" i="7"/>
  <c r="C27" i="7"/>
  <c r="H9" i="7"/>
  <c r="H13" i="7"/>
  <c r="H17" i="7"/>
  <c r="H21" i="7"/>
  <c r="H25" i="7"/>
  <c r="CP385" i="6" l="1"/>
  <c r="CP377" i="6"/>
  <c r="CP383" i="6"/>
  <c r="CP375" i="6"/>
  <c r="E83" i="4"/>
  <c r="D105" i="4"/>
  <c r="P338" i="6"/>
  <c r="Q338" i="6" s="1"/>
  <c r="R338" i="6" s="1"/>
  <c r="S338" i="6" s="1"/>
  <c r="T338" i="6" s="1"/>
  <c r="U338" i="6" s="1"/>
  <c r="P90" i="6"/>
  <c r="Q90" i="6" s="1"/>
  <c r="P342" i="6"/>
  <c r="Q342" i="6" s="1"/>
  <c r="P172" i="6"/>
  <c r="Q172" i="6" s="1"/>
  <c r="P326" i="6"/>
  <c r="Q326" i="6" s="1"/>
  <c r="R326" i="6" s="1"/>
  <c r="S326" i="6" s="1"/>
  <c r="T326" i="6" s="1"/>
  <c r="U326" i="6" s="1"/>
  <c r="E31" i="11"/>
  <c r="B12" i="7"/>
  <c r="D12" i="7" s="1"/>
  <c r="D8" i="7"/>
  <c r="B10" i="7"/>
  <c r="D10" i="7" s="1"/>
  <c r="P20" i="7"/>
  <c r="H34" i="11"/>
  <c r="P15" i="7"/>
  <c r="P21" i="7"/>
  <c r="M19" i="8"/>
  <c r="P19" i="7"/>
  <c r="M13" i="8"/>
  <c r="M305" i="6"/>
  <c r="E10" i="7" l="1"/>
  <c r="R88" i="6"/>
  <c r="N86" i="6"/>
  <c r="P12" i="7"/>
  <c r="P13" i="7"/>
  <c r="R68" i="6"/>
  <c r="CP68" i="6" s="1"/>
  <c r="E8" i="7"/>
  <c r="E12" i="7"/>
  <c r="P14" i="7"/>
  <c r="P22" i="7"/>
  <c r="G30" i="7"/>
  <c r="P17" i="7"/>
  <c r="G6" i="7"/>
  <c r="G22" i="7"/>
  <c r="I22" i="7" s="1"/>
  <c r="G20" i="7"/>
  <c r="I20" i="7" s="1"/>
  <c r="G14" i="7"/>
  <c r="I14" i="7" s="1"/>
  <c r="V309" i="6" s="1"/>
  <c r="G28" i="7"/>
  <c r="I28" i="7" s="1"/>
  <c r="G12" i="7"/>
  <c r="G26" i="7"/>
  <c r="I26" i="7" s="1"/>
  <c r="G10" i="7"/>
  <c r="G24" i="7"/>
  <c r="I24" i="7" s="1"/>
  <c r="G16" i="7"/>
  <c r="G8" i="7"/>
  <c r="N59" i="1"/>
  <c r="O59" i="1" s="1"/>
  <c r="P59" i="1" s="1"/>
  <c r="Q59" i="1" s="1"/>
  <c r="P24" i="7" l="1"/>
  <c r="I8" i="7"/>
  <c r="N78" i="6" s="1"/>
  <c r="O78" i="6" s="1"/>
  <c r="I16" i="7"/>
  <c r="N332" i="6" s="1"/>
  <c r="I10" i="7"/>
  <c r="S88" i="6" s="1"/>
  <c r="T88" i="6" s="1"/>
  <c r="U88" i="6" s="1"/>
  <c r="V88" i="6" s="1"/>
  <c r="W88" i="6" s="1"/>
  <c r="X88" i="6" s="1"/>
  <c r="Y88" i="6" s="1"/>
  <c r="Z88" i="6" s="1"/>
  <c r="I6" i="7"/>
  <c r="R59" i="1"/>
  <c r="S59" i="1" s="1"/>
  <c r="I12" i="7"/>
  <c r="N177" i="6" s="1"/>
  <c r="O177" i="6" s="1"/>
  <c r="I30" i="7"/>
  <c r="AT26" i="6"/>
  <c r="AP28" i="6"/>
  <c r="AT22" i="6"/>
  <c r="AH23" i="6"/>
  <c r="AX23" i="6"/>
  <c r="AL24" i="6"/>
  <c r="AH30" i="6"/>
  <c r="AX30" i="6"/>
  <c r="AL34" i="6"/>
  <c r="AT34" i="6"/>
  <c r="AP26" i="6"/>
  <c r="AX26" i="6"/>
  <c r="AL28" i="6"/>
  <c r="AT28" i="6"/>
  <c r="BB28" i="6"/>
  <c r="AH22" i="6"/>
  <c r="AP22" i="6"/>
  <c r="AX22" i="6"/>
  <c r="AL23" i="6"/>
  <c r="AT23" i="6"/>
  <c r="AH24" i="6"/>
  <c r="AP24" i="6"/>
  <c r="AX24" i="6"/>
  <c r="AH28" i="6"/>
  <c r="AL30" i="6"/>
  <c r="AT30" i="6"/>
  <c r="BB30" i="6"/>
  <c r="AP34" i="6"/>
  <c r="BB34" i="6"/>
  <c r="AH44" i="6"/>
  <c r="AP44" i="6"/>
  <c r="AX44" i="6"/>
  <c r="AL46" i="6"/>
  <c r="AT46" i="6"/>
  <c r="BB46" i="6"/>
  <c r="AD22" i="6"/>
  <c r="AD24" i="6"/>
  <c r="AD28" i="6"/>
  <c r="AD34" i="6"/>
  <c r="AD46" i="6"/>
  <c r="AH34" i="6"/>
  <c r="AX34" i="6"/>
  <c r="AL44" i="6"/>
  <c r="AT44" i="6"/>
  <c r="BB44" i="6"/>
  <c r="AH46" i="6"/>
  <c r="AP46" i="6"/>
  <c r="AX46" i="6"/>
  <c r="AD23" i="6"/>
  <c r="AD26" i="6"/>
  <c r="AD30" i="6"/>
  <c r="AD44" i="6"/>
  <c r="N5" i="5"/>
  <c r="O5" i="5" s="1"/>
  <c r="P5" i="5" s="1"/>
  <c r="Q5" i="5" s="1"/>
  <c r="W309" i="6"/>
  <c r="X309" i="6" s="1"/>
  <c r="Y309" i="6" s="1"/>
  <c r="Z309" i="6" s="1"/>
  <c r="O332" i="6"/>
  <c r="L396" i="6"/>
  <c r="M396" i="6" s="1"/>
  <c r="N251" i="6"/>
  <c r="N257" i="6"/>
  <c r="N340" i="6"/>
  <c r="N318" i="6"/>
  <c r="J388" i="6"/>
  <c r="J368" i="6"/>
  <c r="J382" i="6"/>
  <c r="J380" i="6"/>
  <c r="J392" i="6"/>
  <c r="J378" i="6"/>
  <c r="N336" i="6"/>
  <c r="V82" i="6"/>
  <c r="R328" i="6"/>
  <c r="N334" i="6"/>
  <c r="V338" i="6"/>
  <c r="N344" i="6"/>
  <c r="O344" i="6" s="1"/>
  <c r="V326" i="6"/>
  <c r="N352" i="6"/>
  <c r="R172" i="6"/>
  <c r="V330" i="6"/>
  <c r="R342" i="6"/>
  <c r="R84" i="6"/>
  <c r="N170" i="6"/>
  <c r="N305" i="6"/>
  <c r="N173" i="6"/>
  <c r="N179" i="6"/>
  <c r="N76" i="6"/>
  <c r="R259" i="6"/>
  <c r="N316" i="6"/>
  <c r="J72" i="1"/>
  <c r="J73" i="1" s="1"/>
  <c r="N256" i="6"/>
  <c r="N254" i="6"/>
  <c r="N252" i="6"/>
  <c r="N181" i="6"/>
  <c r="N312" i="6"/>
  <c r="N322" i="6"/>
  <c r="N261" i="6"/>
  <c r="N308" i="6"/>
  <c r="N320" i="6"/>
  <c r="R306" i="6"/>
  <c r="N80" i="6"/>
  <c r="N307" i="6"/>
  <c r="N314" i="6"/>
  <c r="N71" i="6"/>
  <c r="N168" i="6"/>
  <c r="N164" i="6"/>
  <c r="N74" i="6"/>
  <c r="N72" i="6"/>
  <c r="N162" i="6"/>
  <c r="R90" i="6"/>
  <c r="N166" i="6"/>
  <c r="P332" i="6" l="1"/>
  <c r="Q332" i="6" s="1"/>
  <c r="R332" i="6" s="1"/>
  <c r="S332" i="6" s="1"/>
  <c r="T332" i="6" s="1"/>
  <c r="U332" i="6" s="1"/>
  <c r="P177" i="6"/>
  <c r="Q177" i="6" s="1"/>
  <c r="R177" i="6" s="1"/>
  <c r="S177" i="6" s="1"/>
  <c r="T177" i="6" s="1"/>
  <c r="U177" i="6" s="1"/>
  <c r="P344" i="6"/>
  <c r="Q344" i="6" s="1"/>
  <c r="R344" i="6" s="1"/>
  <c r="S344" i="6" s="1"/>
  <c r="T344" i="6" s="1"/>
  <c r="U344" i="6" s="1"/>
  <c r="P78" i="6"/>
  <c r="Q78" i="6" s="1"/>
  <c r="R78" i="6" s="1"/>
  <c r="S78" i="6" s="1"/>
  <c r="T78" i="6" s="1"/>
  <c r="U78" i="6" s="1"/>
  <c r="T59" i="1"/>
  <c r="U59" i="1" s="1"/>
  <c r="Z367" i="6"/>
  <c r="CP367" i="6" s="1"/>
  <c r="Z366" i="6"/>
  <c r="J370" i="6"/>
  <c r="K370" i="6" s="1"/>
  <c r="L370" i="6" s="1"/>
  <c r="M370" i="6" s="1"/>
  <c r="N370" i="6" s="1"/>
  <c r="O370" i="6" s="1"/>
  <c r="J390" i="6"/>
  <c r="K390" i="6" s="1"/>
  <c r="L390" i="6" s="1"/>
  <c r="M390" i="6" s="1"/>
  <c r="J386" i="6"/>
  <c r="K386" i="6" s="1"/>
  <c r="L386" i="6" s="1"/>
  <c r="M386" i="6" s="1"/>
  <c r="N386" i="6" s="1"/>
  <c r="O386" i="6" s="1"/>
  <c r="J376" i="6"/>
  <c r="K376" i="6" s="1"/>
  <c r="L376" i="6" s="1"/>
  <c r="M376" i="6" s="1"/>
  <c r="J374" i="6"/>
  <c r="K374" i="6" s="1"/>
  <c r="L374" i="6" s="1"/>
  <c r="M374" i="6" s="1"/>
  <c r="N374" i="6" s="1"/>
  <c r="O374" i="6" s="1"/>
  <c r="J372" i="6"/>
  <c r="K372" i="6" s="1"/>
  <c r="L372" i="6" s="1"/>
  <c r="M372" i="6" s="1"/>
  <c r="J384" i="6"/>
  <c r="K384" i="6" s="1"/>
  <c r="L384" i="6" s="1"/>
  <c r="M384" i="6" s="1"/>
  <c r="N384" i="6" s="1"/>
  <c r="O384" i="6" s="1"/>
  <c r="AT20" i="4"/>
  <c r="BJ20" i="4"/>
  <c r="BZ20" i="4"/>
  <c r="AL6" i="4"/>
  <c r="BR6" i="4"/>
  <c r="CH6" i="4"/>
  <c r="AP10" i="4"/>
  <c r="BF10" i="4"/>
  <c r="BV10" i="4"/>
  <c r="CL10" i="4"/>
  <c r="AH20" i="4"/>
  <c r="BN20" i="4"/>
  <c r="AT6" i="4"/>
  <c r="CL6" i="4"/>
  <c r="BJ10" i="4"/>
  <c r="AH12" i="4"/>
  <c r="BB12" i="4"/>
  <c r="BR12" i="4"/>
  <c r="CH12" i="4"/>
  <c r="AP18" i="4"/>
  <c r="BF18" i="4"/>
  <c r="BV18" i="4"/>
  <c r="CL18" i="4"/>
  <c r="AT22" i="4"/>
  <c r="BJ22" i="4"/>
  <c r="BZ22" i="4"/>
  <c r="AH32" i="4"/>
  <c r="AX32" i="4"/>
  <c r="BN32" i="4"/>
  <c r="CD32" i="4"/>
  <c r="AL34" i="4"/>
  <c r="BB34" i="4"/>
  <c r="BR34" i="4"/>
  <c r="CH34" i="4"/>
  <c r="AP38" i="4"/>
  <c r="BF38" i="4"/>
  <c r="BV38" i="4"/>
  <c r="CL38" i="4"/>
  <c r="AT40" i="4"/>
  <c r="BJ40" i="4"/>
  <c r="BZ40" i="4"/>
  <c r="AH42" i="4"/>
  <c r="AX42" i="4"/>
  <c r="BN42" i="4"/>
  <c r="CD42" i="4"/>
  <c r="AL46" i="4"/>
  <c r="BB46" i="4"/>
  <c r="BR46" i="4"/>
  <c r="CH46" i="4"/>
  <c r="AP62" i="4"/>
  <c r="BF62" i="4"/>
  <c r="BV62" i="4"/>
  <c r="CL62" i="4"/>
  <c r="AT64" i="4"/>
  <c r="BJ64" i="4"/>
  <c r="BZ64" i="4"/>
  <c r="AH66" i="4"/>
  <c r="AX66" i="4"/>
  <c r="BN66" i="4"/>
  <c r="CD66" i="4"/>
  <c r="AD10" i="4"/>
  <c r="AD22" i="4"/>
  <c r="AD40" i="4"/>
  <c r="AD64" i="4"/>
  <c r="CL20" i="4"/>
  <c r="AL10" i="4"/>
  <c r="AP12" i="4"/>
  <c r="BV12" i="4"/>
  <c r="AT18" i="4"/>
  <c r="BZ18" i="4"/>
  <c r="AX22" i="4"/>
  <c r="CD22" i="4"/>
  <c r="BB32" i="4"/>
  <c r="CH32" i="4"/>
  <c r="BF34" i="4"/>
  <c r="CL34" i="4"/>
  <c r="BJ38" i="4"/>
  <c r="AH40" i="4"/>
  <c r="BN40" i="4"/>
  <c r="AL42" i="4"/>
  <c r="BR42" i="4"/>
  <c r="AP46" i="4"/>
  <c r="BV46" i="4"/>
  <c r="AT62" i="4"/>
  <c r="BZ62" i="4"/>
  <c r="AX64" i="4"/>
  <c r="CD64" i="4"/>
  <c r="BB66" i="4"/>
  <c r="CH66" i="4"/>
  <c r="AD32" i="4"/>
  <c r="AD66" i="4"/>
  <c r="BV20" i="4"/>
  <c r="BB10" i="4"/>
  <c r="AX12" i="4"/>
  <c r="CD12" i="4"/>
  <c r="BB18" i="4"/>
  <c r="CH18" i="4"/>
  <c r="BF22" i="4"/>
  <c r="CL22" i="4"/>
  <c r="BJ32" i="4"/>
  <c r="AH34" i="4"/>
  <c r="BN34" i="4"/>
  <c r="AL38" i="4"/>
  <c r="BR38" i="4"/>
  <c r="AP40" i="4"/>
  <c r="BV40" i="4"/>
  <c r="AT42" i="4"/>
  <c r="BZ42" i="4"/>
  <c r="AX46" i="4"/>
  <c r="CD46" i="4"/>
  <c r="BB62" i="4"/>
  <c r="CH62" i="4"/>
  <c r="BF64" i="4"/>
  <c r="CL64" i="4"/>
  <c r="BJ66" i="4"/>
  <c r="AD6" i="4"/>
  <c r="AD38" i="4"/>
  <c r="AP6" i="4"/>
  <c r="AH6" i="4"/>
  <c r="BN6" i="4"/>
  <c r="AL20" i="4"/>
  <c r="BB20" i="4"/>
  <c r="BR20" i="4"/>
  <c r="CH20" i="4"/>
  <c r="BB6" i="4"/>
  <c r="BZ6" i="4"/>
  <c r="AH10" i="4"/>
  <c r="AX10" i="4"/>
  <c r="BN10" i="4"/>
  <c r="CD10" i="4"/>
  <c r="AL12" i="4"/>
  <c r="AX20" i="4"/>
  <c r="CD20" i="4"/>
  <c r="BV6" i="4"/>
  <c r="AT10" i="4"/>
  <c r="BZ10" i="4"/>
  <c r="AT12" i="4"/>
  <c r="BJ12" i="4"/>
  <c r="BZ12" i="4"/>
  <c r="AH18" i="4"/>
  <c r="AX18" i="4"/>
  <c r="BN18" i="4"/>
  <c r="CD18" i="4"/>
  <c r="AL22" i="4"/>
  <c r="BB22" i="4"/>
  <c r="BR22" i="4"/>
  <c r="CH22" i="4"/>
  <c r="AP32" i="4"/>
  <c r="BF32" i="4"/>
  <c r="BV32" i="4"/>
  <c r="CL32" i="4"/>
  <c r="AT34" i="4"/>
  <c r="BJ34" i="4"/>
  <c r="BZ34" i="4"/>
  <c r="AH38" i="4"/>
  <c r="AX38" i="4"/>
  <c r="BN38" i="4"/>
  <c r="CD38" i="4"/>
  <c r="AL40" i="4"/>
  <c r="BB40" i="4"/>
  <c r="BR40" i="4"/>
  <c r="CH40" i="4"/>
  <c r="AP42" i="4"/>
  <c r="BF42" i="4"/>
  <c r="BV42" i="4"/>
  <c r="CL42" i="4"/>
  <c r="AT46" i="4"/>
  <c r="BJ46" i="4"/>
  <c r="BZ46" i="4"/>
  <c r="AH62" i="4"/>
  <c r="AX62" i="4"/>
  <c r="CD62" i="4"/>
  <c r="BB64" i="4"/>
  <c r="CH64" i="4"/>
  <c r="BF66" i="4"/>
  <c r="CL66" i="4"/>
  <c r="AD34" i="4"/>
  <c r="BF20" i="4"/>
  <c r="BR10" i="4"/>
  <c r="CL12" i="4"/>
  <c r="AH22" i="4"/>
  <c r="AL32" i="4"/>
  <c r="AP34" i="4"/>
  <c r="AT38" i="4"/>
  <c r="AX40" i="4"/>
  <c r="BB42" i="4"/>
  <c r="BF46" i="4"/>
  <c r="BJ62" i="4"/>
  <c r="BN64" i="4"/>
  <c r="BR66" i="4"/>
  <c r="AD42" i="4"/>
  <c r="CD6" i="4"/>
  <c r="BN12" i="4"/>
  <c r="BR18" i="4"/>
  <c r="BV22" i="4"/>
  <c r="BZ32" i="4"/>
  <c r="CD34" i="4"/>
  <c r="CH38" i="4"/>
  <c r="CL40" i="4"/>
  <c r="AH46" i="4"/>
  <c r="AL62" i="4"/>
  <c r="AP64" i="4"/>
  <c r="AT66" i="4"/>
  <c r="AD20" i="4"/>
  <c r="BF6" i="4"/>
  <c r="BN62" i="4"/>
  <c r="AL64" i="4"/>
  <c r="BR64" i="4"/>
  <c r="AP66" i="4"/>
  <c r="BV66" i="4"/>
  <c r="AD18" i="4"/>
  <c r="AD46" i="4"/>
  <c r="BJ6" i="4"/>
  <c r="BF12" i="4"/>
  <c r="BJ18" i="4"/>
  <c r="BN22" i="4"/>
  <c r="BR32" i="4"/>
  <c r="BV34" i="4"/>
  <c r="BZ38" i="4"/>
  <c r="CD40" i="4"/>
  <c r="CH42" i="4"/>
  <c r="CL46" i="4"/>
  <c r="AH64" i="4"/>
  <c r="AL66" i="4"/>
  <c r="AD12" i="4"/>
  <c r="AP20" i="4"/>
  <c r="CH10" i="4"/>
  <c r="AL18" i="4"/>
  <c r="AP22" i="4"/>
  <c r="AT32" i="4"/>
  <c r="AX34" i="4"/>
  <c r="BB38" i="4"/>
  <c r="BF40" i="4"/>
  <c r="BJ42" i="4"/>
  <c r="BN46" i="4"/>
  <c r="BR62" i="4"/>
  <c r="BV64" i="4"/>
  <c r="BZ66" i="4"/>
  <c r="AD62" i="4"/>
  <c r="AX6" i="4"/>
  <c r="J81" i="4"/>
  <c r="K81" i="4" s="1"/>
  <c r="L81" i="4" s="1"/>
  <c r="M81" i="4" s="1"/>
  <c r="N23" i="4"/>
  <c r="O23" i="4" s="1"/>
  <c r="P23" i="4" s="1"/>
  <c r="Q23" i="4" s="1"/>
  <c r="R23" i="4" s="1"/>
  <c r="S23" i="4" s="1"/>
  <c r="T23" i="4" s="1"/>
  <c r="U23" i="4" s="1"/>
  <c r="V23" i="4" s="1"/>
  <c r="W23" i="4" s="1"/>
  <c r="X23" i="4" s="1"/>
  <c r="Y23" i="4" s="1"/>
  <c r="Z23" i="4" s="1"/>
  <c r="AA23" i="4" s="1"/>
  <c r="AB23" i="4" s="1"/>
  <c r="AC23" i="4" s="1"/>
  <c r="AD23" i="4" s="1"/>
  <c r="AE23" i="4" s="1"/>
  <c r="AF23" i="4" s="1"/>
  <c r="AG23" i="4" s="1"/>
  <c r="AH23" i="4" s="1"/>
  <c r="AI23" i="4" s="1"/>
  <c r="AJ23" i="4" s="1"/>
  <c r="AK23" i="4" s="1"/>
  <c r="AL23" i="4" s="1"/>
  <c r="AM23" i="4" s="1"/>
  <c r="AN23" i="4" s="1"/>
  <c r="AO23" i="4" s="1"/>
  <c r="AP23" i="4" s="1"/>
  <c r="AQ23" i="4" s="1"/>
  <c r="AR23" i="4" s="1"/>
  <c r="AS23" i="4" s="1"/>
  <c r="AT23" i="4" s="1"/>
  <c r="AU23" i="4" s="1"/>
  <c r="AV23" i="4" s="1"/>
  <c r="AW23" i="4" s="1"/>
  <c r="AX23" i="4" s="1"/>
  <c r="AY23" i="4" s="1"/>
  <c r="AZ23" i="4" s="1"/>
  <c r="BA23" i="4" s="1"/>
  <c r="BB23" i="4" s="1"/>
  <c r="BC23" i="4" s="1"/>
  <c r="BD23" i="4" s="1"/>
  <c r="BE23" i="4" s="1"/>
  <c r="BF23" i="4" s="1"/>
  <c r="BG23" i="4" s="1"/>
  <c r="BH23" i="4" s="1"/>
  <c r="BI23" i="4" s="1"/>
  <c r="BJ23" i="4" s="1"/>
  <c r="BK23" i="4" s="1"/>
  <c r="BL23" i="4" s="1"/>
  <c r="BM23" i="4" s="1"/>
  <c r="BN23" i="4" s="1"/>
  <c r="BO23" i="4" s="1"/>
  <c r="BP23" i="4" s="1"/>
  <c r="BQ23" i="4" s="1"/>
  <c r="BR23" i="4" s="1"/>
  <c r="BS23" i="4" s="1"/>
  <c r="BT23" i="4" s="1"/>
  <c r="BU23" i="4" s="1"/>
  <c r="BV23" i="4" s="1"/>
  <c r="BW23" i="4" s="1"/>
  <c r="BX23" i="4" s="1"/>
  <c r="BY23" i="4" s="1"/>
  <c r="BZ23" i="4" s="1"/>
  <c r="CA23" i="4" s="1"/>
  <c r="CB23" i="4" s="1"/>
  <c r="CC23" i="4" s="1"/>
  <c r="CD23" i="4" s="1"/>
  <c r="CE23" i="4" s="1"/>
  <c r="CF23" i="4" s="1"/>
  <c r="CG23" i="4" s="1"/>
  <c r="CH23" i="4" s="1"/>
  <c r="CI23" i="4" s="1"/>
  <c r="CJ23" i="4" s="1"/>
  <c r="CK23" i="4" s="1"/>
  <c r="CL23" i="4" s="1"/>
  <c r="CM23" i="4" s="1"/>
  <c r="CN23" i="4" s="1"/>
  <c r="CO23" i="4" s="1"/>
  <c r="AP30" i="6"/>
  <c r="CP30" i="6" s="1"/>
  <c r="AH26" i="6"/>
  <c r="AT24" i="6"/>
  <c r="CP24" i="6" s="1"/>
  <c r="AP23" i="6"/>
  <c r="CP23" i="6" s="1"/>
  <c r="AL22" i="6"/>
  <c r="CP22" i="6" s="1"/>
  <c r="AX28" i="6"/>
  <c r="CP28" i="6" s="1"/>
  <c r="BB26" i="6"/>
  <c r="AL26" i="6"/>
  <c r="J394" i="6"/>
  <c r="K394" i="6" s="1"/>
  <c r="L394" i="6" s="1"/>
  <c r="M394" i="6" s="1"/>
  <c r="N394" i="6" s="1"/>
  <c r="O394" i="6" s="1"/>
  <c r="N175" i="6"/>
  <c r="O175" i="6" s="1"/>
  <c r="N5" i="4"/>
  <c r="O5" i="4" s="1"/>
  <c r="P5" i="4" s="1"/>
  <c r="Q5" i="4" s="1"/>
  <c r="N324" i="6"/>
  <c r="O324" i="6" s="1"/>
  <c r="N376" i="6"/>
  <c r="O376" i="6" s="1"/>
  <c r="N372" i="6"/>
  <c r="O372" i="6" s="1"/>
  <c r="N390" i="6"/>
  <c r="O390" i="6" s="1"/>
  <c r="N396" i="6"/>
  <c r="O396" i="6" s="1"/>
  <c r="CP44" i="6"/>
  <c r="N81" i="4"/>
  <c r="O81" i="4" s="1"/>
  <c r="P81" i="4" s="1"/>
  <c r="Q81" i="4" s="1"/>
  <c r="R81" i="4" s="1"/>
  <c r="S81" i="4" s="1"/>
  <c r="T81" i="4" s="1"/>
  <c r="U81" i="4" s="1"/>
  <c r="R5" i="4"/>
  <c r="S5" i="4" s="1"/>
  <c r="T5" i="4" s="1"/>
  <c r="U5" i="4" s="1"/>
  <c r="V5" i="4" s="1"/>
  <c r="W5" i="4" s="1"/>
  <c r="X5" i="4" s="1"/>
  <c r="Y5" i="4" s="1"/>
  <c r="Z5" i="4" s="1"/>
  <c r="AA5" i="4" s="1"/>
  <c r="AB5" i="4" s="1"/>
  <c r="AC5" i="4" s="1"/>
  <c r="AD5" i="4" s="1"/>
  <c r="AE5" i="4" s="1"/>
  <c r="AF5" i="4" s="1"/>
  <c r="AG5" i="4" s="1"/>
  <c r="AH5" i="4" s="1"/>
  <c r="AI5" i="4" s="1"/>
  <c r="AJ5" i="4" s="1"/>
  <c r="AK5" i="4" s="1"/>
  <c r="AL5" i="4" s="1"/>
  <c r="AM5" i="4" s="1"/>
  <c r="AN5" i="4" s="1"/>
  <c r="AO5" i="4" s="1"/>
  <c r="AP5" i="4" s="1"/>
  <c r="AQ5" i="4" s="1"/>
  <c r="AR5" i="4" s="1"/>
  <c r="AS5" i="4" s="1"/>
  <c r="AT5" i="4" s="1"/>
  <c r="AU5" i="4" s="1"/>
  <c r="AV5" i="4" s="1"/>
  <c r="AW5" i="4" s="1"/>
  <c r="AX5" i="4" s="1"/>
  <c r="AY5" i="4" s="1"/>
  <c r="AZ5" i="4" s="1"/>
  <c r="BA5" i="4" s="1"/>
  <c r="BB5" i="4" s="1"/>
  <c r="BC5" i="4" s="1"/>
  <c r="BD5" i="4" s="1"/>
  <c r="BE5" i="4" s="1"/>
  <c r="BF5" i="4" s="1"/>
  <c r="BG5" i="4" s="1"/>
  <c r="BH5" i="4" s="1"/>
  <c r="BI5" i="4" s="1"/>
  <c r="BJ5" i="4" s="1"/>
  <c r="BK5" i="4" s="1"/>
  <c r="BL5" i="4" s="1"/>
  <c r="BM5" i="4" s="1"/>
  <c r="BN5" i="4" s="1"/>
  <c r="BO5" i="4" s="1"/>
  <c r="BP5" i="4" s="1"/>
  <c r="BQ5" i="4" s="1"/>
  <c r="BR5" i="4" s="1"/>
  <c r="BS5" i="4" s="1"/>
  <c r="BT5" i="4" s="1"/>
  <c r="BU5" i="4" s="1"/>
  <c r="BV5" i="4" s="1"/>
  <c r="BW5" i="4" s="1"/>
  <c r="BX5" i="4" s="1"/>
  <c r="BY5" i="4" s="1"/>
  <c r="BZ5" i="4" s="1"/>
  <c r="CA5" i="4" s="1"/>
  <c r="CB5" i="4" s="1"/>
  <c r="CC5" i="4" s="1"/>
  <c r="CD5" i="4" s="1"/>
  <c r="CE5" i="4" s="1"/>
  <c r="CF5" i="4" s="1"/>
  <c r="CG5" i="4" s="1"/>
  <c r="CH5" i="4" s="1"/>
  <c r="CI5" i="4" s="1"/>
  <c r="CJ5" i="4" s="1"/>
  <c r="CK5" i="4" s="1"/>
  <c r="CL5" i="4" s="1"/>
  <c r="CM5" i="4" s="1"/>
  <c r="CN5" i="4" s="1"/>
  <c r="CO5" i="4" s="1"/>
  <c r="CP46" i="6"/>
  <c r="CP34" i="6"/>
  <c r="AA309" i="6"/>
  <c r="AB309" i="6" s="1"/>
  <c r="AC309" i="6" s="1"/>
  <c r="AD309" i="6" s="1"/>
  <c r="AE309" i="6" s="1"/>
  <c r="R5" i="5"/>
  <c r="S5" i="5" s="1"/>
  <c r="T5" i="5" s="1"/>
  <c r="U5" i="5" s="1"/>
  <c r="V5" i="5" s="1"/>
  <c r="W5" i="5" s="1"/>
  <c r="X5" i="5" s="1"/>
  <c r="Y5" i="5" s="1"/>
  <c r="Z5" i="5" s="1"/>
  <c r="AA5" i="5" s="1"/>
  <c r="AB5" i="5" s="1"/>
  <c r="AC5" i="5" s="1"/>
  <c r="AD5" i="5" s="1"/>
  <c r="AE5" i="5" s="1"/>
  <c r="AF5" i="5" s="1"/>
  <c r="AG5" i="5" s="1"/>
  <c r="AH5" i="5" s="1"/>
  <c r="AI5" i="5" s="1"/>
  <c r="AJ5" i="5" s="1"/>
  <c r="AK5" i="5" s="1"/>
  <c r="AL5" i="5" s="1"/>
  <c r="AM5" i="5" s="1"/>
  <c r="AN5" i="5" s="1"/>
  <c r="AO5" i="5" s="1"/>
  <c r="AP5" i="5" s="1"/>
  <c r="AQ5" i="5" s="1"/>
  <c r="AR5" i="5" s="1"/>
  <c r="AS5" i="5" s="1"/>
  <c r="AT5" i="5" s="1"/>
  <c r="AU5" i="5" s="1"/>
  <c r="AV5" i="5" s="1"/>
  <c r="AW5" i="5" s="1"/>
  <c r="AX5" i="5" s="1"/>
  <c r="AY5" i="5" s="1"/>
  <c r="AZ5" i="5" s="1"/>
  <c r="BA5" i="5" s="1"/>
  <c r="BB5" i="5" s="1"/>
  <c r="BC5" i="5" s="1"/>
  <c r="BD5" i="5" s="1"/>
  <c r="BE5" i="5" s="1"/>
  <c r="BF5" i="5" s="1"/>
  <c r="BG5" i="5" s="1"/>
  <c r="BH5" i="5" s="1"/>
  <c r="BI5" i="5" s="1"/>
  <c r="BJ5" i="5" s="1"/>
  <c r="BK5" i="5" s="1"/>
  <c r="BL5" i="5" s="1"/>
  <c r="BM5" i="5" s="1"/>
  <c r="BN5" i="5" s="1"/>
  <c r="BO5" i="5" s="1"/>
  <c r="BP5" i="5" s="1"/>
  <c r="BQ5" i="5" s="1"/>
  <c r="BR5" i="5" s="1"/>
  <c r="BS5" i="5" s="1"/>
  <c r="BT5" i="5" s="1"/>
  <c r="BU5" i="5" s="1"/>
  <c r="BV5" i="5" s="1"/>
  <c r="BW5" i="5" s="1"/>
  <c r="BX5" i="5" s="1"/>
  <c r="BY5" i="5" s="1"/>
  <c r="BZ5" i="5" s="1"/>
  <c r="CA5" i="5" s="1"/>
  <c r="CB5" i="5" s="1"/>
  <c r="CC5" i="5" s="1"/>
  <c r="CD5" i="5" s="1"/>
  <c r="CE5" i="5" s="1"/>
  <c r="CF5" i="5" s="1"/>
  <c r="CG5" i="5" s="1"/>
  <c r="CI5" i="5" s="1"/>
  <c r="CJ5" i="5" s="1"/>
  <c r="O76" i="6"/>
  <c r="S84" i="6"/>
  <c r="T84" i="6" s="1"/>
  <c r="U84" i="6" s="1"/>
  <c r="S90" i="6"/>
  <c r="T90" i="6" s="1"/>
  <c r="U90" i="6" s="1"/>
  <c r="O72" i="6"/>
  <c r="O164" i="6"/>
  <c r="O168" i="6"/>
  <c r="P168" i="6" s="1"/>
  <c r="O314" i="6"/>
  <c r="O80" i="6"/>
  <c r="O320" i="6"/>
  <c r="O261" i="6"/>
  <c r="O312" i="6"/>
  <c r="O252" i="6"/>
  <c r="O256" i="6"/>
  <c r="S259" i="6"/>
  <c r="T259" i="6" s="1"/>
  <c r="U259" i="6" s="1"/>
  <c r="O179" i="6"/>
  <c r="O305" i="6"/>
  <c r="O170" i="6"/>
  <c r="S342" i="6"/>
  <c r="T342" i="6" s="1"/>
  <c r="U342" i="6" s="1"/>
  <c r="S172" i="6"/>
  <c r="T172" i="6" s="1"/>
  <c r="U172" i="6" s="1"/>
  <c r="W326" i="6"/>
  <c r="X326" i="6" s="1"/>
  <c r="Y326" i="6" s="1"/>
  <c r="W338" i="6"/>
  <c r="X338" i="6" s="1"/>
  <c r="Y338" i="6" s="1"/>
  <c r="S328" i="6"/>
  <c r="T328" i="6" s="1"/>
  <c r="U328" i="6" s="1"/>
  <c r="O336" i="6"/>
  <c r="K392" i="6"/>
  <c r="L392" i="6" s="1"/>
  <c r="M392" i="6" s="1"/>
  <c r="K382" i="6"/>
  <c r="L382" i="6" s="1"/>
  <c r="M382" i="6" s="1"/>
  <c r="K388" i="6"/>
  <c r="L388" i="6" s="1"/>
  <c r="M388" i="6" s="1"/>
  <c r="O340" i="6"/>
  <c r="O251" i="6"/>
  <c r="O166" i="6"/>
  <c r="O162" i="6"/>
  <c r="O74" i="6"/>
  <c r="O86" i="6"/>
  <c r="O71" i="6"/>
  <c r="O307" i="6"/>
  <c r="S306" i="6"/>
  <c r="T306" i="6" s="1"/>
  <c r="U306" i="6" s="1"/>
  <c r="O308" i="6"/>
  <c r="O322" i="6"/>
  <c r="P322" i="6" s="1"/>
  <c r="O181" i="6"/>
  <c r="O254" i="6"/>
  <c r="O316" i="6"/>
  <c r="P316" i="6" s="1"/>
  <c r="O310" i="6"/>
  <c r="P310" i="6" s="1"/>
  <c r="O173" i="6"/>
  <c r="W330" i="6"/>
  <c r="X330" i="6" s="1"/>
  <c r="Y330" i="6" s="1"/>
  <c r="O352" i="6"/>
  <c r="O334" i="6"/>
  <c r="W82" i="6"/>
  <c r="X82" i="6" s="1"/>
  <c r="Y82" i="6" s="1"/>
  <c r="K378" i="6"/>
  <c r="L378" i="6" s="1"/>
  <c r="M378" i="6" s="1"/>
  <c r="K380" i="6"/>
  <c r="L380" i="6" s="1"/>
  <c r="M380" i="6" s="1"/>
  <c r="K368" i="6"/>
  <c r="L368" i="6" s="1"/>
  <c r="M368" i="6" s="1"/>
  <c r="O318" i="6"/>
  <c r="P318" i="6" s="1"/>
  <c r="O257" i="6"/>
  <c r="K72" i="1"/>
  <c r="K73" i="1" s="1"/>
  <c r="CP26" i="6" l="1"/>
  <c r="CK5" i="5"/>
  <c r="CM5" i="5" s="1"/>
  <c r="CN5" i="5" s="1"/>
  <c r="CO5" i="5" s="1"/>
  <c r="P257" i="6"/>
  <c r="Q257" i="6" s="1"/>
  <c r="R257" i="6" s="1"/>
  <c r="S257" i="6" s="1"/>
  <c r="T257" i="6" s="1"/>
  <c r="U257" i="6" s="1"/>
  <c r="P334" i="6"/>
  <c r="Q334" i="6" s="1"/>
  <c r="R334" i="6" s="1"/>
  <c r="S334" i="6" s="1"/>
  <c r="T334" i="6" s="1"/>
  <c r="U334" i="6" s="1"/>
  <c r="P254" i="6"/>
  <c r="Q254" i="6" s="1"/>
  <c r="R254" i="6" s="1"/>
  <c r="S254" i="6" s="1"/>
  <c r="T254" i="6" s="1"/>
  <c r="U254" i="6" s="1"/>
  <c r="P71" i="6"/>
  <c r="Q71" i="6" s="1"/>
  <c r="R71" i="6" s="1"/>
  <c r="S71" i="6" s="1"/>
  <c r="T71" i="6" s="1"/>
  <c r="U71" i="6" s="1"/>
  <c r="V71" i="6" s="1"/>
  <c r="W71" i="6" s="1"/>
  <c r="P74" i="6"/>
  <c r="Q74" i="6" s="1"/>
  <c r="R74" i="6" s="1"/>
  <c r="S74" i="6" s="1"/>
  <c r="T74" i="6" s="1"/>
  <c r="U74" i="6" s="1"/>
  <c r="P166" i="6"/>
  <c r="Q166" i="6" s="1"/>
  <c r="R166" i="6" s="1"/>
  <c r="S166" i="6" s="1"/>
  <c r="T166" i="6" s="1"/>
  <c r="U166" i="6" s="1"/>
  <c r="P340" i="6"/>
  <c r="Q340" i="6" s="1"/>
  <c r="R340" i="6" s="1"/>
  <c r="S340" i="6" s="1"/>
  <c r="T340" i="6" s="1"/>
  <c r="U340" i="6" s="1"/>
  <c r="P336" i="6"/>
  <c r="Q336" i="6" s="1"/>
  <c r="R336" i="6" s="1"/>
  <c r="S336" i="6" s="1"/>
  <c r="T336" i="6" s="1"/>
  <c r="U336" i="6" s="1"/>
  <c r="P170" i="6"/>
  <c r="Q170" i="6" s="1"/>
  <c r="R170" i="6" s="1"/>
  <c r="S170" i="6" s="1"/>
  <c r="T170" i="6" s="1"/>
  <c r="U170" i="6" s="1"/>
  <c r="P179" i="6"/>
  <c r="Q179" i="6" s="1"/>
  <c r="R179" i="6" s="1"/>
  <c r="S179" i="6" s="1"/>
  <c r="T179" i="6" s="1"/>
  <c r="U179" i="6" s="1"/>
  <c r="P256" i="6"/>
  <c r="Q256" i="6" s="1"/>
  <c r="R256" i="6" s="1"/>
  <c r="S256" i="6" s="1"/>
  <c r="T256" i="6" s="1"/>
  <c r="U256" i="6" s="1"/>
  <c r="P312" i="6"/>
  <c r="Q312" i="6" s="1"/>
  <c r="R312" i="6" s="1"/>
  <c r="S312" i="6" s="1"/>
  <c r="T312" i="6" s="1"/>
  <c r="U312" i="6" s="1"/>
  <c r="P320" i="6"/>
  <c r="Q320" i="6" s="1"/>
  <c r="R320" i="6" s="1"/>
  <c r="S320" i="6" s="1"/>
  <c r="T320" i="6" s="1"/>
  <c r="U320" i="6" s="1"/>
  <c r="P314" i="6"/>
  <c r="Q314" i="6" s="1"/>
  <c r="R314" i="6" s="1"/>
  <c r="S314" i="6" s="1"/>
  <c r="T314" i="6" s="1"/>
  <c r="U314" i="6" s="1"/>
  <c r="P164" i="6"/>
  <c r="Q164" i="6" s="1"/>
  <c r="R164" i="6" s="1"/>
  <c r="S164" i="6" s="1"/>
  <c r="T164" i="6" s="1"/>
  <c r="U164" i="6" s="1"/>
  <c r="P76" i="6"/>
  <c r="Q76" i="6" s="1"/>
  <c r="R76" i="6" s="1"/>
  <c r="S76" i="6" s="1"/>
  <c r="T76" i="6" s="1"/>
  <c r="U76" i="6" s="1"/>
  <c r="P396" i="6"/>
  <c r="Q396" i="6" s="1"/>
  <c r="R396" i="6" s="1"/>
  <c r="S396" i="6" s="1"/>
  <c r="T396" i="6" s="1"/>
  <c r="U396" i="6" s="1"/>
  <c r="V396" i="6" s="1"/>
  <c r="W396" i="6" s="1"/>
  <c r="X396" i="6" s="1"/>
  <c r="Y396" i="6" s="1"/>
  <c r="P376" i="6"/>
  <c r="Q376" i="6" s="1"/>
  <c r="R376" i="6" s="1"/>
  <c r="S376" i="6" s="1"/>
  <c r="T376" i="6" s="1"/>
  <c r="U376" i="6" s="1"/>
  <c r="V376" i="6" s="1"/>
  <c r="W376" i="6" s="1"/>
  <c r="X376" i="6" s="1"/>
  <c r="Y376" i="6" s="1"/>
  <c r="Z376" i="6" s="1"/>
  <c r="AA376" i="6" s="1"/>
  <c r="AB376" i="6" s="1"/>
  <c r="AC376" i="6" s="1"/>
  <c r="AD376" i="6" s="1"/>
  <c r="AE376" i="6" s="1"/>
  <c r="AF376" i="6" s="1"/>
  <c r="AG376" i="6" s="1"/>
  <c r="AH376" i="6" s="1"/>
  <c r="AI376" i="6" s="1"/>
  <c r="AJ376" i="6" s="1"/>
  <c r="AK376" i="6" s="1"/>
  <c r="AL376" i="6" s="1"/>
  <c r="AM376" i="6" s="1"/>
  <c r="AN376" i="6" s="1"/>
  <c r="AO376" i="6" s="1"/>
  <c r="AP376" i="6" s="1"/>
  <c r="AQ376" i="6" s="1"/>
  <c r="AR376" i="6" s="1"/>
  <c r="AS376" i="6" s="1"/>
  <c r="AT376" i="6" s="1"/>
  <c r="AU376" i="6" s="1"/>
  <c r="AV376" i="6" s="1"/>
  <c r="AW376" i="6" s="1"/>
  <c r="AX376" i="6" s="1"/>
  <c r="AY376" i="6" s="1"/>
  <c r="AZ376" i="6" s="1"/>
  <c r="BA376" i="6" s="1"/>
  <c r="BB376" i="6" s="1"/>
  <c r="P394" i="6"/>
  <c r="Q394" i="6" s="1"/>
  <c r="R394" i="6" s="1"/>
  <c r="S394" i="6" s="1"/>
  <c r="T394" i="6" s="1"/>
  <c r="U394" i="6" s="1"/>
  <c r="V394" i="6" s="1"/>
  <c r="W394" i="6" s="1"/>
  <c r="X394" i="6" s="1"/>
  <c r="Y394" i="6" s="1"/>
  <c r="Z394" i="6" s="1"/>
  <c r="AA394" i="6" s="1"/>
  <c r="AB394" i="6" s="1"/>
  <c r="AC394" i="6" s="1"/>
  <c r="AD394" i="6" s="1"/>
  <c r="AE394" i="6" s="1"/>
  <c r="AF394" i="6" s="1"/>
  <c r="AG394" i="6" s="1"/>
  <c r="AH394" i="6" s="1"/>
  <c r="AI394" i="6" s="1"/>
  <c r="AJ394" i="6" s="1"/>
  <c r="AK394" i="6" s="1"/>
  <c r="AL394" i="6" s="1"/>
  <c r="AM394" i="6" s="1"/>
  <c r="AN394" i="6" s="1"/>
  <c r="AO394" i="6" s="1"/>
  <c r="AP394" i="6" s="1"/>
  <c r="AQ394" i="6" s="1"/>
  <c r="AR394" i="6" s="1"/>
  <c r="AS394" i="6" s="1"/>
  <c r="AT394" i="6" s="1"/>
  <c r="AU394" i="6" s="1"/>
  <c r="AV394" i="6" s="1"/>
  <c r="AW394" i="6" s="1"/>
  <c r="AX394" i="6" s="1"/>
  <c r="AY394" i="6" s="1"/>
  <c r="AZ394" i="6" s="1"/>
  <c r="BA394" i="6" s="1"/>
  <c r="BB394" i="6" s="1"/>
  <c r="P384" i="6"/>
  <c r="Q384" i="6" s="1"/>
  <c r="R384" i="6" s="1"/>
  <c r="S384" i="6" s="1"/>
  <c r="T384" i="6" s="1"/>
  <c r="U384" i="6" s="1"/>
  <c r="V384" i="6" s="1"/>
  <c r="W384" i="6" s="1"/>
  <c r="X384" i="6" s="1"/>
  <c r="Y384" i="6" s="1"/>
  <c r="Z384" i="6" s="1"/>
  <c r="AA384" i="6" s="1"/>
  <c r="AB384" i="6" s="1"/>
  <c r="AC384" i="6" s="1"/>
  <c r="AD384" i="6" s="1"/>
  <c r="AE384" i="6" s="1"/>
  <c r="AF384" i="6" s="1"/>
  <c r="AG384" i="6" s="1"/>
  <c r="AH384" i="6" s="1"/>
  <c r="AI384" i="6" s="1"/>
  <c r="AJ384" i="6" s="1"/>
  <c r="AK384" i="6" s="1"/>
  <c r="AL384" i="6" s="1"/>
  <c r="AM384" i="6" s="1"/>
  <c r="AN384" i="6" s="1"/>
  <c r="AO384" i="6" s="1"/>
  <c r="AP384" i="6" s="1"/>
  <c r="AQ384" i="6" s="1"/>
  <c r="AR384" i="6" s="1"/>
  <c r="AS384" i="6" s="1"/>
  <c r="AT384" i="6" s="1"/>
  <c r="AU384" i="6" s="1"/>
  <c r="AV384" i="6" s="1"/>
  <c r="AW384" i="6" s="1"/>
  <c r="AX384" i="6" s="1"/>
  <c r="AY384" i="6" s="1"/>
  <c r="AZ384" i="6" s="1"/>
  <c r="BA384" i="6" s="1"/>
  <c r="BB384" i="6" s="1"/>
  <c r="P374" i="6"/>
  <c r="Q374" i="6" s="1"/>
  <c r="R374" i="6" s="1"/>
  <c r="S374" i="6" s="1"/>
  <c r="T374" i="6" s="1"/>
  <c r="U374" i="6" s="1"/>
  <c r="V374" i="6" s="1"/>
  <c r="W374" i="6" s="1"/>
  <c r="X374" i="6" s="1"/>
  <c r="Y374" i="6" s="1"/>
  <c r="Z374" i="6" s="1"/>
  <c r="AA374" i="6" s="1"/>
  <c r="AB374" i="6" s="1"/>
  <c r="AC374" i="6" s="1"/>
  <c r="AD374" i="6" s="1"/>
  <c r="AE374" i="6" s="1"/>
  <c r="AF374" i="6" s="1"/>
  <c r="AG374" i="6" s="1"/>
  <c r="AH374" i="6" s="1"/>
  <c r="AI374" i="6" s="1"/>
  <c r="AJ374" i="6" s="1"/>
  <c r="AK374" i="6" s="1"/>
  <c r="AL374" i="6" s="1"/>
  <c r="AM374" i="6" s="1"/>
  <c r="AN374" i="6" s="1"/>
  <c r="AO374" i="6" s="1"/>
  <c r="AP374" i="6" s="1"/>
  <c r="AQ374" i="6" s="1"/>
  <c r="AR374" i="6" s="1"/>
  <c r="AS374" i="6" s="1"/>
  <c r="AT374" i="6" s="1"/>
  <c r="AU374" i="6" s="1"/>
  <c r="AV374" i="6" s="1"/>
  <c r="AW374" i="6" s="1"/>
  <c r="AX374" i="6" s="1"/>
  <c r="AY374" i="6" s="1"/>
  <c r="AZ374" i="6" s="1"/>
  <c r="BA374" i="6" s="1"/>
  <c r="BB374" i="6" s="1"/>
  <c r="P386" i="6"/>
  <c r="Q386" i="6" s="1"/>
  <c r="R386" i="6" s="1"/>
  <c r="S386" i="6" s="1"/>
  <c r="T386" i="6" s="1"/>
  <c r="U386" i="6" s="1"/>
  <c r="V386" i="6" s="1"/>
  <c r="W386" i="6" s="1"/>
  <c r="X386" i="6" s="1"/>
  <c r="Y386" i="6" s="1"/>
  <c r="Z386" i="6" s="1"/>
  <c r="AA386" i="6" s="1"/>
  <c r="AB386" i="6" s="1"/>
  <c r="AC386" i="6" s="1"/>
  <c r="AD386" i="6" s="1"/>
  <c r="AE386" i="6" s="1"/>
  <c r="AF386" i="6" s="1"/>
  <c r="AG386" i="6" s="1"/>
  <c r="AH386" i="6" s="1"/>
  <c r="AI386" i="6" s="1"/>
  <c r="AJ386" i="6" s="1"/>
  <c r="AK386" i="6" s="1"/>
  <c r="AL386" i="6" s="1"/>
  <c r="AM386" i="6" s="1"/>
  <c r="AN386" i="6" s="1"/>
  <c r="AO386" i="6" s="1"/>
  <c r="AP386" i="6" s="1"/>
  <c r="AQ386" i="6" s="1"/>
  <c r="AR386" i="6" s="1"/>
  <c r="AS386" i="6" s="1"/>
  <c r="AT386" i="6" s="1"/>
  <c r="AU386" i="6" s="1"/>
  <c r="AV386" i="6" s="1"/>
  <c r="AW386" i="6" s="1"/>
  <c r="AX386" i="6" s="1"/>
  <c r="AY386" i="6" s="1"/>
  <c r="AZ386" i="6" s="1"/>
  <c r="BA386" i="6" s="1"/>
  <c r="BB386" i="6" s="1"/>
  <c r="P370" i="6"/>
  <c r="Q370" i="6" s="1"/>
  <c r="R370" i="6" s="1"/>
  <c r="S370" i="6" s="1"/>
  <c r="T370" i="6" s="1"/>
  <c r="U370" i="6" s="1"/>
  <c r="V370" i="6" s="1"/>
  <c r="W370" i="6" s="1"/>
  <c r="X370" i="6" s="1"/>
  <c r="Y370" i="6" s="1"/>
  <c r="Z370" i="6" s="1"/>
  <c r="AA370" i="6" s="1"/>
  <c r="AB370" i="6" s="1"/>
  <c r="AC370" i="6" s="1"/>
  <c r="AD370" i="6" s="1"/>
  <c r="AE370" i="6" s="1"/>
  <c r="AF370" i="6" s="1"/>
  <c r="AG370" i="6" s="1"/>
  <c r="AH370" i="6" s="1"/>
  <c r="AI370" i="6" s="1"/>
  <c r="AJ370" i="6" s="1"/>
  <c r="AK370" i="6" s="1"/>
  <c r="AL370" i="6" s="1"/>
  <c r="AM370" i="6" s="1"/>
  <c r="AN370" i="6" s="1"/>
  <c r="AO370" i="6" s="1"/>
  <c r="AP370" i="6" s="1"/>
  <c r="AQ370" i="6" s="1"/>
  <c r="AR370" i="6" s="1"/>
  <c r="AS370" i="6" s="1"/>
  <c r="AT370" i="6" s="1"/>
  <c r="AU370" i="6" s="1"/>
  <c r="AV370" i="6" s="1"/>
  <c r="AW370" i="6" s="1"/>
  <c r="AX370" i="6" s="1"/>
  <c r="AY370" i="6" s="1"/>
  <c r="AZ370" i="6" s="1"/>
  <c r="BA370" i="6" s="1"/>
  <c r="BB370" i="6" s="1"/>
  <c r="P352" i="6"/>
  <c r="Q352" i="6" s="1"/>
  <c r="R352" i="6" s="1"/>
  <c r="S352" i="6" s="1"/>
  <c r="T352" i="6" s="1"/>
  <c r="U352" i="6" s="1"/>
  <c r="P173" i="6"/>
  <c r="Q173" i="6" s="1"/>
  <c r="R173" i="6" s="1"/>
  <c r="S173" i="6" s="1"/>
  <c r="T173" i="6" s="1"/>
  <c r="U173" i="6" s="1"/>
  <c r="P181" i="6"/>
  <c r="Q181" i="6" s="1"/>
  <c r="R181" i="6" s="1"/>
  <c r="S181" i="6" s="1"/>
  <c r="T181" i="6" s="1"/>
  <c r="U181" i="6" s="1"/>
  <c r="P308" i="6"/>
  <c r="Q308" i="6" s="1"/>
  <c r="R308" i="6" s="1"/>
  <c r="S308" i="6" s="1"/>
  <c r="T308" i="6" s="1"/>
  <c r="U308" i="6" s="1"/>
  <c r="P307" i="6"/>
  <c r="Q307" i="6" s="1"/>
  <c r="R307" i="6" s="1"/>
  <c r="S307" i="6" s="1"/>
  <c r="T307" i="6" s="1"/>
  <c r="U307" i="6" s="1"/>
  <c r="P86" i="6"/>
  <c r="Q86" i="6" s="1"/>
  <c r="R86" i="6" s="1"/>
  <c r="S86" i="6" s="1"/>
  <c r="T86" i="6" s="1"/>
  <c r="U86" i="6" s="1"/>
  <c r="P162" i="6"/>
  <c r="Q162" i="6" s="1"/>
  <c r="R162" i="6" s="1"/>
  <c r="S162" i="6" s="1"/>
  <c r="T162" i="6" s="1"/>
  <c r="U162" i="6" s="1"/>
  <c r="P251" i="6"/>
  <c r="Q251" i="6" s="1"/>
  <c r="R251" i="6" s="1"/>
  <c r="S251" i="6" s="1"/>
  <c r="T251" i="6" s="1"/>
  <c r="U251" i="6" s="1"/>
  <c r="P305" i="6"/>
  <c r="Q305" i="6" s="1"/>
  <c r="R305" i="6" s="1"/>
  <c r="S305" i="6" s="1"/>
  <c r="T305" i="6" s="1"/>
  <c r="U305" i="6" s="1"/>
  <c r="P252" i="6"/>
  <c r="Q252" i="6" s="1"/>
  <c r="R252" i="6" s="1"/>
  <c r="S252" i="6" s="1"/>
  <c r="T252" i="6" s="1"/>
  <c r="U252" i="6" s="1"/>
  <c r="P261" i="6"/>
  <c r="Q261" i="6" s="1"/>
  <c r="R261" i="6" s="1"/>
  <c r="S261" i="6" s="1"/>
  <c r="T261" i="6" s="1"/>
  <c r="U261" i="6" s="1"/>
  <c r="P80" i="6"/>
  <c r="Q80" i="6" s="1"/>
  <c r="R80" i="6" s="1"/>
  <c r="S80" i="6" s="1"/>
  <c r="T80" i="6" s="1"/>
  <c r="U80" i="6" s="1"/>
  <c r="P72" i="6"/>
  <c r="Q72" i="6" s="1"/>
  <c r="R72" i="6" s="1"/>
  <c r="S72" i="6" s="1"/>
  <c r="T72" i="6" s="1"/>
  <c r="U72" i="6" s="1"/>
  <c r="P390" i="6"/>
  <c r="Q390" i="6" s="1"/>
  <c r="R390" i="6" s="1"/>
  <c r="S390" i="6" s="1"/>
  <c r="T390" i="6" s="1"/>
  <c r="U390" i="6" s="1"/>
  <c r="V390" i="6" s="1"/>
  <c r="W390" i="6" s="1"/>
  <c r="X390" i="6" s="1"/>
  <c r="Y390" i="6" s="1"/>
  <c r="Z390" i="6" s="1"/>
  <c r="AA390" i="6" s="1"/>
  <c r="AB390" i="6" s="1"/>
  <c r="AC390" i="6" s="1"/>
  <c r="AD390" i="6" s="1"/>
  <c r="AE390" i="6" s="1"/>
  <c r="AF390" i="6" s="1"/>
  <c r="AG390" i="6" s="1"/>
  <c r="AH390" i="6" s="1"/>
  <c r="AI390" i="6" s="1"/>
  <c r="AJ390" i="6" s="1"/>
  <c r="AK390" i="6" s="1"/>
  <c r="AL390" i="6" s="1"/>
  <c r="AM390" i="6" s="1"/>
  <c r="AN390" i="6" s="1"/>
  <c r="AO390" i="6" s="1"/>
  <c r="AP390" i="6" s="1"/>
  <c r="AQ390" i="6" s="1"/>
  <c r="AR390" i="6" s="1"/>
  <c r="AS390" i="6" s="1"/>
  <c r="AT390" i="6" s="1"/>
  <c r="AU390" i="6" s="1"/>
  <c r="AV390" i="6" s="1"/>
  <c r="AW390" i="6" s="1"/>
  <c r="AX390" i="6" s="1"/>
  <c r="AY390" i="6" s="1"/>
  <c r="AZ390" i="6" s="1"/>
  <c r="BA390" i="6" s="1"/>
  <c r="BB390" i="6" s="1"/>
  <c r="P372" i="6"/>
  <c r="Q372" i="6" s="1"/>
  <c r="R372" i="6" s="1"/>
  <c r="S372" i="6" s="1"/>
  <c r="T372" i="6" s="1"/>
  <c r="U372" i="6" s="1"/>
  <c r="V372" i="6" s="1"/>
  <c r="W372" i="6" s="1"/>
  <c r="X372" i="6" s="1"/>
  <c r="Y372" i="6" s="1"/>
  <c r="Z372" i="6" s="1"/>
  <c r="AA372" i="6" s="1"/>
  <c r="AB372" i="6" s="1"/>
  <c r="AC372" i="6" s="1"/>
  <c r="AD372" i="6" s="1"/>
  <c r="AE372" i="6" s="1"/>
  <c r="AF372" i="6" s="1"/>
  <c r="AG372" i="6" s="1"/>
  <c r="AH372" i="6" s="1"/>
  <c r="AI372" i="6" s="1"/>
  <c r="AJ372" i="6" s="1"/>
  <c r="AK372" i="6" s="1"/>
  <c r="AL372" i="6" s="1"/>
  <c r="AM372" i="6" s="1"/>
  <c r="AN372" i="6" s="1"/>
  <c r="AO372" i="6" s="1"/>
  <c r="AP372" i="6" s="1"/>
  <c r="AQ372" i="6" s="1"/>
  <c r="AR372" i="6" s="1"/>
  <c r="AS372" i="6" s="1"/>
  <c r="AT372" i="6" s="1"/>
  <c r="AU372" i="6" s="1"/>
  <c r="AV372" i="6" s="1"/>
  <c r="AW372" i="6" s="1"/>
  <c r="AX372" i="6" s="1"/>
  <c r="AY372" i="6" s="1"/>
  <c r="AZ372" i="6" s="1"/>
  <c r="BA372" i="6" s="1"/>
  <c r="BB372" i="6" s="1"/>
  <c r="P324" i="6"/>
  <c r="Q324" i="6" s="1"/>
  <c r="P175" i="6"/>
  <c r="Q175" i="6" s="1"/>
  <c r="R175" i="6" s="1"/>
  <c r="S175" i="6" s="1"/>
  <c r="T175" i="6" s="1"/>
  <c r="U175" i="6" s="1"/>
  <c r="V175" i="6" s="1"/>
  <c r="W175" i="6" s="1"/>
  <c r="CP62" i="4"/>
  <c r="CP12" i="4"/>
  <c r="CP18" i="4"/>
  <c r="CP42" i="4"/>
  <c r="CP34" i="4"/>
  <c r="CP38" i="4"/>
  <c r="CP66" i="4"/>
  <c r="CP40" i="4"/>
  <c r="CP10" i="4"/>
  <c r="AA366" i="6"/>
  <c r="AB366" i="6" s="1"/>
  <c r="AC366" i="6" s="1"/>
  <c r="AD366" i="6" s="1"/>
  <c r="AE366" i="6" s="1"/>
  <c r="AF366" i="6" s="1"/>
  <c r="AG366" i="6" s="1"/>
  <c r="AH366" i="6" s="1"/>
  <c r="AI366" i="6" s="1"/>
  <c r="AJ366" i="6" s="1"/>
  <c r="AK366" i="6" s="1"/>
  <c r="AL366" i="6" s="1"/>
  <c r="AM366" i="6" s="1"/>
  <c r="AN366" i="6" s="1"/>
  <c r="AO366" i="6" s="1"/>
  <c r="AP366" i="6" s="1"/>
  <c r="AQ366" i="6" s="1"/>
  <c r="AR366" i="6" s="1"/>
  <c r="AS366" i="6" s="1"/>
  <c r="AT366" i="6" s="1"/>
  <c r="AU366" i="6" s="1"/>
  <c r="AV366" i="6" s="1"/>
  <c r="AW366" i="6" s="1"/>
  <c r="AX366" i="6" s="1"/>
  <c r="AY366" i="6" s="1"/>
  <c r="AZ366" i="6" s="1"/>
  <c r="BA366" i="6" s="1"/>
  <c r="BB366" i="6" s="1"/>
  <c r="CP46" i="4"/>
  <c r="CP20" i="4"/>
  <c r="CP6" i="4"/>
  <c r="CP32" i="4"/>
  <c r="CP64" i="4"/>
  <c r="CP22" i="4"/>
  <c r="V59" i="1"/>
  <c r="W59" i="1" s="1"/>
  <c r="X59" i="1" s="1"/>
  <c r="Y59" i="1" s="1"/>
  <c r="Z59" i="1" s="1"/>
  <c r="AA59" i="1" s="1"/>
  <c r="AB59" i="1" s="1"/>
  <c r="AC59" i="1" s="1"/>
  <c r="AD59" i="1" s="1"/>
  <c r="AE59" i="1" s="1"/>
  <c r="AF59" i="1" s="1"/>
  <c r="AG59" i="1" s="1"/>
  <c r="AH59" i="1" s="1"/>
  <c r="AI59" i="1" s="1"/>
  <c r="AJ59" i="1" s="1"/>
  <c r="AK59" i="1" s="1"/>
  <c r="AL59" i="1" s="1"/>
  <c r="AM59" i="1" s="1"/>
  <c r="AN59" i="1" s="1"/>
  <c r="AO59" i="1" s="1"/>
  <c r="AP59" i="1" s="1"/>
  <c r="AQ59" i="1" s="1"/>
  <c r="AR59" i="1" s="1"/>
  <c r="AS59" i="1" s="1"/>
  <c r="AT59" i="1" s="1"/>
  <c r="AU59" i="1" s="1"/>
  <c r="AV59" i="1" s="1"/>
  <c r="AW59" i="1" s="1"/>
  <c r="AX59" i="1" s="1"/>
  <c r="AY59" i="1" s="1"/>
  <c r="AZ59" i="1" s="1"/>
  <c r="BA59" i="1" s="1"/>
  <c r="BB59" i="1" s="1"/>
  <c r="BC59" i="1" s="1"/>
  <c r="BD59" i="1" s="1"/>
  <c r="BE59" i="1" s="1"/>
  <c r="BF59" i="1" s="1"/>
  <c r="BG59" i="1" s="1"/>
  <c r="BH59" i="1" s="1"/>
  <c r="BI59" i="1" s="1"/>
  <c r="BJ59" i="1" s="1"/>
  <c r="BK59" i="1" s="1"/>
  <c r="BL59" i="1" s="1"/>
  <c r="BM59" i="1" s="1"/>
  <c r="BN59" i="1" s="1"/>
  <c r="BO59" i="1" s="1"/>
  <c r="BP59" i="1" s="1"/>
  <c r="BQ59" i="1" s="1"/>
  <c r="BR59" i="1" s="1"/>
  <c r="BS59" i="1" s="1"/>
  <c r="BT59" i="1" s="1"/>
  <c r="BU59" i="1" s="1"/>
  <c r="BV59" i="1" s="1"/>
  <c r="BW59" i="1" s="1"/>
  <c r="BX59" i="1" s="1"/>
  <c r="BY59" i="1" s="1"/>
  <c r="CA59" i="1" s="1"/>
  <c r="CB59" i="1" s="1"/>
  <c r="CC59" i="1" s="1"/>
  <c r="CD59" i="1" s="1"/>
  <c r="CE59" i="1" s="1"/>
  <c r="CF59" i="1" s="1"/>
  <c r="CG59" i="1" s="1"/>
  <c r="CH59" i="1" s="1"/>
  <c r="CI59" i="1" s="1"/>
  <c r="CJ59" i="1" s="1"/>
  <c r="CK59" i="1" s="1"/>
  <c r="V344" i="6"/>
  <c r="W344" i="6" s="1"/>
  <c r="X344" i="6" s="1"/>
  <c r="Y344" i="6" s="1"/>
  <c r="Z344" i="6" s="1"/>
  <c r="AA344" i="6" s="1"/>
  <c r="AB344" i="6" s="1"/>
  <c r="AC344" i="6" s="1"/>
  <c r="AD344" i="6" s="1"/>
  <c r="AE344" i="6" s="1"/>
  <c r="AF344" i="6" s="1"/>
  <c r="AG344" i="6" s="1"/>
  <c r="AH344" i="6" s="1"/>
  <c r="AI344" i="6" s="1"/>
  <c r="AJ344" i="6" s="1"/>
  <c r="AK344" i="6" s="1"/>
  <c r="AL344" i="6" s="1"/>
  <c r="AM344" i="6" s="1"/>
  <c r="AN344" i="6" s="1"/>
  <c r="AO344" i="6" s="1"/>
  <c r="AP344" i="6" s="1"/>
  <c r="AQ344" i="6" s="1"/>
  <c r="AR344" i="6" s="1"/>
  <c r="AS344" i="6" s="1"/>
  <c r="AT344" i="6" s="1"/>
  <c r="AU344" i="6" s="1"/>
  <c r="AV344" i="6" s="1"/>
  <c r="AW344" i="6" s="1"/>
  <c r="AX344" i="6" s="1"/>
  <c r="AY344" i="6" s="1"/>
  <c r="AZ344" i="6" s="1"/>
  <c r="BA344" i="6" s="1"/>
  <c r="BB344" i="6" s="1"/>
  <c r="V332" i="6"/>
  <c r="W332" i="6" s="1"/>
  <c r="X332" i="6" s="1"/>
  <c r="Y332" i="6" s="1"/>
  <c r="Z332" i="6" s="1"/>
  <c r="AA332" i="6" s="1"/>
  <c r="AB332" i="6" s="1"/>
  <c r="AC332" i="6" s="1"/>
  <c r="AD332" i="6" s="1"/>
  <c r="AE332" i="6" s="1"/>
  <c r="AF332" i="6" s="1"/>
  <c r="AG332" i="6" s="1"/>
  <c r="AH332" i="6" s="1"/>
  <c r="AI332" i="6" s="1"/>
  <c r="AJ332" i="6" s="1"/>
  <c r="AK332" i="6" s="1"/>
  <c r="AL332" i="6" s="1"/>
  <c r="AM332" i="6" s="1"/>
  <c r="AN332" i="6" s="1"/>
  <c r="AO332" i="6" s="1"/>
  <c r="AP332" i="6" s="1"/>
  <c r="AQ332" i="6" s="1"/>
  <c r="AR332" i="6" s="1"/>
  <c r="AS332" i="6" s="1"/>
  <c r="AT332" i="6" s="1"/>
  <c r="AU332" i="6" s="1"/>
  <c r="AV332" i="6" s="1"/>
  <c r="AW332" i="6" s="1"/>
  <c r="AX332" i="6" s="1"/>
  <c r="AY332" i="6" s="1"/>
  <c r="AZ332" i="6" s="1"/>
  <c r="BA332" i="6" s="1"/>
  <c r="BB332" i="6" s="1"/>
  <c r="N380" i="6"/>
  <c r="O380" i="6" s="1"/>
  <c r="N388" i="6"/>
  <c r="O388" i="6" s="1"/>
  <c r="N392" i="6"/>
  <c r="O392" i="6" s="1"/>
  <c r="V328" i="6"/>
  <c r="W328" i="6" s="1"/>
  <c r="X328" i="6" s="1"/>
  <c r="Y328" i="6" s="1"/>
  <c r="Z326" i="6"/>
  <c r="AA326" i="6" s="1"/>
  <c r="AB326" i="6" s="1"/>
  <c r="AC326" i="6" s="1"/>
  <c r="AD326" i="6" s="1"/>
  <c r="AE326" i="6" s="1"/>
  <c r="AF326" i="6" s="1"/>
  <c r="AG326" i="6" s="1"/>
  <c r="AH326" i="6" s="1"/>
  <c r="AI326" i="6" s="1"/>
  <c r="AJ326" i="6" s="1"/>
  <c r="AK326" i="6" s="1"/>
  <c r="AL326" i="6" s="1"/>
  <c r="AM326" i="6" s="1"/>
  <c r="AN326" i="6" s="1"/>
  <c r="AO326" i="6" s="1"/>
  <c r="AP326" i="6" s="1"/>
  <c r="AQ326" i="6" s="1"/>
  <c r="AR326" i="6" s="1"/>
  <c r="AS326" i="6" s="1"/>
  <c r="AT326" i="6" s="1"/>
  <c r="AU326" i="6" s="1"/>
  <c r="AV326" i="6" s="1"/>
  <c r="AW326" i="6" s="1"/>
  <c r="AX326" i="6" s="1"/>
  <c r="AY326" i="6" s="1"/>
  <c r="AZ326" i="6" s="1"/>
  <c r="BA326" i="6" s="1"/>
  <c r="BB326" i="6" s="1"/>
  <c r="V342" i="6"/>
  <c r="W342" i="6" s="1"/>
  <c r="X342" i="6" s="1"/>
  <c r="Y342" i="6" s="1"/>
  <c r="V259" i="6"/>
  <c r="W259" i="6" s="1"/>
  <c r="X259" i="6" s="1"/>
  <c r="Y259" i="6" s="1"/>
  <c r="N368" i="6"/>
  <c r="O368" i="6" s="1"/>
  <c r="N378" i="6"/>
  <c r="O378" i="6" s="1"/>
  <c r="Z330" i="6"/>
  <c r="AA330" i="6" s="1"/>
  <c r="AB330" i="6" s="1"/>
  <c r="AC330" i="6" s="1"/>
  <c r="AD330" i="6" s="1"/>
  <c r="AE330" i="6" s="1"/>
  <c r="AF330" i="6" s="1"/>
  <c r="AG330" i="6" s="1"/>
  <c r="AH330" i="6" s="1"/>
  <c r="AI330" i="6" s="1"/>
  <c r="AJ330" i="6" s="1"/>
  <c r="AK330" i="6" s="1"/>
  <c r="AL330" i="6" s="1"/>
  <c r="AM330" i="6" s="1"/>
  <c r="AN330" i="6" s="1"/>
  <c r="AO330" i="6" s="1"/>
  <c r="AP330" i="6" s="1"/>
  <c r="AQ330" i="6" s="1"/>
  <c r="AR330" i="6" s="1"/>
  <c r="AS330" i="6" s="1"/>
  <c r="AT330" i="6" s="1"/>
  <c r="AU330" i="6" s="1"/>
  <c r="AV330" i="6" s="1"/>
  <c r="AW330" i="6" s="1"/>
  <c r="AX330" i="6" s="1"/>
  <c r="AY330" i="6" s="1"/>
  <c r="AZ330" i="6" s="1"/>
  <c r="BA330" i="6" s="1"/>
  <c r="BB330" i="6" s="1"/>
  <c r="V306" i="6"/>
  <c r="W306" i="6" s="1"/>
  <c r="X306" i="6" s="1"/>
  <c r="Y306" i="6" s="1"/>
  <c r="N382" i="6"/>
  <c r="O382" i="6" s="1"/>
  <c r="Z338" i="6"/>
  <c r="AA338" i="6" s="1"/>
  <c r="AB338" i="6" s="1"/>
  <c r="AC338" i="6" s="1"/>
  <c r="AD338" i="6" s="1"/>
  <c r="AE338" i="6" s="1"/>
  <c r="AF338" i="6" s="1"/>
  <c r="AG338" i="6" s="1"/>
  <c r="AH338" i="6" s="1"/>
  <c r="AI338" i="6" s="1"/>
  <c r="AJ338" i="6" s="1"/>
  <c r="AK338" i="6" s="1"/>
  <c r="AL338" i="6" s="1"/>
  <c r="AM338" i="6" s="1"/>
  <c r="AN338" i="6" s="1"/>
  <c r="AO338" i="6" s="1"/>
  <c r="AP338" i="6" s="1"/>
  <c r="AQ338" i="6" s="1"/>
  <c r="AR338" i="6" s="1"/>
  <c r="AS338" i="6" s="1"/>
  <c r="AT338" i="6" s="1"/>
  <c r="AU338" i="6" s="1"/>
  <c r="AV338" i="6" s="1"/>
  <c r="AW338" i="6" s="1"/>
  <c r="AX338" i="6" s="1"/>
  <c r="AY338" i="6" s="1"/>
  <c r="AZ338" i="6" s="1"/>
  <c r="BA338" i="6" s="1"/>
  <c r="BB338" i="6" s="1"/>
  <c r="V81" i="4"/>
  <c r="W81" i="4" s="1"/>
  <c r="X81" i="4" s="1"/>
  <c r="Y81" i="4" s="1"/>
  <c r="Z81" i="4" s="1"/>
  <c r="AA81" i="4" s="1"/>
  <c r="AB81" i="4" s="1"/>
  <c r="AC81" i="4" s="1"/>
  <c r="AD81" i="4" s="1"/>
  <c r="AE81" i="4" s="1"/>
  <c r="AF81" i="4" s="1"/>
  <c r="AG81" i="4" s="1"/>
  <c r="AH81" i="4" s="1"/>
  <c r="AI81" i="4" s="1"/>
  <c r="AJ81" i="4" s="1"/>
  <c r="AK81" i="4" s="1"/>
  <c r="AL81" i="4" s="1"/>
  <c r="AM81" i="4" s="1"/>
  <c r="AN81" i="4" s="1"/>
  <c r="AO81" i="4" s="1"/>
  <c r="AP81" i="4" s="1"/>
  <c r="AQ81" i="4" s="1"/>
  <c r="AR81" i="4" s="1"/>
  <c r="AS81" i="4" s="1"/>
  <c r="AT81" i="4" s="1"/>
  <c r="AU81" i="4" s="1"/>
  <c r="AV81" i="4" s="1"/>
  <c r="AW81" i="4" s="1"/>
  <c r="AX81" i="4" s="1"/>
  <c r="AY81" i="4" s="1"/>
  <c r="AZ81" i="4" s="1"/>
  <c r="BA81" i="4" s="1"/>
  <c r="BB81" i="4" s="1"/>
  <c r="BC81" i="4" s="1"/>
  <c r="BD81" i="4" s="1"/>
  <c r="BE81" i="4" s="1"/>
  <c r="BF81" i="4" s="1"/>
  <c r="BG81" i="4" s="1"/>
  <c r="BH81" i="4" s="1"/>
  <c r="BI81" i="4" s="1"/>
  <c r="BJ81" i="4" s="1"/>
  <c r="BK81" i="4" s="1"/>
  <c r="BL81" i="4" s="1"/>
  <c r="BM81" i="4" s="1"/>
  <c r="BN81" i="4" s="1"/>
  <c r="BO81" i="4" s="1"/>
  <c r="BP81" i="4" s="1"/>
  <c r="BQ81" i="4" s="1"/>
  <c r="BR81" i="4" s="1"/>
  <c r="BS81" i="4" s="1"/>
  <c r="BT81" i="4" s="1"/>
  <c r="BU81" i="4" s="1"/>
  <c r="BV81" i="4" s="1"/>
  <c r="BW81" i="4" s="1"/>
  <c r="BX81" i="4" s="1"/>
  <c r="BY81" i="4" s="1"/>
  <c r="BZ81" i="4" s="1"/>
  <c r="CA81" i="4" s="1"/>
  <c r="CB81" i="4" s="1"/>
  <c r="CC81" i="4" s="1"/>
  <c r="CD81" i="4" s="1"/>
  <c r="CE81" i="4" s="1"/>
  <c r="CF81" i="4" s="1"/>
  <c r="CG81" i="4" s="1"/>
  <c r="CH81" i="4" s="1"/>
  <c r="CI81" i="4" s="1"/>
  <c r="CJ81" i="4" s="1"/>
  <c r="CK81" i="4" s="1"/>
  <c r="CL81" i="4" s="1"/>
  <c r="CM81" i="4" s="1"/>
  <c r="CN81" i="4" s="1"/>
  <c r="CO81" i="4" s="1"/>
  <c r="V78" i="6"/>
  <c r="W78" i="6" s="1"/>
  <c r="AA88" i="6"/>
  <c r="AB88" i="6" s="1"/>
  <c r="AC88" i="6" s="1"/>
  <c r="AD88" i="6" s="1"/>
  <c r="AE88" i="6" s="1"/>
  <c r="AF88" i="6" s="1"/>
  <c r="AG88" i="6" s="1"/>
  <c r="AH88" i="6" s="1"/>
  <c r="AI88" i="6" s="1"/>
  <c r="AJ88" i="6" s="1"/>
  <c r="AK88" i="6" s="1"/>
  <c r="AL88" i="6" s="1"/>
  <c r="AM88" i="6" s="1"/>
  <c r="AN88" i="6" s="1"/>
  <c r="AO88" i="6" s="1"/>
  <c r="AP88" i="6" s="1"/>
  <c r="AQ88" i="6" s="1"/>
  <c r="AR88" i="6" s="1"/>
  <c r="AS88" i="6" s="1"/>
  <c r="AT88" i="6" s="1"/>
  <c r="AU88" i="6" s="1"/>
  <c r="AV88" i="6" s="1"/>
  <c r="AW88" i="6" s="1"/>
  <c r="AX88" i="6" s="1"/>
  <c r="AY88" i="6" s="1"/>
  <c r="AZ88" i="6" s="1"/>
  <c r="BA88" i="6" s="1"/>
  <c r="BB88" i="6" s="1"/>
  <c r="Z82" i="6"/>
  <c r="AA82" i="6" s="1"/>
  <c r="AB82" i="6" s="1"/>
  <c r="AC82" i="6" s="1"/>
  <c r="AD82" i="6" s="1"/>
  <c r="AE82" i="6" s="1"/>
  <c r="AF82" i="6" s="1"/>
  <c r="AG82" i="6" s="1"/>
  <c r="AH82" i="6" s="1"/>
  <c r="AI82" i="6" s="1"/>
  <c r="AJ82" i="6" s="1"/>
  <c r="AK82" i="6" s="1"/>
  <c r="AL82" i="6" s="1"/>
  <c r="AM82" i="6" s="1"/>
  <c r="AN82" i="6" s="1"/>
  <c r="AO82" i="6" s="1"/>
  <c r="AP82" i="6" s="1"/>
  <c r="AQ82" i="6" s="1"/>
  <c r="AR82" i="6" s="1"/>
  <c r="AS82" i="6" s="1"/>
  <c r="AT82" i="6" s="1"/>
  <c r="AU82" i="6" s="1"/>
  <c r="AV82" i="6" s="1"/>
  <c r="AW82" i="6" s="1"/>
  <c r="AX82" i="6" s="1"/>
  <c r="AY82" i="6" s="1"/>
  <c r="AZ82" i="6" s="1"/>
  <c r="BA82" i="6" s="1"/>
  <c r="BB82" i="6" s="1"/>
  <c r="V84" i="6"/>
  <c r="W84" i="6" s="1"/>
  <c r="X84" i="6" s="1"/>
  <c r="Y84" i="6" s="1"/>
  <c r="V177" i="6"/>
  <c r="W177" i="6" s="1"/>
  <c r="X177" i="6" s="1"/>
  <c r="Y177" i="6" s="1"/>
  <c r="Z177" i="6" s="1"/>
  <c r="AA177" i="6" s="1"/>
  <c r="AB177" i="6" s="1"/>
  <c r="AC177" i="6" s="1"/>
  <c r="AD177" i="6" s="1"/>
  <c r="AE177" i="6" s="1"/>
  <c r="AF177" i="6" s="1"/>
  <c r="AG177" i="6" s="1"/>
  <c r="AH177" i="6" s="1"/>
  <c r="AI177" i="6" s="1"/>
  <c r="AJ177" i="6" s="1"/>
  <c r="AK177" i="6" s="1"/>
  <c r="AL177" i="6" s="1"/>
  <c r="AM177" i="6" s="1"/>
  <c r="AN177" i="6" s="1"/>
  <c r="AO177" i="6" s="1"/>
  <c r="AP177" i="6" s="1"/>
  <c r="AQ177" i="6" s="1"/>
  <c r="AR177" i="6" s="1"/>
  <c r="AS177" i="6" s="1"/>
  <c r="AT177" i="6" s="1"/>
  <c r="AU177" i="6" s="1"/>
  <c r="AV177" i="6" s="1"/>
  <c r="AW177" i="6" s="1"/>
  <c r="AX177" i="6" s="1"/>
  <c r="AY177" i="6" s="1"/>
  <c r="AZ177" i="6" s="1"/>
  <c r="BA177" i="6" s="1"/>
  <c r="BB177" i="6" s="1"/>
  <c r="V172" i="6"/>
  <c r="W172" i="6" s="1"/>
  <c r="X172" i="6" s="1"/>
  <c r="Y172" i="6" s="1"/>
  <c r="V90" i="6"/>
  <c r="W90" i="6" s="1"/>
  <c r="X90" i="6" s="1"/>
  <c r="Y90" i="6" s="1"/>
  <c r="AF309" i="6"/>
  <c r="AG309" i="6" s="1"/>
  <c r="AH309" i="6" s="1"/>
  <c r="AI309" i="6" s="1"/>
  <c r="AJ309" i="6" s="1"/>
  <c r="AK309" i="6" s="1"/>
  <c r="AL309" i="6" s="1"/>
  <c r="AM309" i="6" s="1"/>
  <c r="AN309" i="6" s="1"/>
  <c r="AO309" i="6" s="1"/>
  <c r="AP309" i="6" s="1"/>
  <c r="AQ309" i="6" s="1"/>
  <c r="AR309" i="6" s="1"/>
  <c r="AS309" i="6" s="1"/>
  <c r="AT309" i="6" s="1"/>
  <c r="AU309" i="6" s="1"/>
  <c r="AV309" i="6" s="1"/>
  <c r="AW309" i="6" s="1"/>
  <c r="AX309" i="6" s="1"/>
  <c r="AY309" i="6" s="1"/>
  <c r="AZ309" i="6" s="1"/>
  <c r="BA309" i="6" s="1"/>
  <c r="BB309" i="6" s="1"/>
  <c r="Q310" i="6"/>
  <c r="R310" i="6" s="1"/>
  <c r="S310" i="6" s="1"/>
  <c r="T310" i="6" s="1"/>
  <c r="Q316" i="6"/>
  <c r="Q322" i="6"/>
  <c r="Q168" i="6"/>
  <c r="L72" i="1"/>
  <c r="L73" i="1" s="1"/>
  <c r="BC386" i="6" l="1"/>
  <c r="BD386" i="6" s="1"/>
  <c r="BE386" i="6" s="1"/>
  <c r="BF386" i="6" s="1"/>
  <c r="BG386" i="6" s="1"/>
  <c r="BH386" i="6" s="1"/>
  <c r="BI386" i="6" s="1"/>
  <c r="BJ386" i="6" s="1"/>
  <c r="BK386" i="6" s="1"/>
  <c r="BL386" i="6" s="1"/>
  <c r="BM386" i="6" s="1"/>
  <c r="BN386" i="6" s="1"/>
  <c r="BO386" i="6" s="1"/>
  <c r="BP386" i="6" s="1"/>
  <c r="BQ386" i="6" s="1"/>
  <c r="BR386" i="6" s="1"/>
  <c r="BS386" i="6" s="1"/>
  <c r="BT386" i="6" s="1"/>
  <c r="BU386" i="6" s="1"/>
  <c r="BV386" i="6" s="1"/>
  <c r="BW386" i="6" s="1"/>
  <c r="BX386" i="6" s="1"/>
  <c r="BY386" i="6" s="1"/>
  <c r="BZ386" i="6" s="1"/>
  <c r="CA386" i="6" s="1"/>
  <c r="CB386" i="6" s="1"/>
  <c r="CC386" i="6" s="1"/>
  <c r="CD386" i="6" s="1"/>
  <c r="CE386" i="6" s="1"/>
  <c r="CF386" i="6" s="1"/>
  <c r="CG386" i="6" s="1"/>
  <c r="CH386" i="6" s="1"/>
  <c r="CI386" i="6" s="1"/>
  <c r="CJ386" i="6" s="1"/>
  <c r="CK386" i="6" s="1"/>
  <c r="CL386" i="6" s="1"/>
  <c r="CM386" i="6" s="1"/>
  <c r="CN386" i="6" s="1"/>
  <c r="CO386" i="6" s="1"/>
  <c r="BC177" i="6"/>
  <c r="BD177" i="6" s="1"/>
  <c r="BE177" i="6" s="1"/>
  <c r="BF177" i="6" s="1"/>
  <c r="BG177" i="6" s="1"/>
  <c r="BH177" i="6" s="1"/>
  <c r="BI177" i="6" s="1"/>
  <c r="BJ177" i="6" s="1"/>
  <c r="BK177" i="6" s="1"/>
  <c r="BL177" i="6" s="1"/>
  <c r="BM177" i="6" s="1"/>
  <c r="BN177" i="6" s="1"/>
  <c r="BO177" i="6" s="1"/>
  <c r="BP177" i="6" s="1"/>
  <c r="BQ177" i="6" s="1"/>
  <c r="BR177" i="6" s="1"/>
  <c r="BS177" i="6" s="1"/>
  <c r="BT177" i="6" s="1"/>
  <c r="BU177" i="6" s="1"/>
  <c r="BV177" i="6" s="1"/>
  <c r="BW177" i="6" s="1"/>
  <c r="BX177" i="6" s="1"/>
  <c r="BY177" i="6" s="1"/>
  <c r="BZ177" i="6" s="1"/>
  <c r="CA177" i="6" s="1"/>
  <c r="CB177" i="6" s="1"/>
  <c r="CC177" i="6" s="1"/>
  <c r="CD177" i="6" s="1"/>
  <c r="CE177" i="6" s="1"/>
  <c r="CF177" i="6" s="1"/>
  <c r="CG177" i="6" s="1"/>
  <c r="CH177" i="6" s="1"/>
  <c r="CI177" i="6" s="1"/>
  <c r="CJ177" i="6" s="1"/>
  <c r="CK177" i="6" s="1"/>
  <c r="CL177" i="6" s="1"/>
  <c r="CM177" i="6" s="1"/>
  <c r="CN177" i="6" s="1"/>
  <c r="CO177" i="6" s="1"/>
  <c r="BC82" i="6"/>
  <c r="BD82" i="6" s="1"/>
  <c r="BE82" i="6" s="1"/>
  <c r="BF82" i="6" s="1"/>
  <c r="BG82" i="6" s="1"/>
  <c r="BH82" i="6" s="1"/>
  <c r="BI82" i="6" s="1"/>
  <c r="BJ82" i="6" s="1"/>
  <c r="BK82" i="6" s="1"/>
  <c r="BL82" i="6" s="1"/>
  <c r="BM82" i="6" s="1"/>
  <c r="BN82" i="6" s="1"/>
  <c r="BO82" i="6" s="1"/>
  <c r="BP82" i="6" s="1"/>
  <c r="BQ82" i="6" s="1"/>
  <c r="BR82" i="6" s="1"/>
  <c r="BS82" i="6" s="1"/>
  <c r="BT82" i="6" s="1"/>
  <c r="BU82" i="6" s="1"/>
  <c r="BV82" i="6" s="1"/>
  <c r="BW82" i="6" s="1"/>
  <c r="BX82" i="6" s="1"/>
  <c r="BY82" i="6" s="1"/>
  <c r="BZ82" i="6" s="1"/>
  <c r="CA82" i="6" s="1"/>
  <c r="CB82" i="6" s="1"/>
  <c r="CC82" i="6" s="1"/>
  <c r="CD82" i="6" s="1"/>
  <c r="CE82" i="6" s="1"/>
  <c r="CF82" i="6" s="1"/>
  <c r="CG82" i="6" s="1"/>
  <c r="CH82" i="6" s="1"/>
  <c r="CI82" i="6" s="1"/>
  <c r="CJ82" i="6" s="1"/>
  <c r="CK82" i="6" s="1"/>
  <c r="CL82" i="6" s="1"/>
  <c r="CM82" i="6" s="1"/>
  <c r="CN82" i="6" s="1"/>
  <c r="CO82" i="6" s="1"/>
  <c r="BC338" i="6"/>
  <c r="BD338" i="6" s="1"/>
  <c r="BE338" i="6" s="1"/>
  <c r="BF338" i="6" s="1"/>
  <c r="BG338" i="6" s="1"/>
  <c r="BH338" i="6" s="1"/>
  <c r="BI338" i="6" s="1"/>
  <c r="BJ338" i="6" s="1"/>
  <c r="BK338" i="6" s="1"/>
  <c r="BL338" i="6" s="1"/>
  <c r="BM338" i="6" s="1"/>
  <c r="BN338" i="6" s="1"/>
  <c r="BO338" i="6" s="1"/>
  <c r="BP338" i="6" s="1"/>
  <c r="BQ338" i="6" s="1"/>
  <c r="BR338" i="6" s="1"/>
  <c r="BS338" i="6" s="1"/>
  <c r="BT338" i="6" s="1"/>
  <c r="BU338" i="6" s="1"/>
  <c r="BV338" i="6" s="1"/>
  <c r="BW338" i="6" s="1"/>
  <c r="BX338" i="6" s="1"/>
  <c r="BY338" i="6" s="1"/>
  <c r="BZ338" i="6" s="1"/>
  <c r="CA338" i="6" s="1"/>
  <c r="CB338" i="6" s="1"/>
  <c r="CC338" i="6" s="1"/>
  <c r="CD338" i="6" s="1"/>
  <c r="CE338" i="6" s="1"/>
  <c r="CF338" i="6" s="1"/>
  <c r="CG338" i="6" s="1"/>
  <c r="CH338" i="6" s="1"/>
  <c r="CI338" i="6" s="1"/>
  <c r="CJ338" i="6" s="1"/>
  <c r="CK338" i="6" s="1"/>
  <c r="CL338" i="6" s="1"/>
  <c r="CM338" i="6" s="1"/>
  <c r="CN338" i="6" s="1"/>
  <c r="CO338" i="6" s="1"/>
  <c r="BC326" i="6"/>
  <c r="BD326" i="6" s="1"/>
  <c r="BE326" i="6" s="1"/>
  <c r="BF326" i="6" s="1"/>
  <c r="BG326" i="6" s="1"/>
  <c r="BH326" i="6" s="1"/>
  <c r="BI326" i="6" s="1"/>
  <c r="BJ326" i="6" s="1"/>
  <c r="BK326" i="6" s="1"/>
  <c r="BL326" i="6" s="1"/>
  <c r="BM326" i="6" s="1"/>
  <c r="BN326" i="6" s="1"/>
  <c r="BO326" i="6" s="1"/>
  <c r="BP326" i="6" s="1"/>
  <c r="BQ326" i="6" s="1"/>
  <c r="BR326" i="6" s="1"/>
  <c r="BS326" i="6" s="1"/>
  <c r="BT326" i="6" s="1"/>
  <c r="BU326" i="6" s="1"/>
  <c r="BV326" i="6" s="1"/>
  <c r="BW326" i="6" s="1"/>
  <c r="BX326" i="6" s="1"/>
  <c r="BY326" i="6" s="1"/>
  <c r="BZ326" i="6" s="1"/>
  <c r="CA326" i="6" s="1"/>
  <c r="CB326" i="6" s="1"/>
  <c r="CC326" i="6" s="1"/>
  <c r="CD326" i="6" s="1"/>
  <c r="CE326" i="6" s="1"/>
  <c r="CF326" i="6" s="1"/>
  <c r="CG326" i="6" s="1"/>
  <c r="CH326" i="6" s="1"/>
  <c r="CI326" i="6" s="1"/>
  <c r="CJ326" i="6" s="1"/>
  <c r="CK326" i="6" s="1"/>
  <c r="CL326" i="6" s="1"/>
  <c r="CM326" i="6" s="1"/>
  <c r="CN326" i="6" s="1"/>
  <c r="CO326" i="6" s="1"/>
  <c r="BC344" i="6"/>
  <c r="BD344" i="6" s="1"/>
  <c r="BE344" i="6" s="1"/>
  <c r="BF344" i="6" s="1"/>
  <c r="BG344" i="6" s="1"/>
  <c r="BH344" i="6" s="1"/>
  <c r="BI344" i="6" s="1"/>
  <c r="BJ344" i="6" s="1"/>
  <c r="BK344" i="6" s="1"/>
  <c r="BL344" i="6" s="1"/>
  <c r="BM344" i="6" s="1"/>
  <c r="BN344" i="6" s="1"/>
  <c r="BO344" i="6" s="1"/>
  <c r="BP344" i="6" s="1"/>
  <c r="BQ344" i="6" s="1"/>
  <c r="BR344" i="6" s="1"/>
  <c r="BS344" i="6" s="1"/>
  <c r="BT344" i="6" s="1"/>
  <c r="BU344" i="6" s="1"/>
  <c r="BV344" i="6" s="1"/>
  <c r="BW344" i="6" s="1"/>
  <c r="BX344" i="6" s="1"/>
  <c r="BY344" i="6" s="1"/>
  <c r="BZ344" i="6" s="1"/>
  <c r="CA344" i="6" s="1"/>
  <c r="CB344" i="6" s="1"/>
  <c r="CC344" i="6" s="1"/>
  <c r="CD344" i="6" s="1"/>
  <c r="CE344" i="6" s="1"/>
  <c r="CF344" i="6" s="1"/>
  <c r="CG344" i="6" s="1"/>
  <c r="CH344" i="6" s="1"/>
  <c r="CI344" i="6" s="1"/>
  <c r="CJ344" i="6" s="1"/>
  <c r="CK344" i="6" s="1"/>
  <c r="CL344" i="6" s="1"/>
  <c r="CM344" i="6" s="1"/>
  <c r="CN344" i="6" s="1"/>
  <c r="CO344" i="6" s="1"/>
  <c r="BC366" i="6"/>
  <c r="BD366" i="6" s="1"/>
  <c r="BE366" i="6" s="1"/>
  <c r="BF366" i="6" s="1"/>
  <c r="BG366" i="6" s="1"/>
  <c r="BH366" i="6" s="1"/>
  <c r="BI366" i="6" s="1"/>
  <c r="BJ366" i="6" s="1"/>
  <c r="BK366" i="6" s="1"/>
  <c r="BL366" i="6" s="1"/>
  <c r="BM366" i="6" s="1"/>
  <c r="BN366" i="6" s="1"/>
  <c r="BO366" i="6" s="1"/>
  <c r="BP366" i="6" s="1"/>
  <c r="BQ366" i="6" s="1"/>
  <c r="BR366" i="6" s="1"/>
  <c r="BS366" i="6" s="1"/>
  <c r="BT366" i="6" s="1"/>
  <c r="BU366" i="6" s="1"/>
  <c r="BV366" i="6" s="1"/>
  <c r="BW366" i="6" s="1"/>
  <c r="BX366" i="6" s="1"/>
  <c r="BY366" i="6" s="1"/>
  <c r="BZ366" i="6" s="1"/>
  <c r="CA366" i="6" s="1"/>
  <c r="CB366" i="6" s="1"/>
  <c r="CC366" i="6" s="1"/>
  <c r="CD366" i="6" s="1"/>
  <c r="CE366" i="6" s="1"/>
  <c r="CF366" i="6" s="1"/>
  <c r="CG366" i="6" s="1"/>
  <c r="CH366" i="6" s="1"/>
  <c r="CI366" i="6" s="1"/>
  <c r="CJ366" i="6" s="1"/>
  <c r="CK366" i="6" s="1"/>
  <c r="CL366" i="6" s="1"/>
  <c r="CM366" i="6" s="1"/>
  <c r="CN366" i="6" s="1"/>
  <c r="CO366" i="6" s="1"/>
  <c r="BC372" i="6"/>
  <c r="BD372" i="6" s="1"/>
  <c r="BE372" i="6" s="1"/>
  <c r="BF372" i="6" s="1"/>
  <c r="BG372" i="6" s="1"/>
  <c r="BH372" i="6" s="1"/>
  <c r="BI372" i="6" s="1"/>
  <c r="BJ372" i="6" s="1"/>
  <c r="BK372" i="6" s="1"/>
  <c r="BL372" i="6" s="1"/>
  <c r="BM372" i="6" s="1"/>
  <c r="BN372" i="6" s="1"/>
  <c r="BO372" i="6" s="1"/>
  <c r="BP372" i="6" s="1"/>
  <c r="BQ372" i="6" s="1"/>
  <c r="BR372" i="6" s="1"/>
  <c r="BS372" i="6" s="1"/>
  <c r="BT372" i="6" s="1"/>
  <c r="BU372" i="6" s="1"/>
  <c r="BV372" i="6" s="1"/>
  <c r="BW372" i="6" s="1"/>
  <c r="BX372" i="6" s="1"/>
  <c r="BY372" i="6" s="1"/>
  <c r="BZ372" i="6" s="1"/>
  <c r="CA372" i="6" s="1"/>
  <c r="CB372" i="6" s="1"/>
  <c r="CC372" i="6" s="1"/>
  <c r="CD372" i="6" s="1"/>
  <c r="CE372" i="6" s="1"/>
  <c r="CF372" i="6" s="1"/>
  <c r="CG372" i="6" s="1"/>
  <c r="CH372" i="6" s="1"/>
  <c r="CI372" i="6" s="1"/>
  <c r="CJ372" i="6" s="1"/>
  <c r="CK372" i="6" s="1"/>
  <c r="CL372" i="6" s="1"/>
  <c r="CM372" i="6" s="1"/>
  <c r="CN372" i="6" s="1"/>
  <c r="CO372" i="6" s="1"/>
  <c r="BC384" i="6"/>
  <c r="BD384" i="6" s="1"/>
  <c r="BE384" i="6" s="1"/>
  <c r="BF384" i="6" s="1"/>
  <c r="BG384" i="6" s="1"/>
  <c r="BH384" i="6" s="1"/>
  <c r="BI384" i="6" s="1"/>
  <c r="BJ384" i="6" s="1"/>
  <c r="BK384" i="6" s="1"/>
  <c r="BL384" i="6" s="1"/>
  <c r="BM384" i="6" s="1"/>
  <c r="BN384" i="6" s="1"/>
  <c r="BO384" i="6" s="1"/>
  <c r="BP384" i="6" s="1"/>
  <c r="BQ384" i="6" s="1"/>
  <c r="BR384" i="6" s="1"/>
  <c r="BS384" i="6" s="1"/>
  <c r="BT384" i="6" s="1"/>
  <c r="BU384" i="6" s="1"/>
  <c r="BV384" i="6" s="1"/>
  <c r="BW384" i="6" s="1"/>
  <c r="BX384" i="6" s="1"/>
  <c r="BY384" i="6" s="1"/>
  <c r="BZ384" i="6" s="1"/>
  <c r="CA384" i="6" s="1"/>
  <c r="CB384" i="6" s="1"/>
  <c r="CC384" i="6" s="1"/>
  <c r="CD384" i="6" s="1"/>
  <c r="CE384" i="6" s="1"/>
  <c r="CF384" i="6" s="1"/>
  <c r="CG384" i="6" s="1"/>
  <c r="CH384" i="6" s="1"/>
  <c r="CI384" i="6" s="1"/>
  <c r="CJ384" i="6" s="1"/>
  <c r="CK384" i="6" s="1"/>
  <c r="CL384" i="6" s="1"/>
  <c r="CM384" i="6" s="1"/>
  <c r="CN384" i="6" s="1"/>
  <c r="CO384" i="6" s="1"/>
  <c r="BC376" i="6"/>
  <c r="BD376" i="6" s="1"/>
  <c r="BE376" i="6" s="1"/>
  <c r="BF376" i="6" s="1"/>
  <c r="BG376" i="6" s="1"/>
  <c r="BH376" i="6" s="1"/>
  <c r="BI376" i="6" s="1"/>
  <c r="BJ376" i="6" s="1"/>
  <c r="BK376" i="6" s="1"/>
  <c r="BL376" i="6" s="1"/>
  <c r="BM376" i="6" s="1"/>
  <c r="BN376" i="6" s="1"/>
  <c r="BO376" i="6" s="1"/>
  <c r="BP376" i="6" s="1"/>
  <c r="BQ376" i="6" s="1"/>
  <c r="BR376" i="6" s="1"/>
  <c r="BS376" i="6" s="1"/>
  <c r="BT376" i="6" s="1"/>
  <c r="BU376" i="6" s="1"/>
  <c r="BV376" i="6" s="1"/>
  <c r="BW376" i="6" s="1"/>
  <c r="BX376" i="6" s="1"/>
  <c r="BY376" i="6" s="1"/>
  <c r="BZ376" i="6" s="1"/>
  <c r="CA376" i="6" s="1"/>
  <c r="CB376" i="6" s="1"/>
  <c r="CC376" i="6" s="1"/>
  <c r="CD376" i="6" s="1"/>
  <c r="CE376" i="6" s="1"/>
  <c r="CF376" i="6" s="1"/>
  <c r="CG376" i="6" s="1"/>
  <c r="CH376" i="6" s="1"/>
  <c r="CI376" i="6" s="1"/>
  <c r="CJ376" i="6" s="1"/>
  <c r="CK376" i="6" s="1"/>
  <c r="CL376" i="6" s="1"/>
  <c r="CM376" i="6" s="1"/>
  <c r="CN376" i="6" s="1"/>
  <c r="CO376" i="6" s="1"/>
  <c r="BC309" i="6"/>
  <c r="BD309" i="6" s="1"/>
  <c r="BE309" i="6" s="1"/>
  <c r="BF309" i="6" s="1"/>
  <c r="BG309" i="6" s="1"/>
  <c r="BH309" i="6" s="1"/>
  <c r="BI309" i="6" s="1"/>
  <c r="BJ309" i="6" s="1"/>
  <c r="BK309" i="6" s="1"/>
  <c r="BL309" i="6" s="1"/>
  <c r="BM309" i="6" s="1"/>
  <c r="BN309" i="6" s="1"/>
  <c r="BO309" i="6" s="1"/>
  <c r="BP309" i="6" s="1"/>
  <c r="BQ309" i="6" s="1"/>
  <c r="BR309" i="6" s="1"/>
  <c r="BS309" i="6" s="1"/>
  <c r="BT309" i="6" s="1"/>
  <c r="BU309" i="6" s="1"/>
  <c r="BV309" i="6" s="1"/>
  <c r="BW309" i="6" s="1"/>
  <c r="BX309" i="6" s="1"/>
  <c r="BY309" i="6" s="1"/>
  <c r="BZ309" i="6" s="1"/>
  <c r="CA309" i="6" s="1"/>
  <c r="CB309" i="6" s="1"/>
  <c r="CC309" i="6" s="1"/>
  <c r="CD309" i="6" s="1"/>
  <c r="CE309" i="6" s="1"/>
  <c r="CF309" i="6" s="1"/>
  <c r="CG309" i="6" s="1"/>
  <c r="CH309" i="6" s="1"/>
  <c r="CI309" i="6" s="1"/>
  <c r="CJ309" i="6" s="1"/>
  <c r="CK309" i="6" s="1"/>
  <c r="CL309" i="6" s="1"/>
  <c r="CM309" i="6" s="1"/>
  <c r="CN309" i="6" s="1"/>
  <c r="CO309" i="6" s="1"/>
  <c r="BC88" i="6"/>
  <c r="BD88" i="6" s="1"/>
  <c r="BE88" i="6" s="1"/>
  <c r="BF88" i="6" s="1"/>
  <c r="BG88" i="6" s="1"/>
  <c r="BH88" i="6" s="1"/>
  <c r="BI88" i="6" s="1"/>
  <c r="BJ88" i="6" s="1"/>
  <c r="BK88" i="6" s="1"/>
  <c r="BL88" i="6" s="1"/>
  <c r="BM88" i="6" s="1"/>
  <c r="BN88" i="6" s="1"/>
  <c r="BO88" i="6" s="1"/>
  <c r="BP88" i="6" s="1"/>
  <c r="BQ88" i="6" s="1"/>
  <c r="BR88" i="6" s="1"/>
  <c r="BS88" i="6" s="1"/>
  <c r="BT88" i="6" s="1"/>
  <c r="BU88" i="6" s="1"/>
  <c r="BV88" i="6" s="1"/>
  <c r="BW88" i="6" s="1"/>
  <c r="BX88" i="6" s="1"/>
  <c r="BY88" i="6" s="1"/>
  <c r="BZ88" i="6" s="1"/>
  <c r="CA88" i="6" s="1"/>
  <c r="CB88" i="6" s="1"/>
  <c r="CC88" i="6" s="1"/>
  <c r="CD88" i="6" s="1"/>
  <c r="CE88" i="6" s="1"/>
  <c r="CF88" i="6" s="1"/>
  <c r="CG88" i="6" s="1"/>
  <c r="CH88" i="6" s="1"/>
  <c r="CI88" i="6" s="1"/>
  <c r="CJ88" i="6" s="1"/>
  <c r="CK88" i="6" s="1"/>
  <c r="CL88" i="6" s="1"/>
  <c r="CM88" i="6" s="1"/>
  <c r="CN88" i="6" s="1"/>
  <c r="CO88" i="6" s="1"/>
  <c r="BC330" i="6"/>
  <c r="BD330" i="6" s="1"/>
  <c r="BE330" i="6" s="1"/>
  <c r="BF330" i="6" s="1"/>
  <c r="BG330" i="6" s="1"/>
  <c r="BH330" i="6" s="1"/>
  <c r="BI330" i="6" s="1"/>
  <c r="BJ330" i="6" s="1"/>
  <c r="BK330" i="6" s="1"/>
  <c r="BL330" i="6" s="1"/>
  <c r="BM330" i="6" s="1"/>
  <c r="BN330" i="6" s="1"/>
  <c r="BO330" i="6" s="1"/>
  <c r="BP330" i="6" s="1"/>
  <c r="BQ330" i="6" s="1"/>
  <c r="BR330" i="6" s="1"/>
  <c r="BS330" i="6" s="1"/>
  <c r="BT330" i="6" s="1"/>
  <c r="BU330" i="6" s="1"/>
  <c r="BV330" i="6" s="1"/>
  <c r="BW330" i="6" s="1"/>
  <c r="BX330" i="6" s="1"/>
  <c r="BY330" i="6" s="1"/>
  <c r="BZ330" i="6" s="1"/>
  <c r="CA330" i="6" s="1"/>
  <c r="CB330" i="6" s="1"/>
  <c r="CC330" i="6" s="1"/>
  <c r="CD330" i="6" s="1"/>
  <c r="CE330" i="6" s="1"/>
  <c r="CF330" i="6" s="1"/>
  <c r="CG330" i="6" s="1"/>
  <c r="CH330" i="6" s="1"/>
  <c r="CI330" i="6" s="1"/>
  <c r="CJ330" i="6" s="1"/>
  <c r="CK330" i="6" s="1"/>
  <c r="CL330" i="6" s="1"/>
  <c r="CM330" i="6" s="1"/>
  <c r="CN330" i="6" s="1"/>
  <c r="CO330" i="6" s="1"/>
  <c r="BC332" i="6"/>
  <c r="BD332" i="6" s="1"/>
  <c r="BE332" i="6" s="1"/>
  <c r="BF332" i="6" s="1"/>
  <c r="BG332" i="6" s="1"/>
  <c r="BH332" i="6" s="1"/>
  <c r="BI332" i="6" s="1"/>
  <c r="BJ332" i="6" s="1"/>
  <c r="BK332" i="6" s="1"/>
  <c r="BL332" i="6" s="1"/>
  <c r="BM332" i="6" s="1"/>
  <c r="BN332" i="6" s="1"/>
  <c r="BO332" i="6" s="1"/>
  <c r="BP332" i="6" s="1"/>
  <c r="BQ332" i="6" s="1"/>
  <c r="BR332" i="6" s="1"/>
  <c r="BS332" i="6" s="1"/>
  <c r="BT332" i="6" s="1"/>
  <c r="BU332" i="6" s="1"/>
  <c r="BV332" i="6" s="1"/>
  <c r="BW332" i="6" s="1"/>
  <c r="BX332" i="6" s="1"/>
  <c r="BY332" i="6" s="1"/>
  <c r="BZ332" i="6" s="1"/>
  <c r="CA332" i="6" s="1"/>
  <c r="CB332" i="6" s="1"/>
  <c r="CC332" i="6" s="1"/>
  <c r="CD332" i="6" s="1"/>
  <c r="CE332" i="6" s="1"/>
  <c r="CF332" i="6" s="1"/>
  <c r="CG332" i="6" s="1"/>
  <c r="CH332" i="6" s="1"/>
  <c r="CI332" i="6" s="1"/>
  <c r="CJ332" i="6" s="1"/>
  <c r="CK332" i="6" s="1"/>
  <c r="CL332" i="6" s="1"/>
  <c r="CM332" i="6" s="1"/>
  <c r="CN332" i="6" s="1"/>
  <c r="CO332" i="6" s="1"/>
  <c r="BC390" i="6"/>
  <c r="BD390" i="6" s="1"/>
  <c r="BE390" i="6" s="1"/>
  <c r="BF390" i="6" s="1"/>
  <c r="BG390" i="6" s="1"/>
  <c r="BH390" i="6" s="1"/>
  <c r="BI390" i="6" s="1"/>
  <c r="BJ390" i="6" s="1"/>
  <c r="BK390" i="6" s="1"/>
  <c r="BL390" i="6" s="1"/>
  <c r="BM390" i="6" s="1"/>
  <c r="BN390" i="6" s="1"/>
  <c r="BO390" i="6" s="1"/>
  <c r="BP390" i="6" s="1"/>
  <c r="BQ390" i="6" s="1"/>
  <c r="BR390" i="6" s="1"/>
  <c r="BS390" i="6" s="1"/>
  <c r="BT390" i="6" s="1"/>
  <c r="BU390" i="6" s="1"/>
  <c r="BV390" i="6" s="1"/>
  <c r="BW390" i="6" s="1"/>
  <c r="BX390" i="6" s="1"/>
  <c r="BY390" i="6" s="1"/>
  <c r="BZ390" i="6" s="1"/>
  <c r="CA390" i="6" s="1"/>
  <c r="CB390" i="6" s="1"/>
  <c r="CC390" i="6" s="1"/>
  <c r="CD390" i="6" s="1"/>
  <c r="CE390" i="6" s="1"/>
  <c r="CF390" i="6" s="1"/>
  <c r="CG390" i="6" s="1"/>
  <c r="CH390" i="6" s="1"/>
  <c r="CI390" i="6" s="1"/>
  <c r="CJ390" i="6" s="1"/>
  <c r="CK390" i="6" s="1"/>
  <c r="CL390" i="6" s="1"/>
  <c r="CM390" i="6" s="1"/>
  <c r="CN390" i="6" s="1"/>
  <c r="CO390" i="6" s="1"/>
  <c r="BC370" i="6"/>
  <c r="BD370" i="6" s="1"/>
  <c r="BE370" i="6" s="1"/>
  <c r="BF370" i="6" s="1"/>
  <c r="BG370" i="6" s="1"/>
  <c r="BH370" i="6" s="1"/>
  <c r="BI370" i="6" s="1"/>
  <c r="BJ370" i="6" s="1"/>
  <c r="BK370" i="6" s="1"/>
  <c r="BL370" i="6" s="1"/>
  <c r="BM370" i="6" s="1"/>
  <c r="BN370" i="6" s="1"/>
  <c r="BO370" i="6" s="1"/>
  <c r="BP370" i="6" s="1"/>
  <c r="BQ370" i="6" s="1"/>
  <c r="BR370" i="6" s="1"/>
  <c r="BS370" i="6" s="1"/>
  <c r="BT370" i="6" s="1"/>
  <c r="BU370" i="6" s="1"/>
  <c r="BV370" i="6" s="1"/>
  <c r="BW370" i="6" s="1"/>
  <c r="BX370" i="6" s="1"/>
  <c r="BY370" i="6" s="1"/>
  <c r="BZ370" i="6" s="1"/>
  <c r="CA370" i="6" s="1"/>
  <c r="CB370" i="6" s="1"/>
  <c r="CC370" i="6" s="1"/>
  <c r="CD370" i="6" s="1"/>
  <c r="CE370" i="6" s="1"/>
  <c r="CF370" i="6" s="1"/>
  <c r="CG370" i="6" s="1"/>
  <c r="CH370" i="6" s="1"/>
  <c r="CI370" i="6" s="1"/>
  <c r="CJ370" i="6" s="1"/>
  <c r="CK370" i="6" s="1"/>
  <c r="CL370" i="6" s="1"/>
  <c r="CM370" i="6" s="1"/>
  <c r="CN370" i="6" s="1"/>
  <c r="CO370" i="6" s="1"/>
  <c r="BC374" i="6"/>
  <c r="BD374" i="6" s="1"/>
  <c r="BE374" i="6" s="1"/>
  <c r="BF374" i="6" s="1"/>
  <c r="BG374" i="6" s="1"/>
  <c r="BH374" i="6" s="1"/>
  <c r="BI374" i="6" s="1"/>
  <c r="BJ374" i="6" s="1"/>
  <c r="BK374" i="6" s="1"/>
  <c r="BL374" i="6" s="1"/>
  <c r="BM374" i="6" s="1"/>
  <c r="BN374" i="6" s="1"/>
  <c r="BO374" i="6" s="1"/>
  <c r="BP374" i="6" s="1"/>
  <c r="BQ374" i="6" s="1"/>
  <c r="BR374" i="6" s="1"/>
  <c r="BS374" i="6" s="1"/>
  <c r="BT374" i="6" s="1"/>
  <c r="BU374" i="6" s="1"/>
  <c r="BV374" i="6" s="1"/>
  <c r="BW374" i="6" s="1"/>
  <c r="BX374" i="6" s="1"/>
  <c r="BY374" i="6" s="1"/>
  <c r="BZ374" i="6" s="1"/>
  <c r="CA374" i="6" s="1"/>
  <c r="CB374" i="6" s="1"/>
  <c r="CC374" i="6" s="1"/>
  <c r="CD374" i="6" s="1"/>
  <c r="CE374" i="6" s="1"/>
  <c r="CF374" i="6" s="1"/>
  <c r="CG374" i="6" s="1"/>
  <c r="CH374" i="6" s="1"/>
  <c r="CI374" i="6" s="1"/>
  <c r="CJ374" i="6" s="1"/>
  <c r="CK374" i="6" s="1"/>
  <c r="CL374" i="6" s="1"/>
  <c r="CM374" i="6" s="1"/>
  <c r="CN374" i="6" s="1"/>
  <c r="CO374" i="6" s="1"/>
  <c r="BC394" i="6"/>
  <c r="BD394" i="6" s="1"/>
  <c r="BE394" i="6" s="1"/>
  <c r="BF394" i="6" s="1"/>
  <c r="BG394" i="6" s="1"/>
  <c r="BH394" i="6" s="1"/>
  <c r="BI394" i="6" s="1"/>
  <c r="BJ394" i="6" s="1"/>
  <c r="BK394" i="6" s="1"/>
  <c r="BL394" i="6" s="1"/>
  <c r="BM394" i="6" s="1"/>
  <c r="BN394" i="6" s="1"/>
  <c r="BO394" i="6" s="1"/>
  <c r="BP394" i="6" s="1"/>
  <c r="BQ394" i="6" s="1"/>
  <c r="BR394" i="6" s="1"/>
  <c r="BS394" i="6" s="1"/>
  <c r="BT394" i="6" s="1"/>
  <c r="BU394" i="6" s="1"/>
  <c r="BV394" i="6" s="1"/>
  <c r="BW394" i="6" s="1"/>
  <c r="BX394" i="6" s="1"/>
  <c r="BY394" i="6" s="1"/>
  <c r="BZ394" i="6" s="1"/>
  <c r="CA394" i="6" s="1"/>
  <c r="CB394" i="6" s="1"/>
  <c r="CC394" i="6" s="1"/>
  <c r="CD394" i="6" s="1"/>
  <c r="CE394" i="6" s="1"/>
  <c r="CF394" i="6" s="1"/>
  <c r="CG394" i="6" s="1"/>
  <c r="CH394" i="6" s="1"/>
  <c r="CI394" i="6" s="1"/>
  <c r="CJ394" i="6" s="1"/>
  <c r="CK394" i="6" s="1"/>
  <c r="CL394" i="6" s="1"/>
  <c r="CM394" i="6" s="1"/>
  <c r="CN394" i="6" s="1"/>
  <c r="CO394" i="6" s="1"/>
  <c r="CL59" i="1"/>
  <c r="CM59" i="1" s="1"/>
  <c r="CN59" i="1" s="1"/>
  <c r="CO59" i="1" s="1"/>
  <c r="R324" i="6"/>
  <c r="S324" i="6" s="1"/>
  <c r="T324" i="6" s="1"/>
  <c r="U324" i="6" s="1"/>
  <c r="V324" i="6" s="1"/>
  <c r="W324" i="6" s="1"/>
  <c r="X324" i="6" s="1"/>
  <c r="Y324" i="6" s="1"/>
  <c r="Z324" i="6" s="1"/>
  <c r="AA324" i="6" s="1"/>
  <c r="AB324" i="6" s="1"/>
  <c r="AC324" i="6" s="1"/>
  <c r="AD324" i="6" s="1"/>
  <c r="AE324" i="6" s="1"/>
  <c r="AF324" i="6" s="1"/>
  <c r="AG324" i="6" s="1"/>
  <c r="AH324" i="6" s="1"/>
  <c r="AI324" i="6" s="1"/>
  <c r="AJ324" i="6" s="1"/>
  <c r="AK324" i="6" s="1"/>
  <c r="AL324" i="6" s="1"/>
  <c r="AM324" i="6" s="1"/>
  <c r="AN324" i="6" s="1"/>
  <c r="AO324" i="6" s="1"/>
  <c r="AP324" i="6" s="1"/>
  <c r="AQ324" i="6" s="1"/>
  <c r="AR324" i="6" s="1"/>
  <c r="AS324" i="6" s="1"/>
  <c r="AT324" i="6" s="1"/>
  <c r="AU324" i="6" s="1"/>
  <c r="AV324" i="6" s="1"/>
  <c r="AW324" i="6" s="1"/>
  <c r="AX324" i="6" s="1"/>
  <c r="AY324" i="6" s="1"/>
  <c r="AZ324" i="6" s="1"/>
  <c r="BA324" i="6" s="1"/>
  <c r="BB324" i="6" s="1"/>
  <c r="P382" i="6"/>
  <c r="Q382" i="6" s="1"/>
  <c r="R382" i="6" s="1"/>
  <c r="S382" i="6" s="1"/>
  <c r="T382" i="6" s="1"/>
  <c r="U382" i="6" s="1"/>
  <c r="V382" i="6" s="1"/>
  <c r="W382" i="6" s="1"/>
  <c r="X382" i="6" s="1"/>
  <c r="Y382" i="6" s="1"/>
  <c r="Z382" i="6" s="1"/>
  <c r="AA382" i="6" s="1"/>
  <c r="AB382" i="6" s="1"/>
  <c r="AC382" i="6" s="1"/>
  <c r="AD382" i="6" s="1"/>
  <c r="AE382" i="6" s="1"/>
  <c r="AF382" i="6" s="1"/>
  <c r="AG382" i="6" s="1"/>
  <c r="AH382" i="6" s="1"/>
  <c r="AI382" i="6" s="1"/>
  <c r="AJ382" i="6" s="1"/>
  <c r="AK382" i="6" s="1"/>
  <c r="AL382" i="6" s="1"/>
  <c r="AM382" i="6" s="1"/>
  <c r="AN382" i="6" s="1"/>
  <c r="AO382" i="6" s="1"/>
  <c r="AP382" i="6" s="1"/>
  <c r="AQ382" i="6" s="1"/>
  <c r="AR382" i="6" s="1"/>
  <c r="AS382" i="6" s="1"/>
  <c r="AT382" i="6" s="1"/>
  <c r="AU382" i="6" s="1"/>
  <c r="AV382" i="6" s="1"/>
  <c r="AW382" i="6" s="1"/>
  <c r="AX382" i="6" s="1"/>
  <c r="AY382" i="6" s="1"/>
  <c r="AZ382" i="6" s="1"/>
  <c r="BA382" i="6" s="1"/>
  <c r="BB382" i="6" s="1"/>
  <c r="P368" i="6"/>
  <c r="Q368" i="6" s="1"/>
  <c r="R368" i="6" s="1"/>
  <c r="S368" i="6" s="1"/>
  <c r="T368" i="6" s="1"/>
  <c r="U368" i="6" s="1"/>
  <c r="V368" i="6" s="1"/>
  <c r="W368" i="6" s="1"/>
  <c r="X368" i="6" s="1"/>
  <c r="Y368" i="6" s="1"/>
  <c r="Z368" i="6" s="1"/>
  <c r="AA368" i="6" s="1"/>
  <c r="AB368" i="6" s="1"/>
  <c r="AC368" i="6" s="1"/>
  <c r="AD368" i="6" s="1"/>
  <c r="AE368" i="6" s="1"/>
  <c r="AF368" i="6" s="1"/>
  <c r="AG368" i="6" s="1"/>
  <c r="AH368" i="6" s="1"/>
  <c r="AI368" i="6" s="1"/>
  <c r="AJ368" i="6" s="1"/>
  <c r="AK368" i="6" s="1"/>
  <c r="AL368" i="6" s="1"/>
  <c r="AM368" i="6" s="1"/>
  <c r="AN368" i="6" s="1"/>
  <c r="AO368" i="6" s="1"/>
  <c r="AP368" i="6" s="1"/>
  <c r="AQ368" i="6" s="1"/>
  <c r="AR368" i="6" s="1"/>
  <c r="AS368" i="6" s="1"/>
  <c r="AT368" i="6" s="1"/>
  <c r="AU368" i="6" s="1"/>
  <c r="AV368" i="6" s="1"/>
  <c r="AW368" i="6" s="1"/>
  <c r="AX368" i="6" s="1"/>
  <c r="AY368" i="6" s="1"/>
  <c r="AZ368" i="6" s="1"/>
  <c r="BA368" i="6" s="1"/>
  <c r="BB368" i="6" s="1"/>
  <c r="P388" i="6"/>
  <c r="Q388" i="6" s="1"/>
  <c r="R388" i="6" s="1"/>
  <c r="S388" i="6" s="1"/>
  <c r="T388" i="6" s="1"/>
  <c r="U388" i="6" s="1"/>
  <c r="V388" i="6" s="1"/>
  <c r="W388" i="6" s="1"/>
  <c r="X388" i="6" s="1"/>
  <c r="Y388" i="6" s="1"/>
  <c r="Z388" i="6" s="1"/>
  <c r="AA388" i="6" s="1"/>
  <c r="AB388" i="6" s="1"/>
  <c r="AC388" i="6" s="1"/>
  <c r="AD388" i="6" s="1"/>
  <c r="AE388" i="6" s="1"/>
  <c r="AF388" i="6" s="1"/>
  <c r="AG388" i="6" s="1"/>
  <c r="AH388" i="6" s="1"/>
  <c r="AI388" i="6" s="1"/>
  <c r="AJ388" i="6" s="1"/>
  <c r="AK388" i="6" s="1"/>
  <c r="AL388" i="6" s="1"/>
  <c r="AM388" i="6" s="1"/>
  <c r="AN388" i="6" s="1"/>
  <c r="AO388" i="6" s="1"/>
  <c r="AP388" i="6" s="1"/>
  <c r="AQ388" i="6" s="1"/>
  <c r="AR388" i="6" s="1"/>
  <c r="AS388" i="6" s="1"/>
  <c r="AT388" i="6" s="1"/>
  <c r="AU388" i="6" s="1"/>
  <c r="AV388" i="6" s="1"/>
  <c r="AW388" i="6" s="1"/>
  <c r="AX388" i="6" s="1"/>
  <c r="AY388" i="6" s="1"/>
  <c r="AZ388" i="6" s="1"/>
  <c r="BA388" i="6" s="1"/>
  <c r="BB388" i="6" s="1"/>
  <c r="P380" i="6"/>
  <c r="Q380" i="6" s="1"/>
  <c r="R380" i="6" s="1"/>
  <c r="S380" i="6" s="1"/>
  <c r="T380" i="6" s="1"/>
  <c r="U380" i="6" s="1"/>
  <c r="V380" i="6" s="1"/>
  <c r="W380" i="6" s="1"/>
  <c r="X380" i="6" s="1"/>
  <c r="Y380" i="6" s="1"/>
  <c r="Z380" i="6" s="1"/>
  <c r="AA380" i="6" s="1"/>
  <c r="AB380" i="6" s="1"/>
  <c r="AC380" i="6" s="1"/>
  <c r="AD380" i="6" s="1"/>
  <c r="AE380" i="6" s="1"/>
  <c r="AF380" i="6" s="1"/>
  <c r="AG380" i="6" s="1"/>
  <c r="AH380" i="6" s="1"/>
  <c r="AI380" i="6" s="1"/>
  <c r="AJ380" i="6" s="1"/>
  <c r="AK380" i="6" s="1"/>
  <c r="AL380" i="6" s="1"/>
  <c r="AM380" i="6" s="1"/>
  <c r="AN380" i="6" s="1"/>
  <c r="AO380" i="6" s="1"/>
  <c r="AP380" i="6" s="1"/>
  <c r="AQ380" i="6" s="1"/>
  <c r="AR380" i="6" s="1"/>
  <c r="AS380" i="6" s="1"/>
  <c r="AT380" i="6" s="1"/>
  <c r="AU380" i="6" s="1"/>
  <c r="AV380" i="6" s="1"/>
  <c r="AW380" i="6" s="1"/>
  <c r="AX380" i="6" s="1"/>
  <c r="AY380" i="6" s="1"/>
  <c r="AZ380" i="6" s="1"/>
  <c r="BA380" i="6" s="1"/>
  <c r="BB380" i="6" s="1"/>
  <c r="P378" i="6"/>
  <c r="Q378" i="6" s="1"/>
  <c r="R378" i="6" s="1"/>
  <c r="S378" i="6" s="1"/>
  <c r="T378" i="6" s="1"/>
  <c r="U378" i="6" s="1"/>
  <c r="V378" i="6" s="1"/>
  <c r="W378" i="6" s="1"/>
  <c r="X378" i="6" s="1"/>
  <c r="Y378" i="6" s="1"/>
  <c r="Z378" i="6" s="1"/>
  <c r="AA378" i="6" s="1"/>
  <c r="AB378" i="6" s="1"/>
  <c r="AC378" i="6" s="1"/>
  <c r="AD378" i="6" s="1"/>
  <c r="AE378" i="6" s="1"/>
  <c r="AF378" i="6" s="1"/>
  <c r="AG378" i="6" s="1"/>
  <c r="AH378" i="6" s="1"/>
  <c r="AI378" i="6" s="1"/>
  <c r="AJ378" i="6" s="1"/>
  <c r="AK378" i="6" s="1"/>
  <c r="AL378" i="6" s="1"/>
  <c r="AM378" i="6" s="1"/>
  <c r="AN378" i="6" s="1"/>
  <c r="AO378" i="6" s="1"/>
  <c r="AP378" i="6" s="1"/>
  <c r="AQ378" i="6" s="1"/>
  <c r="AR378" i="6" s="1"/>
  <c r="AS378" i="6" s="1"/>
  <c r="AT378" i="6" s="1"/>
  <c r="AU378" i="6" s="1"/>
  <c r="AV378" i="6" s="1"/>
  <c r="AW378" i="6" s="1"/>
  <c r="AX378" i="6" s="1"/>
  <c r="AY378" i="6" s="1"/>
  <c r="AZ378" i="6" s="1"/>
  <c r="BA378" i="6" s="1"/>
  <c r="BB378" i="6" s="1"/>
  <c r="P392" i="6"/>
  <c r="Q392" i="6" s="1"/>
  <c r="R392" i="6" s="1"/>
  <c r="S392" i="6" s="1"/>
  <c r="T392" i="6" s="1"/>
  <c r="U392" i="6" s="1"/>
  <c r="V392" i="6" s="1"/>
  <c r="W392" i="6" s="1"/>
  <c r="X392" i="6" s="1"/>
  <c r="Y392" i="6" s="1"/>
  <c r="Z392" i="6" s="1"/>
  <c r="AA392" i="6" s="1"/>
  <c r="AB392" i="6" s="1"/>
  <c r="AC392" i="6" s="1"/>
  <c r="AD392" i="6" s="1"/>
  <c r="AE392" i="6" s="1"/>
  <c r="AF392" i="6" s="1"/>
  <c r="AG392" i="6" s="1"/>
  <c r="AH392" i="6" s="1"/>
  <c r="AI392" i="6" s="1"/>
  <c r="AJ392" i="6" s="1"/>
  <c r="AK392" i="6" s="1"/>
  <c r="AL392" i="6" s="1"/>
  <c r="AM392" i="6" s="1"/>
  <c r="AN392" i="6" s="1"/>
  <c r="AO392" i="6" s="1"/>
  <c r="AP392" i="6" s="1"/>
  <c r="AQ392" i="6" s="1"/>
  <c r="AR392" i="6" s="1"/>
  <c r="AS392" i="6" s="1"/>
  <c r="AT392" i="6" s="1"/>
  <c r="AU392" i="6" s="1"/>
  <c r="AV392" i="6" s="1"/>
  <c r="AW392" i="6" s="1"/>
  <c r="AX392" i="6" s="1"/>
  <c r="AY392" i="6" s="1"/>
  <c r="AZ392" i="6" s="1"/>
  <c r="BA392" i="6" s="1"/>
  <c r="BB392" i="6" s="1"/>
  <c r="Z396" i="6"/>
  <c r="AA396" i="6" s="1"/>
  <c r="AB396" i="6" s="1"/>
  <c r="AC396" i="6" s="1"/>
  <c r="V314" i="6"/>
  <c r="W314" i="6" s="1"/>
  <c r="V312" i="6"/>
  <c r="W312" i="6" s="1"/>
  <c r="X312" i="6" s="1"/>
  <c r="Y312" i="6" s="1"/>
  <c r="Z312" i="6" s="1"/>
  <c r="AA312" i="6" s="1"/>
  <c r="AB312" i="6" s="1"/>
  <c r="AC312" i="6" s="1"/>
  <c r="AD312" i="6" s="1"/>
  <c r="AE312" i="6" s="1"/>
  <c r="AF312" i="6" s="1"/>
  <c r="AG312" i="6" s="1"/>
  <c r="AH312" i="6" s="1"/>
  <c r="AI312" i="6" s="1"/>
  <c r="AJ312" i="6" s="1"/>
  <c r="AK312" i="6" s="1"/>
  <c r="AL312" i="6" s="1"/>
  <c r="AM312" i="6" s="1"/>
  <c r="AN312" i="6" s="1"/>
  <c r="AO312" i="6" s="1"/>
  <c r="AP312" i="6" s="1"/>
  <c r="AQ312" i="6" s="1"/>
  <c r="AR312" i="6" s="1"/>
  <c r="AS312" i="6" s="1"/>
  <c r="AT312" i="6" s="1"/>
  <c r="AU312" i="6" s="1"/>
  <c r="AV312" i="6" s="1"/>
  <c r="AW312" i="6" s="1"/>
  <c r="AX312" i="6" s="1"/>
  <c r="AY312" i="6" s="1"/>
  <c r="AZ312" i="6" s="1"/>
  <c r="BA312" i="6" s="1"/>
  <c r="BB312" i="6" s="1"/>
  <c r="V336" i="6"/>
  <c r="W336" i="6" s="1"/>
  <c r="V340" i="6"/>
  <c r="W340" i="6" s="1"/>
  <c r="X340" i="6" s="1"/>
  <c r="Y340" i="6" s="1"/>
  <c r="V307" i="6"/>
  <c r="W307" i="6" s="1"/>
  <c r="V352" i="6"/>
  <c r="W352" i="6" s="1"/>
  <c r="V257" i="6"/>
  <c r="W257" i="6" s="1"/>
  <c r="Z259" i="6"/>
  <c r="AA259" i="6" s="1"/>
  <c r="V320" i="6"/>
  <c r="W320" i="6" s="1"/>
  <c r="X320" i="6" s="1"/>
  <c r="Y320" i="6" s="1"/>
  <c r="Z320" i="6" s="1"/>
  <c r="AA320" i="6" s="1"/>
  <c r="AB320" i="6" s="1"/>
  <c r="AC320" i="6" s="1"/>
  <c r="AD320" i="6" s="1"/>
  <c r="AE320" i="6" s="1"/>
  <c r="AF320" i="6" s="1"/>
  <c r="AG320" i="6" s="1"/>
  <c r="AH320" i="6" s="1"/>
  <c r="AI320" i="6" s="1"/>
  <c r="AJ320" i="6" s="1"/>
  <c r="AK320" i="6" s="1"/>
  <c r="AL320" i="6" s="1"/>
  <c r="AM320" i="6" s="1"/>
  <c r="AN320" i="6" s="1"/>
  <c r="AO320" i="6" s="1"/>
  <c r="AP320" i="6" s="1"/>
  <c r="AQ320" i="6" s="1"/>
  <c r="AR320" i="6" s="1"/>
  <c r="AS320" i="6" s="1"/>
  <c r="AT320" i="6" s="1"/>
  <c r="AU320" i="6" s="1"/>
  <c r="AV320" i="6" s="1"/>
  <c r="AW320" i="6" s="1"/>
  <c r="AX320" i="6" s="1"/>
  <c r="AY320" i="6" s="1"/>
  <c r="AZ320" i="6" s="1"/>
  <c r="BA320" i="6" s="1"/>
  <c r="BB320" i="6" s="1"/>
  <c r="Z306" i="6"/>
  <c r="AA306" i="6" s="1"/>
  <c r="V334" i="6"/>
  <c r="W334" i="6" s="1"/>
  <c r="V261" i="6"/>
  <c r="W261" i="6" s="1"/>
  <c r="Z342" i="6"/>
  <c r="AA342" i="6" s="1"/>
  <c r="Z328" i="6"/>
  <c r="AA328" i="6" s="1"/>
  <c r="AB328" i="6" s="1"/>
  <c r="AC328" i="6" s="1"/>
  <c r="AD328" i="6" s="1"/>
  <c r="AE328" i="6" s="1"/>
  <c r="AF328" i="6" s="1"/>
  <c r="AG328" i="6" s="1"/>
  <c r="AH328" i="6" s="1"/>
  <c r="AI328" i="6" s="1"/>
  <c r="AJ328" i="6" s="1"/>
  <c r="AK328" i="6" s="1"/>
  <c r="AL328" i="6" s="1"/>
  <c r="AM328" i="6" s="1"/>
  <c r="AN328" i="6" s="1"/>
  <c r="AO328" i="6" s="1"/>
  <c r="AP328" i="6" s="1"/>
  <c r="AQ328" i="6" s="1"/>
  <c r="AR328" i="6" s="1"/>
  <c r="AS328" i="6" s="1"/>
  <c r="AT328" i="6" s="1"/>
  <c r="AU328" i="6" s="1"/>
  <c r="AV328" i="6" s="1"/>
  <c r="AW328" i="6" s="1"/>
  <c r="AX328" i="6" s="1"/>
  <c r="AY328" i="6" s="1"/>
  <c r="AZ328" i="6" s="1"/>
  <c r="BA328" i="6" s="1"/>
  <c r="BB328" i="6" s="1"/>
  <c r="V308" i="6"/>
  <c r="W308" i="6" s="1"/>
  <c r="X308" i="6" s="1"/>
  <c r="Y308" i="6" s="1"/>
  <c r="Z308" i="6" s="1"/>
  <c r="AA308" i="6" s="1"/>
  <c r="AB308" i="6" s="1"/>
  <c r="AC308" i="6" s="1"/>
  <c r="AD308" i="6" s="1"/>
  <c r="AE308" i="6" s="1"/>
  <c r="AF308" i="6" s="1"/>
  <c r="AG308" i="6" s="1"/>
  <c r="AH308" i="6" s="1"/>
  <c r="AI308" i="6" s="1"/>
  <c r="AJ308" i="6" s="1"/>
  <c r="AK308" i="6" s="1"/>
  <c r="AL308" i="6" s="1"/>
  <c r="AM308" i="6" s="1"/>
  <c r="AN308" i="6" s="1"/>
  <c r="AO308" i="6" s="1"/>
  <c r="AP308" i="6" s="1"/>
  <c r="AQ308" i="6" s="1"/>
  <c r="AR308" i="6" s="1"/>
  <c r="AS308" i="6" s="1"/>
  <c r="AT308" i="6" s="1"/>
  <c r="AU308" i="6" s="1"/>
  <c r="AV308" i="6" s="1"/>
  <c r="AW308" i="6" s="1"/>
  <c r="AX308" i="6" s="1"/>
  <c r="AY308" i="6" s="1"/>
  <c r="AZ308" i="6" s="1"/>
  <c r="BA308" i="6" s="1"/>
  <c r="BB308" i="6" s="1"/>
  <c r="R322" i="6"/>
  <c r="S322" i="6" s="1"/>
  <c r="T322" i="6" s="1"/>
  <c r="U322" i="6" s="1"/>
  <c r="R316" i="6"/>
  <c r="S316" i="6" s="1"/>
  <c r="T316" i="6" s="1"/>
  <c r="U316" i="6" s="1"/>
  <c r="V72" i="6"/>
  <c r="W72" i="6" s="1"/>
  <c r="X72" i="6" s="1"/>
  <c r="Y72" i="6" s="1"/>
  <c r="Z72" i="6" s="1"/>
  <c r="AA72" i="6" s="1"/>
  <c r="AB72" i="6" s="1"/>
  <c r="AC72" i="6" s="1"/>
  <c r="AD72" i="6" s="1"/>
  <c r="AE72" i="6" s="1"/>
  <c r="AF72" i="6" s="1"/>
  <c r="AG72" i="6" s="1"/>
  <c r="AH72" i="6" s="1"/>
  <c r="AI72" i="6" s="1"/>
  <c r="AJ72" i="6" s="1"/>
  <c r="AK72" i="6" s="1"/>
  <c r="AL72" i="6" s="1"/>
  <c r="AM72" i="6" s="1"/>
  <c r="AN72" i="6" s="1"/>
  <c r="AO72" i="6" s="1"/>
  <c r="AP72" i="6" s="1"/>
  <c r="AQ72" i="6" s="1"/>
  <c r="AR72" i="6" s="1"/>
  <c r="AS72" i="6" s="1"/>
  <c r="AT72" i="6" s="1"/>
  <c r="AU72" i="6" s="1"/>
  <c r="AV72" i="6" s="1"/>
  <c r="AW72" i="6" s="1"/>
  <c r="AX72" i="6" s="1"/>
  <c r="AY72" i="6" s="1"/>
  <c r="AZ72" i="6" s="1"/>
  <c r="BA72" i="6" s="1"/>
  <c r="BB72" i="6" s="1"/>
  <c r="V252" i="6"/>
  <c r="W252" i="6" s="1"/>
  <c r="X252" i="6" s="1"/>
  <c r="Y252" i="6" s="1"/>
  <c r="Z252" i="6" s="1"/>
  <c r="AA252" i="6" s="1"/>
  <c r="AB252" i="6" s="1"/>
  <c r="AC252" i="6" s="1"/>
  <c r="AD252" i="6" s="1"/>
  <c r="AE252" i="6" s="1"/>
  <c r="AF252" i="6" s="1"/>
  <c r="AG252" i="6" s="1"/>
  <c r="AH252" i="6" s="1"/>
  <c r="AI252" i="6" s="1"/>
  <c r="AJ252" i="6" s="1"/>
  <c r="AK252" i="6" s="1"/>
  <c r="AL252" i="6" s="1"/>
  <c r="AM252" i="6" s="1"/>
  <c r="AN252" i="6" s="1"/>
  <c r="AO252" i="6" s="1"/>
  <c r="AP252" i="6" s="1"/>
  <c r="AQ252" i="6" s="1"/>
  <c r="AR252" i="6" s="1"/>
  <c r="AS252" i="6" s="1"/>
  <c r="AT252" i="6" s="1"/>
  <c r="AU252" i="6" s="1"/>
  <c r="AV252" i="6" s="1"/>
  <c r="AW252" i="6" s="1"/>
  <c r="AX252" i="6" s="1"/>
  <c r="AY252" i="6" s="1"/>
  <c r="AZ252" i="6" s="1"/>
  <c r="BA252" i="6" s="1"/>
  <c r="BB252" i="6" s="1"/>
  <c r="V162" i="6"/>
  <c r="W162" i="6" s="1"/>
  <c r="V181" i="6"/>
  <c r="W181" i="6" s="1"/>
  <c r="X181" i="6" s="1"/>
  <c r="Y181" i="6" s="1"/>
  <c r="Z181" i="6" s="1"/>
  <c r="AA181" i="6" s="1"/>
  <c r="AB181" i="6" s="1"/>
  <c r="AC181" i="6" s="1"/>
  <c r="AD181" i="6" s="1"/>
  <c r="AE181" i="6" s="1"/>
  <c r="AF181" i="6" s="1"/>
  <c r="AG181" i="6" s="1"/>
  <c r="AH181" i="6" s="1"/>
  <c r="AI181" i="6" s="1"/>
  <c r="AJ181" i="6" s="1"/>
  <c r="AK181" i="6" s="1"/>
  <c r="AL181" i="6" s="1"/>
  <c r="AM181" i="6" s="1"/>
  <c r="AN181" i="6" s="1"/>
  <c r="AO181" i="6" s="1"/>
  <c r="AP181" i="6" s="1"/>
  <c r="AQ181" i="6" s="1"/>
  <c r="AR181" i="6" s="1"/>
  <c r="AS181" i="6" s="1"/>
  <c r="AT181" i="6" s="1"/>
  <c r="AU181" i="6" s="1"/>
  <c r="AV181" i="6" s="1"/>
  <c r="AW181" i="6" s="1"/>
  <c r="AX181" i="6" s="1"/>
  <c r="AY181" i="6" s="1"/>
  <c r="AZ181" i="6" s="1"/>
  <c r="BA181" i="6" s="1"/>
  <c r="BB181" i="6" s="1"/>
  <c r="V76" i="6"/>
  <c r="W76" i="6" s="1"/>
  <c r="X76" i="6" s="1"/>
  <c r="Y76" i="6" s="1"/>
  <c r="Z76" i="6" s="1"/>
  <c r="AA76" i="6" s="1"/>
  <c r="AB76" i="6" s="1"/>
  <c r="AC76" i="6" s="1"/>
  <c r="AD76" i="6" s="1"/>
  <c r="AE76" i="6" s="1"/>
  <c r="AF76" i="6" s="1"/>
  <c r="AG76" i="6" s="1"/>
  <c r="AH76" i="6" s="1"/>
  <c r="AI76" i="6" s="1"/>
  <c r="AJ76" i="6" s="1"/>
  <c r="AK76" i="6" s="1"/>
  <c r="AL76" i="6" s="1"/>
  <c r="AM76" i="6" s="1"/>
  <c r="AN76" i="6" s="1"/>
  <c r="AO76" i="6" s="1"/>
  <c r="AP76" i="6" s="1"/>
  <c r="AQ76" i="6" s="1"/>
  <c r="AR76" i="6" s="1"/>
  <c r="AS76" i="6" s="1"/>
  <c r="AT76" i="6" s="1"/>
  <c r="AU76" i="6" s="1"/>
  <c r="AV76" i="6" s="1"/>
  <c r="AW76" i="6" s="1"/>
  <c r="AX76" i="6" s="1"/>
  <c r="AY76" i="6" s="1"/>
  <c r="AZ76" i="6" s="1"/>
  <c r="BA76" i="6" s="1"/>
  <c r="BB76" i="6" s="1"/>
  <c r="V164" i="6"/>
  <c r="W164" i="6" s="1"/>
  <c r="X164" i="6" s="1"/>
  <c r="Y164" i="6" s="1"/>
  <c r="Z164" i="6" s="1"/>
  <c r="AA164" i="6" s="1"/>
  <c r="AB164" i="6" s="1"/>
  <c r="AC164" i="6" s="1"/>
  <c r="AD164" i="6" s="1"/>
  <c r="AE164" i="6" s="1"/>
  <c r="AF164" i="6" s="1"/>
  <c r="AG164" i="6" s="1"/>
  <c r="AH164" i="6" s="1"/>
  <c r="AI164" i="6" s="1"/>
  <c r="AJ164" i="6" s="1"/>
  <c r="AK164" i="6" s="1"/>
  <c r="AL164" i="6" s="1"/>
  <c r="AM164" i="6" s="1"/>
  <c r="AN164" i="6" s="1"/>
  <c r="AO164" i="6" s="1"/>
  <c r="AP164" i="6" s="1"/>
  <c r="AQ164" i="6" s="1"/>
  <c r="AR164" i="6" s="1"/>
  <c r="AS164" i="6" s="1"/>
  <c r="AT164" i="6" s="1"/>
  <c r="AU164" i="6" s="1"/>
  <c r="AV164" i="6" s="1"/>
  <c r="AW164" i="6" s="1"/>
  <c r="AX164" i="6" s="1"/>
  <c r="AY164" i="6" s="1"/>
  <c r="AZ164" i="6" s="1"/>
  <c r="BA164" i="6" s="1"/>
  <c r="BB164" i="6" s="1"/>
  <c r="V179" i="6"/>
  <c r="W179" i="6" s="1"/>
  <c r="X179" i="6" s="1"/>
  <c r="Y179" i="6" s="1"/>
  <c r="Z179" i="6" s="1"/>
  <c r="AA179" i="6" s="1"/>
  <c r="AB179" i="6" s="1"/>
  <c r="AC179" i="6" s="1"/>
  <c r="AD179" i="6" s="1"/>
  <c r="AE179" i="6" s="1"/>
  <c r="AF179" i="6" s="1"/>
  <c r="AG179" i="6" s="1"/>
  <c r="AH179" i="6" s="1"/>
  <c r="AI179" i="6" s="1"/>
  <c r="AJ179" i="6" s="1"/>
  <c r="AK179" i="6" s="1"/>
  <c r="AL179" i="6" s="1"/>
  <c r="AM179" i="6" s="1"/>
  <c r="AN179" i="6" s="1"/>
  <c r="AO179" i="6" s="1"/>
  <c r="AP179" i="6" s="1"/>
  <c r="AQ179" i="6" s="1"/>
  <c r="AR179" i="6" s="1"/>
  <c r="AS179" i="6" s="1"/>
  <c r="AT179" i="6" s="1"/>
  <c r="AU179" i="6" s="1"/>
  <c r="AV179" i="6" s="1"/>
  <c r="AW179" i="6" s="1"/>
  <c r="AX179" i="6" s="1"/>
  <c r="AY179" i="6" s="1"/>
  <c r="AZ179" i="6" s="1"/>
  <c r="BA179" i="6" s="1"/>
  <c r="BB179" i="6" s="1"/>
  <c r="Z172" i="6"/>
  <c r="AA172" i="6" s="1"/>
  <c r="V74" i="6"/>
  <c r="W74" i="6" s="1"/>
  <c r="X74" i="6" s="1"/>
  <c r="Y74" i="6" s="1"/>
  <c r="Z74" i="6" s="1"/>
  <c r="AA74" i="6" s="1"/>
  <c r="AB74" i="6" s="1"/>
  <c r="AC74" i="6" s="1"/>
  <c r="AD74" i="6" s="1"/>
  <c r="AE74" i="6" s="1"/>
  <c r="AF74" i="6" s="1"/>
  <c r="AG74" i="6" s="1"/>
  <c r="AH74" i="6" s="1"/>
  <c r="AI74" i="6" s="1"/>
  <c r="AJ74" i="6" s="1"/>
  <c r="AK74" i="6" s="1"/>
  <c r="AL74" i="6" s="1"/>
  <c r="AM74" i="6" s="1"/>
  <c r="AN74" i="6" s="1"/>
  <c r="AO74" i="6" s="1"/>
  <c r="AP74" i="6" s="1"/>
  <c r="AQ74" i="6" s="1"/>
  <c r="AR74" i="6" s="1"/>
  <c r="AS74" i="6" s="1"/>
  <c r="AT74" i="6" s="1"/>
  <c r="AU74" i="6" s="1"/>
  <c r="AV74" i="6" s="1"/>
  <c r="AW74" i="6" s="1"/>
  <c r="AX74" i="6" s="1"/>
  <c r="AY74" i="6" s="1"/>
  <c r="AZ74" i="6" s="1"/>
  <c r="BA74" i="6" s="1"/>
  <c r="BB74" i="6" s="1"/>
  <c r="Z84" i="6"/>
  <c r="AA84" i="6" s="1"/>
  <c r="AB84" i="6" s="1"/>
  <c r="AC84" i="6" s="1"/>
  <c r="AD84" i="6" s="1"/>
  <c r="AE84" i="6" s="1"/>
  <c r="AF84" i="6" s="1"/>
  <c r="AG84" i="6" s="1"/>
  <c r="AH84" i="6" s="1"/>
  <c r="AI84" i="6" s="1"/>
  <c r="AJ84" i="6" s="1"/>
  <c r="AK84" i="6" s="1"/>
  <c r="AL84" i="6" s="1"/>
  <c r="AM84" i="6" s="1"/>
  <c r="AN84" i="6" s="1"/>
  <c r="AO84" i="6" s="1"/>
  <c r="AP84" i="6" s="1"/>
  <c r="AQ84" i="6" s="1"/>
  <c r="AR84" i="6" s="1"/>
  <c r="AS84" i="6" s="1"/>
  <c r="AT84" i="6" s="1"/>
  <c r="AU84" i="6" s="1"/>
  <c r="AV84" i="6" s="1"/>
  <c r="AW84" i="6" s="1"/>
  <c r="AX84" i="6" s="1"/>
  <c r="AY84" i="6" s="1"/>
  <c r="AZ84" i="6" s="1"/>
  <c r="BA84" i="6" s="1"/>
  <c r="BB84" i="6" s="1"/>
  <c r="V80" i="6"/>
  <c r="W80" i="6" s="1"/>
  <c r="X80" i="6" s="1"/>
  <c r="Y80" i="6" s="1"/>
  <c r="Z80" i="6" s="1"/>
  <c r="AA80" i="6" s="1"/>
  <c r="AB80" i="6" s="1"/>
  <c r="AC80" i="6" s="1"/>
  <c r="AD80" i="6" s="1"/>
  <c r="AE80" i="6" s="1"/>
  <c r="AF80" i="6" s="1"/>
  <c r="AG80" i="6" s="1"/>
  <c r="AH80" i="6" s="1"/>
  <c r="AI80" i="6" s="1"/>
  <c r="AJ80" i="6" s="1"/>
  <c r="AK80" i="6" s="1"/>
  <c r="AL80" i="6" s="1"/>
  <c r="AM80" i="6" s="1"/>
  <c r="AN80" i="6" s="1"/>
  <c r="AO80" i="6" s="1"/>
  <c r="AP80" i="6" s="1"/>
  <c r="AQ80" i="6" s="1"/>
  <c r="AR80" i="6" s="1"/>
  <c r="AS80" i="6" s="1"/>
  <c r="AT80" i="6" s="1"/>
  <c r="AU80" i="6" s="1"/>
  <c r="AV80" i="6" s="1"/>
  <c r="AW80" i="6" s="1"/>
  <c r="AX80" i="6" s="1"/>
  <c r="AY80" i="6" s="1"/>
  <c r="AZ80" i="6" s="1"/>
  <c r="BA80" i="6" s="1"/>
  <c r="BB80" i="6" s="1"/>
  <c r="V251" i="6"/>
  <c r="W251" i="6" s="1"/>
  <c r="X251" i="6" s="1"/>
  <c r="Y251" i="6" s="1"/>
  <c r="Z251" i="6" s="1"/>
  <c r="AA251" i="6" s="1"/>
  <c r="AB251" i="6" s="1"/>
  <c r="AC251" i="6" s="1"/>
  <c r="AD251" i="6" s="1"/>
  <c r="AE251" i="6" s="1"/>
  <c r="AF251" i="6" s="1"/>
  <c r="AG251" i="6" s="1"/>
  <c r="AH251" i="6" s="1"/>
  <c r="AI251" i="6" s="1"/>
  <c r="AJ251" i="6" s="1"/>
  <c r="AK251" i="6" s="1"/>
  <c r="AL251" i="6" s="1"/>
  <c r="AM251" i="6" s="1"/>
  <c r="AN251" i="6" s="1"/>
  <c r="AO251" i="6" s="1"/>
  <c r="AP251" i="6" s="1"/>
  <c r="AQ251" i="6" s="1"/>
  <c r="AR251" i="6" s="1"/>
  <c r="AS251" i="6" s="1"/>
  <c r="AT251" i="6" s="1"/>
  <c r="AU251" i="6" s="1"/>
  <c r="AV251" i="6" s="1"/>
  <c r="AW251" i="6" s="1"/>
  <c r="AX251" i="6" s="1"/>
  <c r="AY251" i="6" s="1"/>
  <c r="AZ251" i="6" s="1"/>
  <c r="BA251" i="6" s="1"/>
  <c r="BB251" i="6" s="1"/>
  <c r="V86" i="6"/>
  <c r="W86" i="6" s="1"/>
  <c r="X86" i="6" s="1"/>
  <c r="Y86" i="6" s="1"/>
  <c r="Z86" i="6" s="1"/>
  <c r="AA86" i="6" s="1"/>
  <c r="AB86" i="6" s="1"/>
  <c r="AC86" i="6" s="1"/>
  <c r="AD86" i="6" s="1"/>
  <c r="AE86" i="6" s="1"/>
  <c r="AF86" i="6" s="1"/>
  <c r="AG86" i="6" s="1"/>
  <c r="V173" i="6"/>
  <c r="W173" i="6" s="1"/>
  <c r="X173" i="6" s="1"/>
  <c r="Y173" i="6" s="1"/>
  <c r="Z173" i="6" s="1"/>
  <c r="AA173" i="6" s="1"/>
  <c r="AB173" i="6" s="1"/>
  <c r="AC173" i="6" s="1"/>
  <c r="AD173" i="6" s="1"/>
  <c r="AE173" i="6" s="1"/>
  <c r="AF173" i="6" s="1"/>
  <c r="AG173" i="6" s="1"/>
  <c r="AH173" i="6" s="1"/>
  <c r="AI173" i="6" s="1"/>
  <c r="AJ173" i="6" s="1"/>
  <c r="AK173" i="6" s="1"/>
  <c r="AL173" i="6" s="1"/>
  <c r="AM173" i="6" s="1"/>
  <c r="AN173" i="6" s="1"/>
  <c r="AO173" i="6" s="1"/>
  <c r="AP173" i="6" s="1"/>
  <c r="AQ173" i="6" s="1"/>
  <c r="AR173" i="6" s="1"/>
  <c r="AS173" i="6" s="1"/>
  <c r="AT173" i="6" s="1"/>
  <c r="AU173" i="6" s="1"/>
  <c r="AV173" i="6" s="1"/>
  <c r="AW173" i="6" s="1"/>
  <c r="AX173" i="6" s="1"/>
  <c r="AY173" i="6" s="1"/>
  <c r="AZ173" i="6" s="1"/>
  <c r="BA173" i="6" s="1"/>
  <c r="BB173" i="6" s="1"/>
  <c r="V254" i="6"/>
  <c r="W254" i="6" s="1"/>
  <c r="X254" i="6" s="1"/>
  <c r="Y254" i="6" s="1"/>
  <c r="Z254" i="6" s="1"/>
  <c r="AA254" i="6" s="1"/>
  <c r="AB254" i="6" s="1"/>
  <c r="AC254" i="6" s="1"/>
  <c r="AD254" i="6" s="1"/>
  <c r="AE254" i="6" s="1"/>
  <c r="AF254" i="6" s="1"/>
  <c r="AG254" i="6" s="1"/>
  <c r="AH254" i="6" s="1"/>
  <c r="AI254" i="6" s="1"/>
  <c r="AJ254" i="6" s="1"/>
  <c r="AK254" i="6" s="1"/>
  <c r="AL254" i="6" s="1"/>
  <c r="AM254" i="6" s="1"/>
  <c r="AN254" i="6" s="1"/>
  <c r="AO254" i="6" s="1"/>
  <c r="AP254" i="6" s="1"/>
  <c r="AQ254" i="6" s="1"/>
  <c r="AR254" i="6" s="1"/>
  <c r="AS254" i="6" s="1"/>
  <c r="AT254" i="6" s="1"/>
  <c r="AU254" i="6" s="1"/>
  <c r="AV254" i="6" s="1"/>
  <c r="AW254" i="6" s="1"/>
  <c r="AX254" i="6" s="1"/>
  <c r="AY254" i="6" s="1"/>
  <c r="AZ254" i="6" s="1"/>
  <c r="BA254" i="6" s="1"/>
  <c r="BB254" i="6" s="1"/>
  <c r="X78" i="6"/>
  <c r="Y78" i="6" s="1"/>
  <c r="Z78" i="6" s="1"/>
  <c r="AA78" i="6" s="1"/>
  <c r="AB78" i="6" s="1"/>
  <c r="AC78" i="6" s="1"/>
  <c r="AD78" i="6" s="1"/>
  <c r="AE78" i="6" s="1"/>
  <c r="AF78" i="6" s="1"/>
  <c r="AG78" i="6" s="1"/>
  <c r="AH78" i="6" s="1"/>
  <c r="AI78" i="6" s="1"/>
  <c r="AJ78" i="6" s="1"/>
  <c r="AK78" i="6" s="1"/>
  <c r="AL78" i="6" s="1"/>
  <c r="AM78" i="6" s="1"/>
  <c r="AN78" i="6" s="1"/>
  <c r="AO78" i="6" s="1"/>
  <c r="AP78" i="6" s="1"/>
  <c r="AQ78" i="6" s="1"/>
  <c r="AR78" i="6" s="1"/>
  <c r="AS78" i="6" s="1"/>
  <c r="AT78" i="6" s="1"/>
  <c r="AU78" i="6" s="1"/>
  <c r="AV78" i="6" s="1"/>
  <c r="AW78" i="6" s="1"/>
  <c r="AX78" i="6" s="1"/>
  <c r="AY78" i="6" s="1"/>
  <c r="AZ78" i="6" s="1"/>
  <c r="BA78" i="6" s="1"/>
  <c r="BB78" i="6" s="1"/>
  <c r="Z90" i="6"/>
  <c r="AA90" i="6" s="1"/>
  <c r="AB90" i="6" s="1"/>
  <c r="AC90" i="6" s="1"/>
  <c r="AD90" i="6" s="1"/>
  <c r="AE90" i="6" s="1"/>
  <c r="AF90" i="6" s="1"/>
  <c r="AG90" i="6" s="1"/>
  <c r="AH90" i="6" s="1"/>
  <c r="AI90" i="6" s="1"/>
  <c r="AJ90" i="6" s="1"/>
  <c r="AK90" i="6" s="1"/>
  <c r="AL90" i="6" s="1"/>
  <c r="AM90" i="6" s="1"/>
  <c r="AN90" i="6" s="1"/>
  <c r="AO90" i="6" s="1"/>
  <c r="AP90" i="6" s="1"/>
  <c r="AQ90" i="6" s="1"/>
  <c r="AR90" i="6" s="1"/>
  <c r="AS90" i="6" s="1"/>
  <c r="AT90" i="6" s="1"/>
  <c r="AU90" i="6" s="1"/>
  <c r="AV90" i="6" s="1"/>
  <c r="AW90" i="6" s="1"/>
  <c r="AX90" i="6" s="1"/>
  <c r="AY90" i="6" s="1"/>
  <c r="AZ90" i="6" s="1"/>
  <c r="BA90" i="6" s="1"/>
  <c r="BB90" i="6" s="1"/>
  <c r="V256" i="6"/>
  <c r="W256" i="6" s="1"/>
  <c r="X256" i="6" s="1"/>
  <c r="Y256" i="6" s="1"/>
  <c r="Z256" i="6" s="1"/>
  <c r="AA256" i="6" s="1"/>
  <c r="AB256" i="6" s="1"/>
  <c r="AC256" i="6" s="1"/>
  <c r="AD256" i="6" s="1"/>
  <c r="AE256" i="6" s="1"/>
  <c r="AF256" i="6" s="1"/>
  <c r="AG256" i="6" s="1"/>
  <c r="AH256" i="6" s="1"/>
  <c r="AI256" i="6" s="1"/>
  <c r="AJ256" i="6" s="1"/>
  <c r="AK256" i="6" s="1"/>
  <c r="AL256" i="6" s="1"/>
  <c r="AM256" i="6" s="1"/>
  <c r="AN256" i="6" s="1"/>
  <c r="AO256" i="6" s="1"/>
  <c r="AP256" i="6" s="1"/>
  <c r="AQ256" i="6" s="1"/>
  <c r="AR256" i="6" s="1"/>
  <c r="AS256" i="6" s="1"/>
  <c r="AT256" i="6" s="1"/>
  <c r="AU256" i="6" s="1"/>
  <c r="AV256" i="6" s="1"/>
  <c r="AW256" i="6" s="1"/>
  <c r="AX256" i="6" s="1"/>
  <c r="AY256" i="6" s="1"/>
  <c r="AZ256" i="6" s="1"/>
  <c r="BA256" i="6" s="1"/>
  <c r="BB256" i="6" s="1"/>
  <c r="V170" i="6"/>
  <c r="W170" i="6" s="1"/>
  <c r="X170" i="6" s="1"/>
  <c r="Y170" i="6" s="1"/>
  <c r="Z170" i="6" s="1"/>
  <c r="AA170" i="6" s="1"/>
  <c r="AB170" i="6" s="1"/>
  <c r="AC170" i="6" s="1"/>
  <c r="AD170" i="6" s="1"/>
  <c r="AE170" i="6" s="1"/>
  <c r="AF170" i="6" s="1"/>
  <c r="AG170" i="6" s="1"/>
  <c r="AH170" i="6" s="1"/>
  <c r="AI170" i="6" s="1"/>
  <c r="AJ170" i="6" s="1"/>
  <c r="AK170" i="6" s="1"/>
  <c r="AL170" i="6" s="1"/>
  <c r="AM170" i="6" s="1"/>
  <c r="AN170" i="6" s="1"/>
  <c r="AO170" i="6" s="1"/>
  <c r="AP170" i="6" s="1"/>
  <c r="AQ170" i="6" s="1"/>
  <c r="AR170" i="6" s="1"/>
  <c r="AS170" i="6" s="1"/>
  <c r="AT170" i="6" s="1"/>
  <c r="AU170" i="6" s="1"/>
  <c r="AV170" i="6" s="1"/>
  <c r="AW170" i="6" s="1"/>
  <c r="AX170" i="6" s="1"/>
  <c r="AY170" i="6" s="1"/>
  <c r="AZ170" i="6" s="1"/>
  <c r="BA170" i="6" s="1"/>
  <c r="BB170" i="6" s="1"/>
  <c r="V166" i="6"/>
  <c r="W166" i="6" s="1"/>
  <c r="X166" i="6" s="1"/>
  <c r="Y166" i="6" s="1"/>
  <c r="Z166" i="6" s="1"/>
  <c r="AA166" i="6" s="1"/>
  <c r="AB166" i="6" s="1"/>
  <c r="AC166" i="6" s="1"/>
  <c r="AD166" i="6" s="1"/>
  <c r="AE166" i="6" s="1"/>
  <c r="AF166" i="6" s="1"/>
  <c r="AG166" i="6" s="1"/>
  <c r="AH166" i="6" s="1"/>
  <c r="AI166" i="6" s="1"/>
  <c r="AJ166" i="6" s="1"/>
  <c r="AK166" i="6" s="1"/>
  <c r="AL166" i="6" s="1"/>
  <c r="AM166" i="6" s="1"/>
  <c r="AN166" i="6" s="1"/>
  <c r="AO166" i="6" s="1"/>
  <c r="AP166" i="6" s="1"/>
  <c r="AQ166" i="6" s="1"/>
  <c r="AR166" i="6" s="1"/>
  <c r="AS166" i="6" s="1"/>
  <c r="AT166" i="6" s="1"/>
  <c r="AU166" i="6" s="1"/>
  <c r="AV166" i="6" s="1"/>
  <c r="AW166" i="6" s="1"/>
  <c r="AX166" i="6" s="1"/>
  <c r="AY166" i="6" s="1"/>
  <c r="AZ166" i="6" s="1"/>
  <c r="BA166" i="6" s="1"/>
  <c r="BB166" i="6" s="1"/>
  <c r="X175" i="6"/>
  <c r="Y175" i="6" s="1"/>
  <c r="Z175" i="6" s="1"/>
  <c r="AA175" i="6" s="1"/>
  <c r="AB175" i="6" s="1"/>
  <c r="AC175" i="6" s="1"/>
  <c r="AD175" i="6" s="1"/>
  <c r="AE175" i="6" s="1"/>
  <c r="AF175" i="6" s="1"/>
  <c r="AG175" i="6" s="1"/>
  <c r="AH175" i="6" s="1"/>
  <c r="AI175" i="6" s="1"/>
  <c r="AJ175" i="6" s="1"/>
  <c r="AK175" i="6" s="1"/>
  <c r="AL175" i="6" s="1"/>
  <c r="AM175" i="6" s="1"/>
  <c r="AN175" i="6" s="1"/>
  <c r="AO175" i="6" s="1"/>
  <c r="AP175" i="6" s="1"/>
  <c r="AQ175" i="6" s="1"/>
  <c r="AR175" i="6" s="1"/>
  <c r="AS175" i="6" s="1"/>
  <c r="AT175" i="6" s="1"/>
  <c r="AU175" i="6" s="1"/>
  <c r="AV175" i="6" s="1"/>
  <c r="AW175" i="6" s="1"/>
  <c r="AX175" i="6" s="1"/>
  <c r="AY175" i="6" s="1"/>
  <c r="AZ175" i="6" s="1"/>
  <c r="BA175" i="6" s="1"/>
  <c r="BB175" i="6" s="1"/>
  <c r="R168" i="6"/>
  <c r="S168" i="6" s="1"/>
  <c r="T168" i="6" s="1"/>
  <c r="U168" i="6" s="1"/>
  <c r="CP386" i="6"/>
  <c r="V305" i="6"/>
  <c r="W305" i="6" s="1"/>
  <c r="X71" i="6"/>
  <c r="Y71" i="6" s="1"/>
  <c r="Z71" i="6" s="1"/>
  <c r="AA71" i="6" s="1"/>
  <c r="AB71" i="6" s="1"/>
  <c r="AC71" i="6" s="1"/>
  <c r="AD71" i="6" s="1"/>
  <c r="AE71" i="6" s="1"/>
  <c r="AF71" i="6" s="1"/>
  <c r="AG71" i="6" s="1"/>
  <c r="AH71" i="6" s="1"/>
  <c r="AI71" i="6" s="1"/>
  <c r="AJ71" i="6" s="1"/>
  <c r="AK71" i="6" s="1"/>
  <c r="AL71" i="6" s="1"/>
  <c r="AM71" i="6" s="1"/>
  <c r="AN71" i="6" s="1"/>
  <c r="AO71" i="6" s="1"/>
  <c r="AP71" i="6" s="1"/>
  <c r="AQ71" i="6" s="1"/>
  <c r="AR71" i="6" s="1"/>
  <c r="AS71" i="6" s="1"/>
  <c r="AT71" i="6" s="1"/>
  <c r="AU71" i="6" s="1"/>
  <c r="AV71" i="6" s="1"/>
  <c r="AW71" i="6" s="1"/>
  <c r="AX71" i="6" s="1"/>
  <c r="AY71" i="6" s="1"/>
  <c r="AZ71" i="6" s="1"/>
  <c r="BA71" i="6" s="1"/>
  <c r="BB71" i="6" s="1"/>
  <c r="CP23" i="4"/>
  <c r="CP5" i="4"/>
  <c r="CP330" i="6"/>
  <c r="CP5" i="5"/>
  <c r="CP81" i="4"/>
  <c r="Q318" i="6"/>
  <c r="R318" i="6" s="1"/>
  <c r="M72" i="1"/>
  <c r="CP309" i="6" l="1"/>
  <c r="CP344" i="6"/>
  <c r="CP326" i="6"/>
  <c r="CP177" i="6"/>
  <c r="CP366" i="6"/>
  <c r="CP390" i="6"/>
  <c r="CP332" i="6"/>
  <c r="CP338" i="6"/>
  <c r="CP82" i="6"/>
  <c r="BC164" i="6"/>
  <c r="BD164" i="6" s="1"/>
  <c r="BE164" i="6" s="1"/>
  <c r="BF164" i="6" s="1"/>
  <c r="BG164" i="6" s="1"/>
  <c r="BH164" i="6" s="1"/>
  <c r="BI164" i="6" s="1"/>
  <c r="BJ164" i="6" s="1"/>
  <c r="BK164" i="6" s="1"/>
  <c r="BL164" i="6" s="1"/>
  <c r="BM164" i="6" s="1"/>
  <c r="BN164" i="6" s="1"/>
  <c r="BO164" i="6" s="1"/>
  <c r="BP164" i="6" s="1"/>
  <c r="BQ164" i="6" s="1"/>
  <c r="BR164" i="6" s="1"/>
  <c r="BS164" i="6" s="1"/>
  <c r="BT164" i="6" s="1"/>
  <c r="BU164" i="6" s="1"/>
  <c r="BV164" i="6" s="1"/>
  <c r="BW164" i="6" s="1"/>
  <c r="BX164" i="6" s="1"/>
  <c r="BY164" i="6" s="1"/>
  <c r="BZ164" i="6" s="1"/>
  <c r="CA164" i="6" s="1"/>
  <c r="CB164" i="6" s="1"/>
  <c r="CC164" i="6" s="1"/>
  <c r="CD164" i="6" s="1"/>
  <c r="CE164" i="6" s="1"/>
  <c r="CF164" i="6" s="1"/>
  <c r="CG164" i="6" s="1"/>
  <c r="CH164" i="6" s="1"/>
  <c r="CI164" i="6" s="1"/>
  <c r="CJ164" i="6" s="1"/>
  <c r="CK164" i="6" s="1"/>
  <c r="CL164" i="6" s="1"/>
  <c r="CM164" i="6" s="1"/>
  <c r="CN164" i="6" s="1"/>
  <c r="CO164" i="6" s="1"/>
  <c r="BC166" i="6"/>
  <c r="BD166" i="6" s="1"/>
  <c r="BE166" i="6" s="1"/>
  <c r="BF166" i="6" s="1"/>
  <c r="BG166" i="6" s="1"/>
  <c r="BH166" i="6" s="1"/>
  <c r="BI166" i="6" s="1"/>
  <c r="BJ166" i="6" s="1"/>
  <c r="BK166" i="6" s="1"/>
  <c r="BL166" i="6" s="1"/>
  <c r="BM166" i="6" s="1"/>
  <c r="BN166" i="6" s="1"/>
  <c r="BO166" i="6" s="1"/>
  <c r="BP166" i="6" s="1"/>
  <c r="BQ166" i="6" s="1"/>
  <c r="BR166" i="6" s="1"/>
  <c r="BS166" i="6" s="1"/>
  <c r="BT166" i="6" s="1"/>
  <c r="BU166" i="6" s="1"/>
  <c r="BV166" i="6" s="1"/>
  <c r="BW166" i="6" s="1"/>
  <c r="BX166" i="6" s="1"/>
  <c r="BY166" i="6" s="1"/>
  <c r="BZ166" i="6" s="1"/>
  <c r="CA166" i="6" s="1"/>
  <c r="CB166" i="6" s="1"/>
  <c r="CC166" i="6" s="1"/>
  <c r="CD166" i="6" s="1"/>
  <c r="CE166" i="6" s="1"/>
  <c r="CF166" i="6" s="1"/>
  <c r="CG166" i="6" s="1"/>
  <c r="CH166" i="6" s="1"/>
  <c r="CI166" i="6" s="1"/>
  <c r="CJ166" i="6" s="1"/>
  <c r="CK166" i="6" s="1"/>
  <c r="CL166" i="6" s="1"/>
  <c r="CM166" i="6" s="1"/>
  <c r="CN166" i="6" s="1"/>
  <c r="CO166" i="6" s="1"/>
  <c r="BC256" i="6"/>
  <c r="BD256" i="6" s="1"/>
  <c r="BE256" i="6" s="1"/>
  <c r="BF256" i="6" s="1"/>
  <c r="BG256" i="6" s="1"/>
  <c r="BH256" i="6" s="1"/>
  <c r="BI256" i="6" s="1"/>
  <c r="BJ256" i="6" s="1"/>
  <c r="BK256" i="6" s="1"/>
  <c r="BL256" i="6" s="1"/>
  <c r="BM256" i="6" s="1"/>
  <c r="BN256" i="6" s="1"/>
  <c r="BO256" i="6" s="1"/>
  <c r="BP256" i="6" s="1"/>
  <c r="BQ256" i="6" s="1"/>
  <c r="BR256" i="6" s="1"/>
  <c r="BS256" i="6" s="1"/>
  <c r="BT256" i="6" s="1"/>
  <c r="BU256" i="6" s="1"/>
  <c r="BV256" i="6" s="1"/>
  <c r="BW256" i="6" s="1"/>
  <c r="BX256" i="6" s="1"/>
  <c r="BY256" i="6" s="1"/>
  <c r="BZ256" i="6" s="1"/>
  <c r="CA256" i="6" s="1"/>
  <c r="CB256" i="6" s="1"/>
  <c r="CC256" i="6" s="1"/>
  <c r="CD256" i="6" s="1"/>
  <c r="CE256" i="6" s="1"/>
  <c r="CF256" i="6" s="1"/>
  <c r="CG256" i="6" s="1"/>
  <c r="CH256" i="6" s="1"/>
  <c r="CI256" i="6" s="1"/>
  <c r="CJ256" i="6" s="1"/>
  <c r="CK256" i="6" s="1"/>
  <c r="CL256" i="6" s="1"/>
  <c r="CM256" i="6" s="1"/>
  <c r="CN256" i="6" s="1"/>
  <c r="CO256" i="6" s="1"/>
  <c r="BC78" i="6"/>
  <c r="BD78" i="6" s="1"/>
  <c r="BE78" i="6" s="1"/>
  <c r="BF78" i="6" s="1"/>
  <c r="BG78" i="6" s="1"/>
  <c r="BH78" i="6" s="1"/>
  <c r="BI78" i="6" s="1"/>
  <c r="BJ78" i="6" s="1"/>
  <c r="BK78" i="6" s="1"/>
  <c r="BL78" i="6" s="1"/>
  <c r="BM78" i="6" s="1"/>
  <c r="BN78" i="6" s="1"/>
  <c r="BO78" i="6" s="1"/>
  <c r="BP78" i="6" s="1"/>
  <c r="BQ78" i="6" s="1"/>
  <c r="BR78" i="6" s="1"/>
  <c r="BS78" i="6" s="1"/>
  <c r="BT78" i="6" s="1"/>
  <c r="BU78" i="6" s="1"/>
  <c r="BV78" i="6" s="1"/>
  <c r="BW78" i="6" s="1"/>
  <c r="BX78" i="6" s="1"/>
  <c r="BY78" i="6" s="1"/>
  <c r="BZ78" i="6" s="1"/>
  <c r="CA78" i="6" s="1"/>
  <c r="CB78" i="6" s="1"/>
  <c r="CC78" i="6" s="1"/>
  <c r="CD78" i="6" s="1"/>
  <c r="CE78" i="6" s="1"/>
  <c r="CF78" i="6" s="1"/>
  <c r="CG78" i="6" s="1"/>
  <c r="CH78" i="6" s="1"/>
  <c r="CI78" i="6" s="1"/>
  <c r="CJ78" i="6" s="1"/>
  <c r="CK78" i="6" s="1"/>
  <c r="CL78" i="6" s="1"/>
  <c r="CM78" i="6" s="1"/>
  <c r="CN78" i="6" s="1"/>
  <c r="CO78" i="6" s="1"/>
  <c r="BC173" i="6"/>
  <c r="BD173" i="6" s="1"/>
  <c r="BE173" i="6" s="1"/>
  <c r="BF173" i="6" s="1"/>
  <c r="BG173" i="6" s="1"/>
  <c r="BH173" i="6" s="1"/>
  <c r="BI173" i="6" s="1"/>
  <c r="BJ173" i="6" s="1"/>
  <c r="BK173" i="6" s="1"/>
  <c r="BL173" i="6" s="1"/>
  <c r="BM173" i="6" s="1"/>
  <c r="BN173" i="6" s="1"/>
  <c r="BO173" i="6" s="1"/>
  <c r="BP173" i="6" s="1"/>
  <c r="BQ173" i="6" s="1"/>
  <c r="BR173" i="6" s="1"/>
  <c r="BS173" i="6" s="1"/>
  <c r="BT173" i="6" s="1"/>
  <c r="BU173" i="6" s="1"/>
  <c r="BV173" i="6" s="1"/>
  <c r="BW173" i="6" s="1"/>
  <c r="BX173" i="6" s="1"/>
  <c r="BY173" i="6" s="1"/>
  <c r="BZ173" i="6" s="1"/>
  <c r="CA173" i="6" s="1"/>
  <c r="CB173" i="6" s="1"/>
  <c r="CC173" i="6" s="1"/>
  <c r="CD173" i="6" s="1"/>
  <c r="CE173" i="6" s="1"/>
  <c r="CF173" i="6" s="1"/>
  <c r="CG173" i="6" s="1"/>
  <c r="CH173" i="6" s="1"/>
  <c r="CI173" i="6" s="1"/>
  <c r="CJ173" i="6" s="1"/>
  <c r="CK173" i="6" s="1"/>
  <c r="CL173" i="6" s="1"/>
  <c r="CM173" i="6" s="1"/>
  <c r="CN173" i="6" s="1"/>
  <c r="CO173" i="6" s="1"/>
  <c r="BC251" i="6"/>
  <c r="BD251" i="6" s="1"/>
  <c r="BE251" i="6" s="1"/>
  <c r="BF251" i="6" s="1"/>
  <c r="BG251" i="6" s="1"/>
  <c r="BH251" i="6" s="1"/>
  <c r="BI251" i="6" s="1"/>
  <c r="BJ251" i="6" s="1"/>
  <c r="BK251" i="6" s="1"/>
  <c r="BL251" i="6" s="1"/>
  <c r="BM251" i="6" s="1"/>
  <c r="BN251" i="6" s="1"/>
  <c r="BO251" i="6" s="1"/>
  <c r="BP251" i="6" s="1"/>
  <c r="BQ251" i="6" s="1"/>
  <c r="BR251" i="6" s="1"/>
  <c r="BS251" i="6" s="1"/>
  <c r="BT251" i="6" s="1"/>
  <c r="BU251" i="6" s="1"/>
  <c r="BV251" i="6" s="1"/>
  <c r="BW251" i="6" s="1"/>
  <c r="BX251" i="6" s="1"/>
  <c r="BY251" i="6" s="1"/>
  <c r="BZ251" i="6" s="1"/>
  <c r="CA251" i="6" s="1"/>
  <c r="CB251" i="6" s="1"/>
  <c r="CC251" i="6" s="1"/>
  <c r="CD251" i="6" s="1"/>
  <c r="CE251" i="6" s="1"/>
  <c r="CF251" i="6" s="1"/>
  <c r="CG251" i="6" s="1"/>
  <c r="CH251" i="6" s="1"/>
  <c r="CI251" i="6" s="1"/>
  <c r="CJ251" i="6" s="1"/>
  <c r="CK251" i="6" s="1"/>
  <c r="CL251" i="6" s="1"/>
  <c r="CM251" i="6" s="1"/>
  <c r="CN251" i="6" s="1"/>
  <c r="CO251" i="6" s="1"/>
  <c r="BC84" i="6"/>
  <c r="BD84" i="6" s="1"/>
  <c r="BE84" i="6" s="1"/>
  <c r="BF84" i="6" s="1"/>
  <c r="BG84" i="6" s="1"/>
  <c r="BH84" i="6" s="1"/>
  <c r="BI84" i="6" s="1"/>
  <c r="BJ84" i="6" s="1"/>
  <c r="BK84" i="6" s="1"/>
  <c r="BL84" i="6" s="1"/>
  <c r="BM84" i="6" s="1"/>
  <c r="BN84" i="6" s="1"/>
  <c r="BO84" i="6" s="1"/>
  <c r="BP84" i="6" s="1"/>
  <c r="BQ84" i="6" s="1"/>
  <c r="BR84" i="6" s="1"/>
  <c r="BS84" i="6" s="1"/>
  <c r="BT84" i="6" s="1"/>
  <c r="BU84" i="6" s="1"/>
  <c r="BV84" i="6" s="1"/>
  <c r="BW84" i="6" s="1"/>
  <c r="BX84" i="6" s="1"/>
  <c r="BY84" i="6" s="1"/>
  <c r="BZ84" i="6" s="1"/>
  <c r="CA84" i="6" s="1"/>
  <c r="CB84" i="6" s="1"/>
  <c r="CC84" i="6" s="1"/>
  <c r="CD84" i="6" s="1"/>
  <c r="CE84" i="6" s="1"/>
  <c r="CF84" i="6" s="1"/>
  <c r="CG84" i="6" s="1"/>
  <c r="CH84" i="6" s="1"/>
  <c r="CI84" i="6" s="1"/>
  <c r="CJ84" i="6" s="1"/>
  <c r="CK84" i="6" s="1"/>
  <c r="CL84" i="6" s="1"/>
  <c r="CM84" i="6" s="1"/>
  <c r="CN84" i="6" s="1"/>
  <c r="CO84" i="6" s="1"/>
  <c r="BC181" i="6"/>
  <c r="BD181" i="6" s="1"/>
  <c r="BE181" i="6" s="1"/>
  <c r="BF181" i="6" s="1"/>
  <c r="BG181" i="6" s="1"/>
  <c r="BH181" i="6" s="1"/>
  <c r="BI181" i="6" s="1"/>
  <c r="BJ181" i="6" s="1"/>
  <c r="BK181" i="6" s="1"/>
  <c r="BL181" i="6" s="1"/>
  <c r="BM181" i="6" s="1"/>
  <c r="BN181" i="6" s="1"/>
  <c r="BO181" i="6" s="1"/>
  <c r="BP181" i="6" s="1"/>
  <c r="BQ181" i="6" s="1"/>
  <c r="BR181" i="6" s="1"/>
  <c r="BS181" i="6" s="1"/>
  <c r="BT181" i="6" s="1"/>
  <c r="BU181" i="6" s="1"/>
  <c r="BV181" i="6" s="1"/>
  <c r="BW181" i="6" s="1"/>
  <c r="BX181" i="6" s="1"/>
  <c r="BY181" i="6" s="1"/>
  <c r="BZ181" i="6" s="1"/>
  <c r="CA181" i="6" s="1"/>
  <c r="CB181" i="6" s="1"/>
  <c r="CC181" i="6" s="1"/>
  <c r="CD181" i="6" s="1"/>
  <c r="CE181" i="6" s="1"/>
  <c r="CF181" i="6" s="1"/>
  <c r="CG181" i="6" s="1"/>
  <c r="CH181" i="6" s="1"/>
  <c r="CI181" i="6" s="1"/>
  <c r="CJ181" i="6" s="1"/>
  <c r="CK181" i="6" s="1"/>
  <c r="CL181" i="6" s="1"/>
  <c r="CM181" i="6" s="1"/>
  <c r="CN181" i="6" s="1"/>
  <c r="CO181" i="6" s="1"/>
  <c r="BC252" i="6"/>
  <c r="BD252" i="6" s="1"/>
  <c r="BE252" i="6" s="1"/>
  <c r="BF252" i="6" s="1"/>
  <c r="BG252" i="6" s="1"/>
  <c r="BH252" i="6" s="1"/>
  <c r="BI252" i="6" s="1"/>
  <c r="BJ252" i="6" s="1"/>
  <c r="BK252" i="6" s="1"/>
  <c r="BL252" i="6" s="1"/>
  <c r="BM252" i="6" s="1"/>
  <c r="BN252" i="6" s="1"/>
  <c r="BO252" i="6" s="1"/>
  <c r="BP252" i="6" s="1"/>
  <c r="BQ252" i="6" s="1"/>
  <c r="BR252" i="6" s="1"/>
  <c r="BS252" i="6" s="1"/>
  <c r="BT252" i="6" s="1"/>
  <c r="BU252" i="6" s="1"/>
  <c r="BV252" i="6" s="1"/>
  <c r="BW252" i="6" s="1"/>
  <c r="BX252" i="6" s="1"/>
  <c r="BY252" i="6" s="1"/>
  <c r="BZ252" i="6" s="1"/>
  <c r="CA252" i="6" s="1"/>
  <c r="CB252" i="6" s="1"/>
  <c r="CC252" i="6" s="1"/>
  <c r="CD252" i="6" s="1"/>
  <c r="CE252" i="6" s="1"/>
  <c r="CF252" i="6" s="1"/>
  <c r="CG252" i="6" s="1"/>
  <c r="CH252" i="6" s="1"/>
  <c r="CI252" i="6" s="1"/>
  <c r="CJ252" i="6" s="1"/>
  <c r="CK252" i="6" s="1"/>
  <c r="CL252" i="6" s="1"/>
  <c r="CM252" i="6" s="1"/>
  <c r="CN252" i="6" s="1"/>
  <c r="CO252" i="6" s="1"/>
  <c r="BC328" i="6"/>
  <c r="BD328" i="6" s="1"/>
  <c r="BE328" i="6" s="1"/>
  <c r="BF328" i="6" s="1"/>
  <c r="BG328" i="6" s="1"/>
  <c r="BH328" i="6" s="1"/>
  <c r="BI328" i="6" s="1"/>
  <c r="BJ328" i="6" s="1"/>
  <c r="BK328" i="6" s="1"/>
  <c r="BL328" i="6" s="1"/>
  <c r="BM328" i="6" s="1"/>
  <c r="BN328" i="6" s="1"/>
  <c r="BO328" i="6" s="1"/>
  <c r="BP328" i="6" s="1"/>
  <c r="BQ328" i="6" s="1"/>
  <c r="BR328" i="6" s="1"/>
  <c r="BS328" i="6" s="1"/>
  <c r="BT328" i="6" s="1"/>
  <c r="BU328" i="6" s="1"/>
  <c r="BV328" i="6" s="1"/>
  <c r="BW328" i="6" s="1"/>
  <c r="BX328" i="6" s="1"/>
  <c r="BY328" i="6" s="1"/>
  <c r="BZ328" i="6" s="1"/>
  <c r="CA328" i="6" s="1"/>
  <c r="CB328" i="6" s="1"/>
  <c r="CC328" i="6" s="1"/>
  <c r="CD328" i="6" s="1"/>
  <c r="CE328" i="6" s="1"/>
  <c r="CF328" i="6" s="1"/>
  <c r="CG328" i="6" s="1"/>
  <c r="CH328" i="6" s="1"/>
  <c r="CI328" i="6" s="1"/>
  <c r="CJ328" i="6" s="1"/>
  <c r="CK328" i="6" s="1"/>
  <c r="CL328" i="6" s="1"/>
  <c r="CM328" i="6" s="1"/>
  <c r="CN328" i="6" s="1"/>
  <c r="CO328" i="6" s="1"/>
  <c r="BC312" i="6"/>
  <c r="BD312" i="6" s="1"/>
  <c r="BE312" i="6" s="1"/>
  <c r="BF312" i="6" s="1"/>
  <c r="BG312" i="6" s="1"/>
  <c r="BH312" i="6" s="1"/>
  <c r="BI312" i="6" s="1"/>
  <c r="BJ312" i="6" s="1"/>
  <c r="BK312" i="6" s="1"/>
  <c r="BL312" i="6" s="1"/>
  <c r="BM312" i="6" s="1"/>
  <c r="BN312" i="6" s="1"/>
  <c r="BO312" i="6" s="1"/>
  <c r="BP312" i="6" s="1"/>
  <c r="BQ312" i="6" s="1"/>
  <c r="BR312" i="6" s="1"/>
  <c r="BS312" i="6" s="1"/>
  <c r="BT312" i="6" s="1"/>
  <c r="BU312" i="6" s="1"/>
  <c r="BV312" i="6" s="1"/>
  <c r="BW312" i="6" s="1"/>
  <c r="BX312" i="6" s="1"/>
  <c r="BY312" i="6" s="1"/>
  <c r="BZ312" i="6" s="1"/>
  <c r="CA312" i="6" s="1"/>
  <c r="CB312" i="6" s="1"/>
  <c r="CC312" i="6" s="1"/>
  <c r="CD312" i="6" s="1"/>
  <c r="CE312" i="6" s="1"/>
  <c r="CF312" i="6" s="1"/>
  <c r="CG312" i="6" s="1"/>
  <c r="CH312" i="6" s="1"/>
  <c r="CI312" i="6" s="1"/>
  <c r="CJ312" i="6" s="1"/>
  <c r="CK312" i="6" s="1"/>
  <c r="CL312" i="6" s="1"/>
  <c r="CM312" i="6" s="1"/>
  <c r="CN312" i="6" s="1"/>
  <c r="CO312" i="6" s="1"/>
  <c r="BC392" i="6"/>
  <c r="BD392" i="6" s="1"/>
  <c r="BE392" i="6" s="1"/>
  <c r="BF392" i="6" s="1"/>
  <c r="BG392" i="6" s="1"/>
  <c r="BH392" i="6" s="1"/>
  <c r="BI392" i="6" s="1"/>
  <c r="BJ392" i="6" s="1"/>
  <c r="BK392" i="6" s="1"/>
  <c r="BL392" i="6" s="1"/>
  <c r="BM392" i="6" s="1"/>
  <c r="BN392" i="6" s="1"/>
  <c r="BO392" i="6" s="1"/>
  <c r="BP392" i="6" s="1"/>
  <c r="BQ392" i="6" s="1"/>
  <c r="BR392" i="6" s="1"/>
  <c r="BS392" i="6" s="1"/>
  <c r="BT392" i="6" s="1"/>
  <c r="BU392" i="6" s="1"/>
  <c r="BV392" i="6" s="1"/>
  <c r="BW392" i="6" s="1"/>
  <c r="BX392" i="6" s="1"/>
  <c r="BY392" i="6" s="1"/>
  <c r="BZ392" i="6" s="1"/>
  <c r="CA392" i="6" s="1"/>
  <c r="CB392" i="6" s="1"/>
  <c r="CC392" i="6" s="1"/>
  <c r="CD392" i="6" s="1"/>
  <c r="CE392" i="6" s="1"/>
  <c r="CF392" i="6" s="1"/>
  <c r="CG392" i="6" s="1"/>
  <c r="CH392" i="6" s="1"/>
  <c r="CI392" i="6" s="1"/>
  <c r="CJ392" i="6" s="1"/>
  <c r="CK392" i="6" s="1"/>
  <c r="CL392" i="6" s="1"/>
  <c r="CM392" i="6" s="1"/>
  <c r="CN392" i="6" s="1"/>
  <c r="CO392" i="6" s="1"/>
  <c r="BC380" i="6"/>
  <c r="BD380" i="6" s="1"/>
  <c r="BE380" i="6" s="1"/>
  <c r="BF380" i="6" s="1"/>
  <c r="BG380" i="6" s="1"/>
  <c r="BH380" i="6" s="1"/>
  <c r="BI380" i="6" s="1"/>
  <c r="BJ380" i="6" s="1"/>
  <c r="BK380" i="6" s="1"/>
  <c r="BL380" i="6" s="1"/>
  <c r="BM380" i="6" s="1"/>
  <c r="BN380" i="6" s="1"/>
  <c r="BO380" i="6" s="1"/>
  <c r="BP380" i="6" s="1"/>
  <c r="BQ380" i="6" s="1"/>
  <c r="BR380" i="6" s="1"/>
  <c r="BS380" i="6" s="1"/>
  <c r="BT380" i="6" s="1"/>
  <c r="BU380" i="6" s="1"/>
  <c r="BV380" i="6" s="1"/>
  <c r="BW380" i="6" s="1"/>
  <c r="BX380" i="6" s="1"/>
  <c r="BY380" i="6" s="1"/>
  <c r="BZ380" i="6" s="1"/>
  <c r="CA380" i="6" s="1"/>
  <c r="CB380" i="6" s="1"/>
  <c r="CC380" i="6" s="1"/>
  <c r="CD380" i="6" s="1"/>
  <c r="CE380" i="6" s="1"/>
  <c r="CF380" i="6" s="1"/>
  <c r="CG380" i="6" s="1"/>
  <c r="CH380" i="6" s="1"/>
  <c r="CI380" i="6" s="1"/>
  <c r="CJ380" i="6" s="1"/>
  <c r="CK380" i="6" s="1"/>
  <c r="CL380" i="6" s="1"/>
  <c r="CM380" i="6" s="1"/>
  <c r="CN380" i="6" s="1"/>
  <c r="CO380" i="6" s="1"/>
  <c r="BC368" i="6"/>
  <c r="BD368" i="6" s="1"/>
  <c r="BE368" i="6" s="1"/>
  <c r="BF368" i="6" s="1"/>
  <c r="BG368" i="6" s="1"/>
  <c r="BH368" i="6" s="1"/>
  <c r="BI368" i="6" s="1"/>
  <c r="BJ368" i="6" s="1"/>
  <c r="BK368" i="6" s="1"/>
  <c r="BL368" i="6" s="1"/>
  <c r="BM368" i="6" s="1"/>
  <c r="BN368" i="6" s="1"/>
  <c r="BO368" i="6" s="1"/>
  <c r="BP368" i="6" s="1"/>
  <c r="BQ368" i="6" s="1"/>
  <c r="BR368" i="6" s="1"/>
  <c r="BS368" i="6" s="1"/>
  <c r="BT368" i="6" s="1"/>
  <c r="BU368" i="6" s="1"/>
  <c r="BV368" i="6" s="1"/>
  <c r="BW368" i="6" s="1"/>
  <c r="BX368" i="6" s="1"/>
  <c r="BY368" i="6" s="1"/>
  <c r="BZ368" i="6" s="1"/>
  <c r="CA368" i="6" s="1"/>
  <c r="CB368" i="6" s="1"/>
  <c r="CC368" i="6" s="1"/>
  <c r="CD368" i="6" s="1"/>
  <c r="CE368" i="6" s="1"/>
  <c r="CF368" i="6" s="1"/>
  <c r="CG368" i="6" s="1"/>
  <c r="CH368" i="6" s="1"/>
  <c r="CI368" i="6" s="1"/>
  <c r="CJ368" i="6" s="1"/>
  <c r="CK368" i="6" s="1"/>
  <c r="CL368" i="6" s="1"/>
  <c r="CM368" i="6" s="1"/>
  <c r="CN368" i="6" s="1"/>
  <c r="CO368" i="6" s="1"/>
  <c r="BC324" i="6"/>
  <c r="BD324" i="6" s="1"/>
  <c r="BE324" i="6" s="1"/>
  <c r="BF324" i="6" s="1"/>
  <c r="BG324" i="6" s="1"/>
  <c r="BH324" i="6" s="1"/>
  <c r="BI324" i="6" s="1"/>
  <c r="BJ324" i="6" s="1"/>
  <c r="BK324" i="6" s="1"/>
  <c r="BL324" i="6" s="1"/>
  <c r="BM324" i="6" s="1"/>
  <c r="BN324" i="6" s="1"/>
  <c r="BO324" i="6" s="1"/>
  <c r="BP324" i="6" s="1"/>
  <c r="BQ324" i="6" s="1"/>
  <c r="BR324" i="6" s="1"/>
  <c r="BS324" i="6" s="1"/>
  <c r="BT324" i="6" s="1"/>
  <c r="BU324" i="6" s="1"/>
  <c r="BV324" i="6" s="1"/>
  <c r="BW324" i="6" s="1"/>
  <c r="BX324" i="6" s="1"/>
  <c r="BY324" i="6" s="1"/>
  <c r="BZ324" i="6" s="1"/>
  <c r="CA324" i="6" s="1"/>
  <c r="CB324" i="6" s="1"/>
  <c r="CC324" i="6" s="1"/>
  <c r="CD324" i="6" s="1"/>
  <c r="CE324" i="6" s="1"/>
  <c r="CF324" i="6" s="1"/>
  <c r="CG324" i="6" s="1"/>
  <c r="CH324" i="6" s="1"/>
  <c r="CI324" i="6" s="1"/>
  <c r="CJ324" i="6" s="1"/>
  <c r="CK324" i="6" s="1"/>
  <c r="CL324" i="6" s="1"/>
  <c r="CM324" i="6" s="1"/>
  <c r="CN324" i="6" s="1"/>
  <c r="CO324" i="6" s="1"/>
  <c r="BC71" i="6"/>
  <c r="BD71" i="6" s="1"/>
  <c r="BE71" i="6" s="1"/>
  <c r="BF71" i="6" s="1"/>
  <c r="BG71" i="6" s="1"/>
  <c r="BH71" i="6" s="1"/>
  <c r="BI71" i="6" s="1"/>
  <c r="BJ71" i="6" s="1"/>
  <c r="BK71" i="6" s="1"/>
  <c r="BL71" i="6" s="1"/>
  <c r="BM71" i="6" s="1"/>
  <c r="BN71" i="6" s="1"/>
  <c r="BO71" i="6" s="1"/>
  <c r="BP71" i="6" s="1"/>
  <c r="BQ71" i="6" s="1"/>
  <c r="BR71" i="6" s="1"/>
  <c r="BS71" i="6" s="1"/>
  <c r="BT71" i="6" s="1"/>
  <c r="BU71" i="6" s="1"/>
  <c r="BV71" i="6" s="1"/>
  <c r="BW71" i="6" s="1"/>
  <c r="BX71" i="6" s="1"/>
  <c r="BY71" i="6" s="1"/>
  <c r="BZ71" i="6" s="1"/>
  <c r="CA71" i="6" s="1"/>
  <c r="CB71" i="6" s="1"/>
  <c r="CC71" i="6" s="1"/>
  <c r="CD71" i="6" s="1"/>
  <c r="CE71" i="6" s="1"/>
  <c r="CF71" i="6" s="1"/>
  <c r="CG71" i="6" s="1"/>
  <c r="CH71" i="6" s="1"/>
  <c r="CI71" i="6" s="1"/>
  <c r="CJ71" i="6" s="1"/>
  <c r="CK71" i="6" s="1"/>
  <c r="CL71" i="6" s="1"/>
  <c r="CM71" i="6" s="1"/>
  <c r="CN71" i="6" s="1"/>
  <c r="CO71" i="6" s="1"/>
  <c r="BC175" i="6"/>
  <c r="BD175" i="6" s="1"/>
  <c r="BE175" i="6" s="1"/>
  <c r="BF175" i="6" s="1"/>
  <c r="BG175" i="6" s="1"/>
  <c r="BH175" i="6" s="1"/>
  <c r="BI175" i="6" s="1"/>
  <c r="BJ175" i="6" s="1"/>
  <c r="BK175" i="6" s="1"/>
  <c r="BL175" i="6" s="1"/>
  <c r="BM175" i="6" s="1"/>
  <c r="BN175" i="6" s="1"/>
  <c r="BO175" i="6" s="1"/>
  <c r="BP175" i="6" s="1"/>
  <c r="BQ175" i="6" s="1"/>
  <c r="BR175" i="6" s="1"/>
  <c r="BS175" i="6" s="1"/>
  <c r="BT175" i="6" s="1"/>
  <c r="BU175" i="6" s="1"/>
  <c r="BV175" i="6" s="1"/>
  <c r="BW175" i="6" s="1"/>
  <c r="BX175" i="6" s="1"/>
  <c r="BY175" i="6" s="1"/>
  <c r="BZ175" i="6" s="1"/>
  <c r="CA175" i="6" s="1"/>
  <c r="CB175" i="6" s="1"/>
  <c r="CC175" i="6" s="1"/>
  <c r="CD175" i="6" s="1"/>
  <c r="CE175" i="6" s="1"/>
  <c r="CF175" i="6" s="1"/>
  <c r="CG175" i="6" s="1"/>
  <c r="CH175" i="6" s="1"/>
  <c r="CI175" i="6" s="1"/>
  <c r="CJ175" i="6" s="1"/>
  <c r="CK175" i="6" s="1"/>
  <c r="CL175" i="6" s="1"/>
  <c r="CM175" i="6" s="1"/>
  <c r="CN175" i="6" s="1"/>
  <c r="CO175" i="6" s="1"/>
  <c r="BC170" i="6"/>
  <c r="BD170" i="6" s="1"/>
  <c r="BE170" i="6" s="1"/>
  <c r="BF170" i="6" s="1"/>
  <c r="BG170" i="6" s="1"/>
  <c r="BH170" i="6" s="1"/>
  <c r="BI170" i="6" s="1"/>
  <c r="BJ170" i="6" s="1"/>
  <c r="BK170" i="6" s="1"/>
  <c r="BL170" i="6" s="1"/>
  <c r="BM170" i="6" s="1"/>
  <c r="BN170" i="6" s="1"/>
  <c r="BO170" i="6" s="1"/>
  <c r="BP170" i="6" s="1"/>
  <c r="BQ170" i="6" s="1"/>
  <c r="BR170" i="6" s="1"/>
  <c r="BS170" i="6" s="1"/>
  <c r="BT170" i="6" s="1"/>
  <c r="BU170" i="6" s="1"/>
  <c r="BV170" i="6" s="1"/>
  <c r="BW170" i="6" s="1"/>
  <c r="BX170" i="6" s="1"/>
  <c r="BY170" i="6" s="1"/>
  <c r="BZ170" i="6" s="1"/>
  <c r="CA170" i="6" s="1"/>
  <c r="CB170" i="6" s="1"/>
  <c r="CC170" i="6" s="1"/>
  <c r="CD170" i="6" s="1"/>
  <c r="CE170" i="6" s="1"/>
  <c r="CF170" i="6" s="1"/>
  <c r="CG170" i="6" s="1"/>
  <c r="CH170" i="6" s="1"/>
  <c r="CI170" i="6" s="1"/>
  <c r="CJ170" i="6" s="1"/>
  <c r="CK170" i="6" s="1"/>
  <c r="CL170" i="6" s="1"/>
  <c r="CM170" i="6" s="1"/>
  <c r="CN170" i="6" s="1"/>
  <c r="CO170" i="6" s="1"/>
  <c r="BC90" i="6"/>
  <c r="BD90" i="6" s="1"/>
  <c r="BE90" i="6" s="1"/>
  <c r="BF90" i="6" s="1"/>
  <c r="BG90" i="6" s="1"/>
  <c r="BH90" i="6" s="1"/>
  <c r="BI90" i="6" s="1"/>
  <c r="BJ90" i="6" s="1"/>
  <c r="BK90" i="6" s="1"/>
  <c r="BL90" i="6" s="1"/>
  <c r="BM90" i="6" s="1"/>
  <c r="BN90" i="6" s="1"/>
  <c r="BO90" i="6" s="1"/>
  <c r="BP90" i="6" s="1"/>
  <c r="BQ90" i="6" s="1"/>
  <c r="BR90" i="6" s="1"/>
  <c r="BS90" i="6" s="1"/>
  <c r="BT90" i="6" s="1"/>
  <c r="BU90" i="6" s="1"/>
  <c r="BV90" i="6" s="1"/>
  <c r="BW90" i="6" s="1"/>
  <c r="BX90" i="6" s="1"/>
  <c r="BY90" i="6" s="1"/>
  <c r="BZ90" i="6" s="1"/>
  <c r="CA90" i="6" s="1"/>
  <c r="CB90" i="6" s="1"/>
  <c r="CC90" i="6" s="1"/>
  <c r="CD90" i="6" s="1"/>
  <c r="CE90" i="6" s="1"/>
  <c r="CF90" i="6" s="1"/>
  <c r="CG90" i="6" s="1"/>
  <c r="CH90" i="6" s="1"/>
  <c r="CI90" i="6" s="1"/>
  <c r="CJ90" i="6" s="1"/>
  <c r="CK90" i="6" s="1"/>
  <c r="CL90" i="6" s="1"/>
  <c r="CM90" i="6" s="1"/>
  <c r="CN90" i="6" s="1"/>
  <c r="CO90" i="6" s="1"/>
  <c r="BC254" i="6"/>
  <c r="BD254" i="6" s="1"/>
  <c r="BE254" i="6" s="1"/>
  <c r="BF254" i="6" s="1"/>
  <c r="BG254" i="6" s="1"/>
  <c r="BH254" i="6" s="1"/>
  <c r="BI254" i="6" s="1"/>
  <c r="BJ254" i="6" s="1"/>
  <c r="BK254" i="6" s="1"/>
  <c r="BL254" i="6" s="1"/>
  <c r="BM254" i="6" s="1"/>
  <c r="BN254" i="6" s="1"/>
  <c r="BO254" i="6" s="1"/>
  <c r="BP254" i="6" s="1"/>
  <c r="BQ254" i="6" s="1"/>
  <c r="BR254" i="6" s="1"/>
  <c r="BS254" i="6" s="1"/>
  <c r="BT254" i="6" s="1"/>
  <c r="BU254" i="6" s="1"/>
  <c r="BV254" i="6" s="1"/>
  <c r="BW254" i="6" s="1"/>
  <c r="BX254" i="6" s="1"/>
  <c r="BY254" i="6" s="1"/>
  <c r="BZ254" i="6" s="1"/>
  <c r="CA254" i="6" s="1"/>
  <c r="CB254" i="6" s="1"/>
  <c r="CC254" i="6" s="1"/>
  <c r="CD254" i="6" s="1"/>
  <c r="CE254" i="6" s="1"/>
  <c r="CF254" i="6" s="1"/>
  <c r="CG254" i="6" s="1"/>
  <c r="CH254" i="6" s="1"/>
  <c r="CI254" i="6" s="1"/>
  <c r="CJ254" i="6" s="1"/>
  <c r="CK254" i="6" s="1"/>
  <c r="CL254" i="6" s="1"/>
  <c r="CM254" i="6" s="1"/>
  <c r="CN254" i="6" s="1"/>
  <c r="CO254" i="6" s="1"/>
  <c r="BC80" i="6"/>
  <c r="BD80" i="6" s="1"/>
  <c r="BE80" i="6" s="1"/>
  <c r="BF80" i="6" s="1"/>
  <c r="BG80" i="6" s="1"/>
  <c r="BH80" i="6" s="1"/>
  <c r="BI80" i="6" s="1"/>
  <c r="BJ80" i="6" s="1"/>
  <c r="BK80" i="6" s="1"/>
  <c r="BL80" i="6" s="1"/>
  <c r="BM80" i="6" s="1"/>
  <c r="BN80" i="6" s="1"/>
  <c r="BO80" i="6" s="1"/>
  <c r="BP80" i="6" s="1"/>
  <c r="BQ80" i="6" s="1"/>
  <c r="BR80" i="6" s="1"/>
  <c r="BS80" i="6" s="1"/>
  <c r="BT80" i="6" s="1"/>
  <c r="BU80" i="6" s="1"/>
  <c r="BV80" i="6" s="1"/>
  <c r="BW80" i="6" s="1"/>
  <c r="BX80" i="6" s="1"/>
  <c r="BY80" i="6" s="1"/>
  <c r="BZ80" i="6" s="1"/>
  <c r="CA80" i="6" s="1"/>
  <c r="CB80" i="6" s="1"/>
  <c r="CC80" i="6" s="1"/>
  <c r="CD80" i="6" s="1"/>
  <c r="CE80" i="6" s="1"/>
  <c r="CF80" i="6" s="1"/>
  <c r="CG80" i="6" s="1"/>
  <c r="CH80" i="6" s="1"/>
  <c r="CI80" i="6" s="1"/>
  <c r="CJ80" i="6" s="1"/>
  <c r="CK80" i="6" s="1"/>
  <c r="CL80" i="6" s="1"/>
  <c r="CM80" i="6" s="1"/>
  <c r="CN80" i="6" s="1"/>
  <c r="CO80" i="6" s="1"/>
  <c r="BC74" i="6"/>
  <c r="BD74" i="6" s="1"/>
  <c r="BE74" i="6" s="1"/>
  <c r="BF74" i="6" s="1"/>
  <c r="BG74" i="6" s="1"/>
  <c r="BH74" i="6" s="1"/>
  <c r="BI74" i="6" s="1"/>
  <c r="BJ74" i="6" s="1"/>
  <c r="BK74" i="6" s="1"/>
  <c r="BL74" i="6" s="1"/>
  <c r="BM74" i="6" s="1"/>
  <c r="BN74" i="6" s="1"/>
  <c r="BO74" i="6" s="1"/>
  <c r="BP74" i="6" s="1"/>
  <c r="BQ74" i="6" s="1"/>
  <c r="BR74" i="6" s="1"/>
  <c r="BS74" i="6" s="1"/>
  <c r="BT74" i="6" s="1"/>
  <c r="BU74" i="6" s="1"/>
  <c r="BV74" i="6" s="1"/>
  <c r="BW74" i="6" s="1"/>
  <c r="BX74" i="6" s="1"/>
  <c r="BY74" i="6" s="1"/>
  <c r="BZ74" i="6" s="1"/>
  <c r="CA74" i="6" s="1"/>
  <c r="CB74" i="6" s="1"/>
  <c r="CC74" i="6" s="1"/>
  <c r="CD74" i="6" s="1"/>
  <c r="CE74" i="6" s="1"/>
  <c r="CF74" i="6" s="1"/>
  <c r="CG74" i="6" s="1"/>
  <c r="CH74" i="6" s="1"/>
  <c r="CI74" i="6" s="1"/>
  <c r="CJ74" i="6" s="1"/>
  <c r="CK74" i="6" s="1"/>
  <c r="CL74" i="6" s="1"/>
  <c r="CM74" i="6" s="1"/>
  <c r="CN74" i="6" s="1"/>
  <c r="CO74" i="6" s="1"/>
  <c r="BC179" i="6"/>
  <c r="BD179" i="6" s="1"/>
  <c r="BE179" i="6" s="1"/>
  <c r="BF179" i="6" s="1"/>
  <c r="BG179" i="6" s="1"/>
  <c r="BH179" i="6" s="1"/>
  <c r="BI179" i="6" s="1"/>
  <c r="BJ179" i="6" s="1"/>
  <c r="BK179" i="6" s="1"/>
  <c r="BL179" i="6" s="1"/>
  <c r="BM179" i="6" s="1"/>
  <c r="BN179" i="6" s="1"/>
  <c r="BO179" i="6" s="1"/>
  <c r="BP179" i="6" s="1"/>
  <c r="BQ179" i="6" s="1"/>
  <c r="BR179" i="6" s="1"/>
  <c r="BS179" i="6" s="1"/>
  <c r="BT179" i="6" s="1"/>
  <c r="BU179" i="6" s="1"/>
  <c r="BV179" i="6" s="1"/>
  <c r="BW179" i="6" s="1"/>
  <c r="BX179" i="6" s="1"/>
  <c r="BY179" i="6" s="1"/>
  <c r="BZ179" i="6" s="1"/>
  <c r="CA179" i="6" s="1"/>
  <c r="CB179" i="6" s="1"/>
  <c r="CC179" i="6" s="1"/>
  <c r="CD179" i="6" s="1"/>
  <c r="CE179" i="6" s="1"/>
  <c r="CF179" i="6" s="1"/>
  <c r="CG179" i="6" s="1"/>
  <c r="CH179" i="6" s="1"/>
  <c r="CI179" i="6" s="1"/>
  <c r="CJ179" i="6" s="1"/>
  <c r="CK179" i="6" s="1"/>
  <c r="CL179" i="6" s="1"/>
  <c r="CM179" i="6" s="1"/>
  <c r="CN179" i="6" s="1"/>
  <c r="CO179" i="6" s="1"/>
  <c r="BC76" i="6"/>
  <c r="BD76" i="6" s="1"/>
  <c r="BE76" i="6" s="1"/>
  <c r="BF76" i="6" s="1"/>
  <c r="BG76" i="6" s="1"/>
  <c r="BH76" i="6" s="1"/>
  <c r="BI76" i="6" s="1"/>
  <c r="BJ76" i="6" s="1"/>
  <c r="BK76" i="6" s="1"/>
  <c r="BL76" i="6" s="1"/>
  <c r="BM76" i="6" s="1"/>
  <c r="BN76" i="6" s="1"/>
  <c r="BO76" i="6" s="1"/>
  <c r="BP76" i="6" s="1"/>
  <c r="BQ76" i="6" s="1"/>
  <c r="BR76" i="6" s="1"/>
  <c r="BS76" i="6" s="1"/>
  <c r="BT76" i="6" s="1"/>
  <c r="BU76" i="6" s="1"/>
  <c r="BV76" i="6" s="1"/>
  <c r="BW76" i="6" s="1"/>
  <c r="BX76" i="6" s="1"/>
  <c r="BY76" i="6" s="1"/>
  <c r="BZ76" i="6" s="1"/>
  <c r="CA76" i="6" s="1"/>
  <c r="CB76" i="6" s="1"/>
  <c r="CC76" i="6" s="1"/>
  <c r="CD76" i="6" s="1"/>
  <c r="CE76" i="6" s="1"/>
  <c r="CF76" i="6" s="1"/>
  <c r="CG76" i="6" s="1"/>
  <c r="CH76" i="6" s="1"/>
  <c r="CI76" i="6" s="1"/>
  <c r="CJ76" i="6" s="1"/>
  <c r="CK76" i="6" s="1"/>
  <c r="CL76" i="6" s="1"/>
  <c r="CM76" i="6" s="1"/>
  <c r="CN76" i="6" s="1"/>
  <c r="CO76" i="6" s="1"/>
  <c r="BC72" i="6"/>
  <c r="BD72" i="6" s="1"/>
  <c r="BE72" i="6" s="1"/>
  <c r="BF72" i="6" s="1"/>
  <c r="BG72" i="6" s="1"/>
  <c r="BH72" i="6" s="1"/>
  <c r="BI72" i="6" s="1"/>
  <c r="BJ72" i="6" s="1"/>
  <c r="BK72" i="6" s="1"/>
  <c r="BL72" i="6" s="1"/>
  <c r="BM72" i="6" s="1"/>
  <c r="BN72" i="6" s="1"/>
  <c r="BO72" i="6" s="1"/>
  <c r="BP72" i="6" s="1"/>
  <c r="BQ72" i="6" s="1"/>
  <c r="BR72" i="6" s="1"/>
  <c r="BS72" i="6" s="1"/>
  <c r="BT72" i="6" s="1"/>
  <c r="BU72" i="6" s="1"/>
  <c r="BV72" i="6" s="1"/>
  <c r="BW72" i="6" s="1"/>
  <c r="BX72" i="6" s="1"/>
  <c r="BY72" i="6" s="1"/>
  <c r="BZ72" i="6" s="1"/>
  <c r="CA72" i="6" s="1"/>
  <c r="CB72" i="6" s="1"/>
  <c r="CC72" i="6" s="1"/>
  <c r="CD72" i="6" s="1"/>
  <c r="CE72" i="6" s="1"/>
  <c r="CF72" i="6" s="1"/>
  <c r="CG72" i="6" s="1"/>
  <c r="CH72" i="6" s="1"/>
  <c r="CI72" i="6" s="1"/>
  <c r="CJ72" i="6" s="1"/>
  <c r="CK72" i="6" s="1"/>
  <c r="CL72" i="6" s="1"/>
  <c r="CM72" i="6" s="1"/>
  <c r="CN72" i="6" s="1"/>
  <c r="CO72" i="6" s="1"/>
  <c r="BC308" i="6"/>
  <c r="BD308" i="6" s="1"/>
  <c r="BE308" i="6" s="1"/>
  <c r="BF308" i="6" s="1"/>
  <c r="BG308" i="6" s="1"/>
  <c r="BH308" i="6" s="1"/>
  <c r="BI308" i="6" s="1"/>
  <c r="BJ308" i="6" s="1"/>
  <c r="BK308" i="6" s="1"/>
  <c r="BL308" i="6" s="1"/>
  <c r="BM308" i="6" s="1"/>
  <c r="BN308" i="6" s="1"/>
  <c r="BO308" i="6" s="1"/>
  <c r="BP308" i="6" s="1"/>
  <c r="BQ308" i="6" s="1"/>
  <c r="BR308" i="6" s="1"/>
  <c r="BS308" i="6" s="1"/>
  <c r="BT308" i="6" s="1"/>
  <c r="BU308" i="6" s="1"/>
  <c r="BV308" i="6" s="1"/>
  <c r="BW308" i="6" s="1"/>
  <c r="BX308" i="6" s="1"/>
  <c r="BY308" i="6" s="1"/>
  <c r="BZ308" i="6" s="1"/>
  <c r="CA308" i="6" s="1"/>
  <c r="CB308" i="6" s="1"/>
  <c r="CC308" i="6" s="1"/>
  <c r="CD308" i="6" s="1"/>
  <c r="CE308" i="6" s="1"/>
  <c r="CF308" i="6" s="1"/>
  <c r="CG308" i="6" s="1"/>
  <c r="CH308" i="6" s="1"/>
  <c r="CI308" i="6" s="1"/>
  <c r="CJ308" i="6" s="1"/>
  <c r="CK308" i="6" s="1"/>
  <c r="CL308" i="6" s="1"/>
  <c r="CM308" i="6" s="1"/>
  <c r="CN308" i="6" s="1"/>
  <c r="CO308" i="6" s="1"/>
  <c r="BC320" i="6"/>
  <c r="BD320" i="6" s="1"/>
  <c r="BE320" i="6" s="1"/>
  <c r="BF320" i="6" s="1"/>
  <c r="BG320" i="6" s="1"/>
  <c r="BH320" i="6" s="1"/>
  <c r="BI320" i="6" s="1"/>
  <c r="BJ320" i="6" s="1"/>
  <c r="BK320" i="6" s="1"/>
  <c r="BL320" i="6" s="1"/>
  <c r="BM320" i="6" s="1"/>
  <c r="BN320" i="6" s="1"/>
  <c r="BO320" i="6" s="1"/>
  <c r="BP320" i="6" s="1"/>
  <c r="BQ320" i="6" s="1"/>
  <c r="BR320" i="6" s="1"/>
  <c r="BS320" i="6" s="1"/>
  <c r="BT320" i="6" s="1"/>
  <c r="BU320" i="6" s="1"/>
  <c r="BV320" i="6" s="1"/>
  <c r="BW320" i="6" s="1"/>
  <c r="BX320" i="6" s="1"/>
  <c r="BY320" i="6" s="1"/>
  <c r="BZ320" i="6" s="1"/>
  <c r="CA320" i="6" s="1"/>
  <c r="CB320" i="6" s="1"/>
  <c r="CC320" i="6" s="1"/>
  <c r="CD320" i="6" s="1"/>
  <c r="CE320" i="6" s="1"/>
  <c r="CF320" i="6" s="1"/>
  <c r="CG320" i="6" s="1"/>
  <c r="CH320" i="6" s="1"/>
  <c r="CI320" i="6" s="1"/>
  <c r="CJ320" i="6" s="1"/>
  <c r="CK320" i="6" s="1"/>
  <c r="CL320" i="6" s="1"/>
  <c r="CM320" i="6" s="1"/>
  <c r="CN320" i="6" s="1"/>
  <c r="CO320" i="6" s="1"/>
  <c r="BC378" i="6"/>
  <c r="BD378" i="6" s="1"/>
  <c r="BE378" i="6" s="1"/>
  <c r="BF378" i="6" s="1"/>
  <c r="BG378" i="6" s="1"/>
  <c r="BH378" i="6" s="1"/>
  <c r="BI378" i="6" s="1"/>
  <c r="BJ378" i="6" s="1"/>
  <c r="BK378" i="6" s="1"/>
  <c r="BL378" i="6" s="1"/>
  <c r="BM378" i="6" s="1"/>
  <c r="BN378" i="6" s="1"/>
  <c r="BO378" i="6" s="1"/>
  <c r="BP378" i="6" s="1"/>
  <c r="BQ378" i="6" s="1"/>
  <c r="BR378" i="6" s="1"/>
  <c r="BS378" i="6" s="1"/>
  <c r="BT378" i="6" s="1"/>
  <c r="BU378" i="6" s="1"/>
  <c r="BV378" i="6" s="1"/>
  <c r="BW378" i="6" s="1"/>
  <c r="BX378" i="6" s="1"/>
  <c r="BY378" i="6" s="1"/>
  <c r="BZ378" i="6" s="1"/>
  <c r="CA378" i="6" s="1"/>
  <c r="CB378" i="6" s="1"/>
  <c r="CC378" i="6" s="1"/>
  <c r="CD378" i="6" s="1"/>
  <c r="CE378" i="6" s="1"/>
  <c r="CF378" i="6" s="1"/>
  <c r="CG378" i="6" s="1"/>
  <c r="CH378" i="6" s="1"/>
  <c r="CI378" i="6" s="1"/>
  <c r="CJ378" i="6" s="1"/>
  <c r="CK378" i="6" s="1"/>
  <c r="CL378" i="6" s="1"/>
  <c r="CM378" i="6" s="1"/>
  <c r="CN378" i="6" s="1"/>
  <c r="CO378" i="6" s="1"/>
  <c r="BC388" i="6"/>
  <c r="BD388" i="6" s="1"/>
  <c r="BE388" i="6" s="1"/>
  <c r="BF388" i="6" s="1"/>
  <c r="BG388" i="6" s="1"/>
  <c r="BH388" i="6" s="1"/>
  <c r="BI388" i="6" s="1"/>
  <c r="BJ388" i="6" s="1"/>
  <c r="BK388" i="6" s="1"/>
  <c r="BL388" i="6" s="1"/>
  <c r="BM388" i="6" s="1"/>
  <c r="BN388" i="6" s="1"/>
  <c r="BO388" i="6" s="1"/>
  <c r="BP388" i="6" s="1"/>
  <c r="BQ388" i="6" s="1"/>
  <c r="BR388" i="6" s="1"/>
  <c r="BS388" i="6" s="1"/>
  <c r="BT388" i="6" s="1"/>
  <c r="BU388" i="6" s="1"/>
  <c r="BV388" i="6" s="1"/>
  <c r="BW388" i="6" s="1"/>
  <c r="BX388" i="6" s="1"/>
  <c r="BY388" i="6" s="1"/>
  <c r="BZ388" i="6" s="1"/>
  <c r="CA388" i="6" s="1"/>
  <c r="CB388" i="6" s="1"/>
  <c r="CC388" i="6" s="1"/>
  <c r="CD388" i="6" s="1"/>
  <c r="CE388" i="6" s="1"/>
  <c r="CF388" i="6" s="1"/>
  <c r="CG388" i="6" s="1"/>
  <c r="CH388" i="6" s="1"/>
  <c r="CI388" i="6" s="1"/>
  <c r="CJ388" i="6" s="1"/>
  <c r="CK388" i="6" s="1"/>
  <c r="CL388" i="6" s="1"/>
  <c r="CM388" i="6" s="1"/>
  <c r="CN388" i="6" s="1"/>
  <c r="CO388" i="6" s="1"/>
  <c r="BC382" i="6"/>
  <c r="BD382" i="6" s="1"/>
  <c r="BE382" i="6" s="1"/>
  <c r="BF382" i="6" s="1"/>
  <c r="BG382" i="6" s="1"/>
  <c r="BH382" i="6" s="1"/>
  <c r="BI382" i="6" s="1"/>
  <c r="BJ382" i="6" s="1"/>
  <c r="BK382" i="6" s="1"/>
  <c r="BL382" i="6" s="1"/>
  <c r="BM382" i="6" s="1"/>
  <c r="BN382" i="6" s="1"/>
  <c r="BO382" i="6" s="1"/>
  <c r="BP382" i="6" s="1"/>
  <c r="BQ382" i="6" s="1"/>
  <c r="BR382" i="6" s="1"/>
  <c r="BS382" i="6" s="1"/>
  <c r="BT382" i="6" s="1"/>
  <c r="BU382" i="6" s="1"/>
  <c r="BV382" i="6" s="1"/>
  <c r="BW382" i="6" s="1"/>
  <c r="BX382" i="6" s="1"/>
  <c r="BY382" i="6" s="1"/>
  <c r="BZ382" i="6" s="1"/>
  <c r="CA382" i="6" s="1"/>
  <c r="CB382" i="6" s="1"/>
  <c r="CC382" i="6" s="1"/>
  <c r="CD382" i="6" s="1"/>
  <c r="CE382" i="6" s="1"/>
  <c r="CF382" i="6" s="1"/>
  <c r="CG382" i="6" s="1"/>
  <c r="CH382" i="6" s="1"/>
  <c r="CI382" i="6" s="1"/>
  <c r="CJ382" i="6" s="1"/>
  <c r="CK382" i="6" s="1"/>
  <c r="CL382" i="6" s="1"/>
  <c r="CM382" i="6" s="1"/>
  <c r="CN382" i="6" s="1"/>
  <c r="CO382" i="6" s="1"/>
  <c r="CP59" i="1"/>
  <c r="U310" i="6"/>
  <c r="V310" i="6" s="1"/>
  <c r="W310" i="6" s="1"/>
  <c r="X310" i="6" s="1"/>
  <c r="Y310" i="6" s="1"/>
  <c r="Z310" i="6" s="1"/>
  <c r="AA310" i="6" s="1"/>
  <c r="AB310" i="6" s="1"/>
  <c r="AC310" i="6" s="1"/>
  <c r="AD310" i="6" s="1"/>
  <c r="AE310" i="6" s="1"/>
  <c r="AF310" i="6" s="1"/>
  <c r="AG310" i="6" s="1"/>
  <c r="AH310" i="6" s="1"/>
  <c r="AI310" i="6" s="1"/>
  <c r="AJ310" i="6" s="1"/>
  <c r="AK310" i="6" s="1"/>
  <c r="AL310" i="6" s="1"/>
  <c r="AM310" i="6" s="1"/>
  <c r="AN310" i="6" s="1"/>
  <c r="AO310" i="6" s="1"/>
  <c r="AP310" i="6" s="1"/>
  <c r="AQ310" i="6" s="1"/>
  <c r="AR310" i="6" s="1"/>
  <c r="AS310" i="6" s="1"/>
  <c r="AT310" i="6" s="1"/>
  <c r="AU310" i="6" s="1"/>
  <c r="AV310" i="6" s="1"/>
  <c r="AW310" i="6" s="1"/>
  <c r="AX310" i="6" s="1"/>
  <c r="AY310" i="6" s="1"/>
  <c r="AZ310" i="6" s="1"/>
  <c r="BA310" i="6" s="1"/>
  <c r="BB310" i="6" s="1"/>
  <c r="AH86" i="6"/>
  <c r="AI86" i="6" s="1"/>
  <c r="AJ86" i="6" s="1"/>
  <c r="AK86" i="6" s="1"/>
  <c r="AL86" i="6" s="1"/>
  <c r="AM86" i="6" s="1"/>
  <c r="AN86" i="6" s="1"/>
  <c r="AO86" i="6" s="1"/>
  <c r="AP86" i="6" s="1"/>
  <c r="AQ86" i="6" s="1"/>
  <c r="AR86" i="6" s="1"/>
  <c r="AS86" i="6" s="1"/>
  <c r="AT86" i="6" s="1"/>
  <c r="AU86" i="6" s="1"/>
  <c r="AV86" i="6" s="1"/>
  <c r="AW86" i="6" s="1"/>
  <c r="AX86" i="6" s="1"/>
  <c r="AY86" i="6" s="1"/>
  <c r="AZ86" i="6" s="1"/>
  <c r="BA86" i="6" s="1"/>
  <c r="BB86" i="6" s="1"/>
  <c r="AD396" i="6"/>
  <c r="AE396" i="6" s="1"/>
  <c r="AF396" i="6" s="1"/>
  <c r="AG396" i="6" s="1"/>
  <c r="AH396" i="6" s="1"/>
  <c r="AI396" i="6" s="1"/>
  <c r="AJ396" i="6" s="1"/>
  <c r="AK396" i="6" s="1"/>
  <c r="AL396" i="6" s="1"/>
  <c r="AM396" i="6" s="1"/>
  <c r="AN396" i="6" s="1"/>
  <c r="AO396" i="6" s="1"/>
  <c r="AP396" i="6" s="1"/>
  <c r="AQ396" i="6" s="1"/>
  <c r="AR396" i="6" s="1"/>
  <c r="AS396" i="6" s="1"/>
  <c r="AT396" i="6" s="1"/>
  <c r="AU396" i="6" s="1"/>
  <c r="AV396" i="6" s="1"/>
  <c r="AW396" i="6" s="1"/>
  <c r="AX396" i="6" s="1"/>
  <c r="AY396" i="6" s="1"/>
  <c r="AZ396" i="6" s="1"/>
  <c r="BA396" i="6" s="1"/>
  <c r="BB396" i="6" s="1"/>
  <c r="M73" i="1"/>
  <c r="N72" i="1"/>
  <c r="V316" i="6"/>
  <c r="W316" i="6" s="1"/>
  <c r="V322" i="6"/>
  <c r="W322" i="6" s="1"/>
  <c r="X322" i="6" s="1"/>
  <c r="Y322" i="6" s="1"/>
  <c r="Z322" i="6" s="1"/>
  <c r="AA322" i="6" s="1"/>
  <c r="AB322" i="6" s="1"/>
  <c r="AC322" i="6" s="1"/>
  <c r="AD322" i="6" s="1"/>
  <c r="AE322" i="6" s="1"/>
  <c r="AF322" i="6" s="1"/>
  <c r="AG322" i="6" s="1"/>
  <c r="AH322" i="6" s="1"/>
  <c r="AI322" i="6" s="1"/>
  <c r="AJ322" i="6" s="1"/>
  <c r="AK322" i="6" s="1"/>
  <c r="AL322" i="6" s="1"/>
  <c r="AM322" i="6" s="1"/>
  <c r="AN322" i="6" s="1"/>
  <c r="AO322" i="6" s="1"/>
  <c r="AP322" i="6" s="1"/>
  <c r="AQ322" i="6" s="1"/>
  <c r="AR322" i="6" s="1"/>
  <c r="AS322" i="6" s="1"/>
  <c r="AT322" i="6" s="1"/>
  <c r="AU322" i="6" s="1"/>
  <c r="AV322" i="6" s="1"/>
  <c r="AW322" i="6" s="1"/>
  <c r="AX322" i="6" s="1"/>
  <c r="AY322" i="6" s="1"/>
  <c r="AZ322" i="6" s="1"/>
  <c r="BA322" i="6" s="1"/>
  <c r="BB322" i="6" s="1"/>
  <c r="X261" i="6"/>
  <c r="Y261" i="6" s="1"/>
  <c r="Z261" i="6" s="1"/>
  <c r="AA261" i="6" s="1"/>
  <c r="AB261" i="6" s="1"/>
  <c r="AC261" i="6" s="1"/>
  <c r="AD261" i="6" s="1"/>
  <c r="AE261" i="6" s="1"/>
  <c r="AF261" i="6" s="1"/>
  <c r="AG261" i="6" s="1"/>
  <c r="AH261" i="6" s="1"/>
  <c r="AI261" i="6" s="1"/>
  <c r="AJ261" i="6" s="1"/>
  <c r="AK261" i="6" s="1"/>
  <c r="AL261" i="6" s="1"/>
  <c r="AM261" i="6" s="1"/>
  <c r="AN261" i="6" s="1"/>
  <c r="AO261" i="6" s="1"/>
  <c r="AP261" i="6" s="1"/>
  <c r="AQ261" i="6" s="1"/>
  <c r="AR261" i="6" s="1"/>
  <c r="AS261" i="6" s="1"/>
  <c r="AT261" i="6" s="1"/>
  <c r="AU261" i="6" s="1"/>
  <c r="AV261" i="6" s="1"/>
  <c r="AW261" i="6" s="1"/>
  <c r="AX261" i="6" s="1"/>
  <c r="AY261" i="6" s="1"/>
  <c r="AZ261" i="6" s="1"/>
  <c r="BA261" i="6" s="1"/>
  <c r="BB261" i="6" s="1"/>
  <c r="X334" i="6"/>
  <c r="Y334" i="6" s="1"/>
  <c r="Z334" i="6" s="1"/>
  <c r="AA334" i="6" s="1"/>
  <c r="AB334" i="6" s="1"/>
  <c r="AC334" i="6" s="1"/>
  <c r="AD334" i="6" s="1"/>
  <c r="AE334" i="6" s="1"/>
  <c r="AF334" i="6" s="1"/>
  <c r="AG334" i="6" s="1"/>
  <c r="AH334" i="6" s="1"/>
  <c r="AI334" i="6" s="1"/>
  <c r="AJ334" i="6" s="1"/>
  <c r="AK334" i="6" s="1"/>
  <c r="AL334" i="6" s="1"/>
  <c r="AM334" i="6" s="1"/>
  <c r="AN334" i="6" s="1"/>
  <c r="AO334" i="6" s="1"/>
  <c r="AP334" i="6" s="1"/>
  <c r="AQ334" i="6" s="1"/>
  <c r="AR334" i="6" s="1"/>
  <c r="AS334" i="6" s="1"/>
  <c r="AT334" i="6" s="1"/>
  <c r="AU334" i="6" s="1"/>
  <c r="AV334" i="6" s="1"/>
  <c r="AW334" i="6" s="1"/>
  <c r="AX334" i="6" s="1"/>
  <c r="AY334" i="6" s="1"/>
  <c r="AZ334" i="6" s="1"/>
  <c r="BA334" i="6" s="1"/>
  <c r="BB334" i="6" s="1"/>
  <c r="AB259" i="6"/>
  <c r="AC259" i="6" s="1"/>
  <c r="AD259" i="6" s="1"/>
  <c r="AE259" i="6" s="1"/>
  <c r="AF259" i="6" s="1"/>
  <c r="AG259" i="6" s="1"/>
  <c r="AH259" i="6" s="1"/>
  <c r="AI259" i="6" s="1"/>
  <c r="AJ259" i="6" s="1"/>
  <c r="AK259" i="6" s="1"/>
  <c r="AL259" i="6" s="1"/>
  <c r="AM259" i="6" s="1"/>
  <c r="AN259" i="6" s="1"/>
  <c r="AO259" i="6" s="1"/>
  <c r="AP259" i="6" s="1"/>
  <c r="AQ259" i="6" s="1"/>
  <c r="AR259" i="6" s="1"/>
  <c r="AS259" i="6" s="1"/>
  <c r="AT259" i="6" s="1"/>
  <c r="AU259" i="6" s="1"/>
  <c r="AV259" i="6" s="1"/>
  <c r="AW259" i="6" s="1"/>
  <c r="AX259" i="6" s="1"/>
  <c r="AY259" i="6" s="1"/>
  <c r="AZ259" i="6" s="1"/>
  <c r="BA259" i="6" s="1"/>
  <c r="BB259" i="6" s="1"/>
  <c r="X307" i="6"/>
  <c r="Y307" i="6" s="1"/>
  <c r="Z340" i="6"/>
  <c r="AA340" i="6" s="1"/>
  <c r="AB342" i="6"/>
  <c r="AC342" i="6" s="1"/>
  <c r="AD342" i="6" s="1"/>
  <c r="AE342" i="6" s="1"/>
  <c r="AF342" i="6" s="1"/>
  <c r="AG342" i="6" s="1"/>
  <c r="AH342" i="6" s="1"/>
  <c r="AI342" i="6" s="1"/>
  <c r="AJ342" i="6" s="1"/>
  <c r="AK342" i="6" s="1"/>
  <c r="AL342" i="6" s="1"/>
  <c r="AM342" i="6" s="1"/>
  <c r="AN342" i="6" s="1"/>
  <c r="AO342" i="6" s="1"/>
  <c r="AP342" i="6" s="1"/>
  <c r="AQ342" i="6" s="1"/>
  <c r="AR342" i="6" s="1"/>
  <c r="AS342" i="6" s="1"/>
  <c r="AT342" i="6" s="1"/>
  <c r="AU342" i="6" s="1"/>
  <c r="AV342" i="6" s="1"/>
  <c r="AW342" i="6" s="1"/>
  <c r="AX342" i="6" s="1"/>
  <c r="AY342" i="6" s="1"/>
  <c r="AZ342" i="6" s="1"/>
  <c r="BA342" i="6" s="1"/>
  <c r="BB342" i="6" s="1"/>
  <c r="AB306" i="6"/>
  <c r="AC306" i="6" s="1"/>
  <c r="AD306" i="6" s="1"/>
  <c r="AE306" i="6" s="1"/>
  <c r="AF306" i="6" s="1"/>
  <c r="AG306" i="6" s="1"/>
  <c r="AH306" i="6" s="1"/>
  <c r="AI306" i="6" s="1"/>
  <c r="AJ306" i="6" s="1"/>
  <c r="AK306" i="6" s="1"/>
  <c r="AL306" i="6" s="1"/>
  <c r="AM306" i="6" s="1"/>
  <c r="AN306" i="6" s="1"/>
  <c r="AO306" i="6" s="1"/>
  <c r="AP306" i="6" s="1"/>
  <c r="AQ306" i="6" s="1"/>
  <c r="AR306" i="6" s="1"/>
  <c r="AS306" i="6" s="1"/>
  <c r="AT306" i="6" s="1"/>
  <c r="AU306" i="6" s="1"/>
  <c r="AV306" i="6" s="1"/>
  <c r="AW306" i="6" s="1"/>
  <c r="AX306" i="6" s="1"/>
  <c r="AY306" i="6" s="1"/>
  <c r="AZ306" i="6" s="1"/>
  <c r="BA306" i="6" s="1"/>
  <c r="BB306" i="6" s="1"/>
  <c r="X257" i="6"/>
  <c r="Y257" i="6" s="1"/>
  <c r="X352" i="6"/>
  <c r="Y352" i="6" s="1"/>
  <c r="Z352" i="6" s="1"/>
  <c r="AA352" i="6" s="1"/>
  <c r="AB352" i="6" s="1"/>
  <c r="AC352" i="6" s="1"/>
  <c r="AD352" i="6" s="1"/>
  <c r="AE352" i="6" s="1"/>
  <c r="AF352" i="6" s="1"/>
  <c r="AG352" i="6" s="1"/>
  <c r="AH352" i="6" s="1"/>
  <c r="AI352" i="6" s="1"/>
  <c r="AJ352" i="6" s="1"/>
  <c r="AK352" i="6" s="1"/>
  <c r="AL352" i="6" s="1"/>
  <c r="AM352" i="6" s="1"/>
  <c r="AN352" i="6" s="1"/>
  <c r="AO352" i="6" s="1"/>
  <c r="AP352" i="6" s="1"/>
  <c r="AQ352" i="6" s="1"/>
  <c r="AR352" i="6" s="1"/>
  <c r="AS352" i="6" s="1"/>
  <c r="AT352" i="6" s="1"/>
  <c r="AU352" i="6" s="1"/>
  <c r="AV352" i="6" s="1"/>
  <c r="AW352" i="6" s="1"/>
  <c r="AX352" i="6" s="1"/>
  <c r="AY352" i="6" s="1"/>
  <c r="AZ352" i="6" s="1"/>
  <c r="BA352" i="6" s="1"/>
  <c r="BB352" i="6" s="1"/>
  <c r="X336" i="6"/>
  <c r="Y336" i="6" s="1"/>
  <c r="Z336" i="6" s="1"/>
  <c r="AA336" i="6" s="1"/>
  <c r="AB336" i="6" s="1"/>
  <c r="AC336" i="6" s="1"/>
  <c r="AD336" i="6" s="1"/>
  <c r="AE336" i="6" s="1"/>
  <c r="AF336" i="6" s="1"/>
  <c r="AG336" i="6" s="1"/>
  <c r="AH336" i="6" s="1"/>
  <c r="AI336" i="6" s="1"/>
  <c r="AJ336" i="6" s="1"/>
  <c r="AK336" i="6" s="1"/>
  <c r="AL336" i="6" s="1"/>
  <c r="AM336" i="6" s="1"/>
  <c r="AN336" i="6" s="1"/>
  <c r="AO336" i="6" s="1"/>
  <c r="AP336" i="6" s="1"/>
  <c r="AQ336" i="6" s="1"/>
  <c r="AR336" i="6" s="1"/>
  <c r="AS336" i="6" s="1"/>
  <c r="AT336" i="6" s="1"/>
  <c r="AU336" i="6" s="1"/>
  <c r="AV336" i="6" s="1"/>
  <c r="AW336" i="6" s="1"/>
  <c r="AX336" i="6" s="1"/>
  <c r="AY336" i="6" s="1"/>
  <c r="AZ336" i="6" s="1"/>
  <c r="BA336" i="6" s="1"/>
  <c r="BB336" i="6" s="1"/>
  <c r="X314" i="6"/>
  <c r="Y314" i="6" s="1"/>
  <c r="Z314" i="6" s="1"/>
  <c r="AA314" i="6" s="1"/>
  <c r="AB314" i="6" s="1"/>
  <c r="AC314" i="6" s="1"/>
  <c r="AD314" i="6" s="1"/>
  <c r="AE314" i="6" s="1"/>
  <c r="AF314" i="6" s="1"/>
  <c r="AG314" i="6" s="1"/>
  <c r="AH314" i="6" s="1"/>
  <c r="AI314" i="6" s="1"/>
  <c r="AJ314" i="6" s="1"/>
  <c r="AK314" i="6" s="1"/>
  <c r="AL314" i="6" s="1"/>
  <c r="AM314" i="6" s="1"/>
  <c r="AN314" i="6" s="1"/>
  <c r="AO314" i="6" s="1"/>
  <c r="AP314" i="6" s="1"/>
  <c r="AQ314" i="6" s="1"/>
  <c r="AR314" i="6" s="1"/>
  <c r="AS314" i="6" s="1"/>
  <c r="AT314" i="6" s="1"/>
  <c r="AU314" i="6" s="1"/>
  <c r="AV314" i="6" s="1"/>
  <c r="AW314" i="6" s="1"/>
  <c r="AX314" i="6" s="1"/>
  <c r="AY314" i="6" s="1"/>
  <c r="AZ314" i="6" s="1"/>
  <c r="BA314" i="6" s="1"/>
  <c r="BB314" i="6" s="1"/>
  <c r="AB172" i="6"/>
  <c r="AC172" i="6" s="1"/>
  <c r="AD172" i="6" s="1"/>
  <c r="AE172" i="6" s="1"/>
  <c r="AF172" i="6" s="1"/>
  <c r="AG172" i="6" s="1"/>
  <c r="AH172" i="6" s="1"/>
  <c r="AI172" i="6" s="1"/>
  <c r="AJ172" i="6" s="1"/>
  <c r="AK172" i="6" s="1"/>
  <c r="AL172" i="6" s="1"/>
  <c r="AM172" i="6" s="1"/>
  <c r="AN172" i="6" s="1"/>
  <c r="AO172" i="6" s="1"/>
  <c r="AP172" i="6" s="1"/>
  <c r="AQ172" i="6" s="1"/>
  <c r="AR172" i="6" s="1"/>
  <c r="AS172" i="6" s="1"/>
  <c r="AT172" i="6" s="1"/>
  <c r="AU172" i="6" s="1"/>
  <c r="AV172" i="6" s="1"/>
  <c r="AW172" i="6" s="1"/>
  <c r="AX172" i="6" s="1"/>
  <c r="AY172" i="6" s="1"/>
  <c r="AZ172" i="6" s="1"/>
  <c r="BA172" i="6" s="1"/>
  <c r="BB172" i="6" s="1"/>
  <c r="X162" i="6"/>
  <c r="Y162" i="6" s="1"/>
  <c r="Z162" i="6" s="1"/>
  <c r="AA162" i="6" s="1"/>
  <c r="AB162" i="6" s="1"/>
  <c r="AC162" i="6" s="1"/>
  <c r="AD162" i="6" s="1"/>
  <c r="AE162" i="6" s="1"/>
  <c r="AF162" i="6" s="1"/>
  <c r="AG162" i="6" s="1"/>
  <c r="AH162" i="6" s="1"/>
  <c r="AI162" i="6" s="1"/>
  <c r="AJ162" i="6" s="1"/>
  <c r="AK162" i="6" s="1"/>
  <c r="AL162" i="6" s="1"/>
  <c r="AM162" i="6" s="1"/>
  <c r="AN162" i="6" s="1"/>
  <c r="AO162" i="6" s="1"/>
  <c r="AP162" i="6" s="1"/>
  <c r="AQ162" i="6" s="1"/>
  <c r="AR162" i="6" s="1"/>
  <c r="AS162" i="6" s="1"/>
  <c r="AT162" i="6" s="1"/>
  <c r="AU162" i="6" s="1"/>
  <c r="AV162" i="6" s="1"/>
  <c r="AW162" i="6" s="1"/>
  <c r="AX162" i="6" s="1"/>
  <c r="AY162" i="6" s="1"/>
  <c r="AZ162" i="6" s="1"/>
  <c r="BA162" i="6" s="1"/>
  <c r="BB162" i="6" s="1"/>
  <c r="CP88" i="6"/>
  <c r="V168" i="6"/>
  <c r="W168" i="6" s="1"/>
  <c r="X168" i="6" s="1"/>
  <c r="Y168" i="6" s="1"/>
  <c r="Z168" i="6" s="1"/>
  <c r="AA168" i="6" s="1"/>
  <c r="AB168" i="6" s="1"/>
  <c r="AC168" i="6" s="1"/>
  <c r="AD168" i="6" s="1"/>
  <c r="AE168" i="6" s="1"/>
  <c r="AF168" i="6" s="1"/>
  <c r="AG168" i="6" s="1"/>
  <c r="AH168" i="6" s="1"/>
  <c r="AI168" i="6" s="1"/>
  <c r="AJ168" i="6" s="1"/>
  <c r="AK168" i="6" s="1"/>
  <c r="AL168" i="6" s="1"/>
  <c r="AM168" i="6" s="1"/>
  <c r="AN168" i="6" s="1"/>
  <c r="AO168" i="6" s="1"/>
  <c r="AP168" i="6" s="1"/>
  <c r="AQ168" i="6" s="1"/>
  <c r="AR168" i="6" s="1"/>
  <c r="AS168" i="6" s="1"/>
  <c r="AT168" i="6" s="1"/>
  <c r="AU168" i="6" s="1"/>
  <c r="AV168" i="6" s="1"/>
  <c r="AW168" i="6" s="1"/>
  <c r="AX168" i="6" s="1"/>
  <c r="AY168" i="6" s="1"/>
  <c r="AZ168" i="6" s="1"/>
  <c r="BA168" i="6" s="1"/>
  <c r="BB168" i="6" s="1"/>
  <c r="X305" i="6"/>
  <c r="Y305" i="6" s="1"/>
  <c r="Z305" i="6" s="1"/>
  <c r="AA305" i="6" s="1"/>
  <c r="AB305" i="6" s="1"/>
  <c r="AC305" i="6" s="1"/>
  <c r="AD305" i="6" s="1"/>
  <c r="AE305" i="6" s="1"/>
  <c r="AF305" i="6" s="1"/>
  <c r="AG305" i="6" s="1"/>
  <c r="AH305" i="6" s="1"/>
  <c r="AI305" i="6" s="1"/>
  <c r="AJ305" i="6" s="1"/>
  <c r="AK305" i="6" s="1"/>
  <c r="AL305" i="6" s="1"/>
  <c r="AM305" i="6" s="1"/>
  <c r="AN305" i="6" s="1"/>
  <c r="AO305" i="6" s="1"/>
  <c r="AP305" i="6" s="1"/>
  <c r="AQ305" i="6" s="1"/>
  <c r="AR305" i="6" s="1"/>
  <c r="AS305" i="6" s="1"/>
  <c r="AT305" i="6" s="1"/>
  <c r="AU305" i="6" s="1"/>
  <c r="AV305" i="6" s="1"/>
  <c r="AW305" i="6" s="1"/>
  <c r="AX305" i="6" s="1"/>
  <c r="AY305" i="6" s="1"/>
  <c r="AZ305" i="6" s="1"/>
  <c r="BA305" i="6" s="1"/>
  <c r="BB305" i="6" s="1"/>
  <c r="CP394" i="6"/>
  <c r="CP84" i="6" l="1"/>
  <c r="CP179" i="6"/>
  <c r="CP388" i="6"/>
  <c r="CP76" i="6"/>
  <c r="HA76" i="6" s="1"/>
  <c r="CP164" i="6"/>
  <c r="HA164" i="6" s="1"/>
  <c r="CP252" i="6"/>
  <c r="HA252" i="6" s="1"/>
  <c r="CP312" i="6"/>
  <c r="HA312" i="6" s="1"/>
  <c r="CP166" i="6"/>
  <c r="HA166" i="6" s="1"/>
  <c r="CP72" i="6"/>
  <c r="HA72" i="6" s="1"/>
  <c r="CP170" i="6"/>
  <c r="HA170" i="6" s="1"/>
  <c r="CP254" i="6"/>
  <c r="HA254" i="6" s="1"/>
  <c r="CP328" i="6"/>
  <c r="CP378" i="6"/>
  <c r="CP320" i="6"/>
  <c r="HA320" i="6" s="1"/>
  <c r="CP308" i="6"/>
  <c r="CP74" i="6"/>
  <c r="HA74" i="6" s="1"/>
  <c r="CP80" i="6"/>
  <c r="HA80" i="6" s="1"/>
  <c r="CP90" i="6"/>
  <c r="CP175" i="6"/>
  <c r="CP71" i="6"/>
  <c r="CP324" i="6"/>
  <c r="CP392" i="6"/>
  <c r="CP181" i="6"/>
  <c r="CP251" i="6"/>
  <c r="CP173" i="6"/>
  <c r="CP78" i="6"/>
  <c r="HA78" i="6" s="1"/>
  <c r="CP256" i="6"/>
  <c r="BC314" i="6"/>
  <c r="BD314" i="6" s="1"/>
  <c r="BE314" i="6" s="1"/>
  <c r="BF314" i="6" s="1"/>
  <c r="BG314" i="6" s="1"/>
  <c r="BH314" i="6" s="1"/>
  <c r="BI314" i="6" s="1"/>
  <c r="BJ314" i="6" s="1"/>
  <c r="BK314" i="6" s="1"/>
  <c r="BL314" i="6" s="1"/>
  <c r="BM314" i="6" s="1"/>
  <c r="BN314" i="6" s="1"/>
  <c r="BO314" i="6" s="1"/>
  <c r="BP314" i="6" s="1"/>
  <c r="BQ314" i="6" s="1"/>
  <c r="BR314" i="6" s="1"/>
  <c r="BS314" i="6" s="1"/>
  <c r="BT314" i="6" s="1"/>
  <c r="BU314" i="6" s="1"/>
  <c r="BV314" i="6" s="1"/>
  <c r="BW314" i="6" s="1"/>
  <c r="BX314" i="6" s="1"/>
  <c r="BY314" i="6" s="1"/>
  <c r="BZ314" i="6" s="1"/>
  <c r="CA314" i="6" s="1"/>
  <c r="CB314" i="6" s="1"/>
  <c r="CC314" i="6" s="1"/>
  <c r="CD314" i="6" s="1"/>
  <c r="CE314" i="6" s="1"/>
  <c r="CF314" i="6" s="1"/>
  <c r="CG314" i="6" s="1"/>
  <c r="CH314" i="6" s="1"/>
  <c r="CI314" i="6" s="1"/>
  <c r="CJ314" i="6" s="1"/>
  <c r="CK314" i="6" s="1"/>
  <c r="CL314" i="6" s="1"/>
  <c r="CM314" i="6" s="1"/>
  <c r="CN314" i="6" s="1"/>
  <c r="CO314" i="6" s="1"/>
  <c r="BC305" i="6"/>
  <c r="BD305" i="6" s="1"/>
  <c r="BE305" i="6" s="1"/>
  <c r="BF305" i="6" s="1"/>
  <c r="BG305" i="6" s="1"/>
  <c r="BH305" i="6" s="1"/>
  <c r="BI305" i="6" s="1"/>
  <c r="BJ305" i="6" s="1"/>
  <c r="BK305" i="6" s="1"/>
  <c r="BL305" i="6" s="1"/>
  <c r="BM305" i="6" s="1"/>
  <c r="BN305" i="6" s="1"/>
  <c r="BO305" i="6" s="1"/>
  <c r="BP305" i="6" s="1"/>
  <c r="BQ305" i="6" s="1"/>
  <c r="BR305" i="6" s="1"/>
  <c r="BS305" i="6" s="1"/>
  <c r="BT305" i="6" s="1"/>
  <c r="BU305" i="6" s="1"/>
  <c r="BV305" i="6" s="1"/>
  <c r="BW305" i="6" s="1"/>
  <c r="BX305" i="6" s="1"/>
  <c r="BY305" i="6" s="1"/>
  <c r="BZ305" i="6" s="1"/>
  <c r="CA305" i="6" s="1"/>
  <c r="CB305" i="6" s="1"/>
  <c r="CC305" i="6" s="1"/>
  <c r="CD305" i="6" s="1"/>
  <c r="CE305" i="6" s="1"/>
  <c r="CF305" i="6" s="1"/>
  <c r="CG305" i="6" s="1"/>
  <c r="CH305" i="6" s="1"/>
  <c r="CI305" i="6" s="1"/>
  <c r="CJ305" i="6" s="1"/>
  <c r="CK305" i="6" s="1"/>
  <c r="CL305" i="6" s="1"/>
  <c r="CM305" i="6" s="1"/>
  <c r="CN305" i="6" s="1"/>
  <c r="CO305" i="6" s="1"/>
  <c r="BC168" i="6"/>
  <c r="BD168" i="6" s="1"/>
  <c r="BE168" i="6" s="1"/>
  <c r="BF168" i="6" s="1"/>
  <c r="BG168" i="6" s="1"/>
  <c r="BH168" i="6" s="1"/>
  <c r="BI168" i="6" s="1"/>
  <c r="BJ168" i="6" s="1"/>
  <c r="BK168" i="6" s="1"/>
  <c r="BL168" i="6" s="1"/>
  <c r="BM168" i="6" s="1"/>
  <c r="BN168" i="6" s="1"/>
  <c r="BO168" i="6" s="1"/>
  <c r="BP168" i="6" s="1"/>
  <c r="BQ168" i="6" s="1"/>
  <c r="BR168" i="6" s="1"/>
  <c r="BS168" i="6" s="1"/>
  <c r="BT168" i="6" s="1"/>
  <c r="BU168" i="6" s="1"/>
  <c r="BV168" i="6" s="1"/>
  <c r="BW168" i="6" s="1"/>
  <c r="BX168" i="6" s="1"/>
  <c r="BY168" i="6" s="1"/>
  <c r="BZ168" i="6" s="1"/>
  <c r="CA168" i="6" s="1"/>
  <c r="CB168" i="6" s="1"/>
  <c r="CC168" i="6" s="1"/>
  <c r="CD168" i="6" s="1"/>
  <c r="CE168" i="6" s="1"/>
  <c r="CF168" i="6" s="1"/>
  <c r="CG168" i="6" s="1"/>
  <c r="CH168" i="6" s="1"/>
  <c r="CI168" i="6" s="1"/>
  <c r="CJ168" i="6" s="1"/>
  <c r="CK168" i="6" s="1"/>
  <c r="CL168" i="6" s="1"/>
  <c r="CM168" i="6" s="1"/>
  <c r="CN168" i="6" s="1"/>
  <c r="CO168" i="6" s="1"/>
  <c r="BC172" i="6"/>
  <c r="BD172" i="6" s="1"/>
  <c r="BE172" i="6" s="1"/>
  <c r="BF172" i="6" s="1"/>
  <c r="BG172" i="6" s="1"/>
  <c r="BH172" i="6" s="1"/>
  <c r="BI172" i="6" s="1"/>
  <c r="BJ172" i="6" s="1"/>
  <c r="BK172" i="6" s="1"/>
  <c r="BL172" i="6" s="1"/>
  <c r="BM172" i="6" s="1"/>
  <c r="BN172" i="6" s="1"/>
  <c r="BO172" i="6" s="1"/>
  <c r="BP172" i="6" s="1"/>
  <c r="BQ172" i="6" s="1"/>
  <c r="BR172" i="6" s="1"/>
  <c r="BS172" i="6" s="1"/>
  <c r="BT172" i="6" s="1"/>
  <c r="BU172" i="6" s="1"/>
  <c r="BV172" i="6" s="1"/>
  <c r="BW172" i="6" s="1"/>
  <c r="BX172" i="6" s="1"/>
  <c r="BY172" i="6" s="1"/>
  <c r="BZ172" i="6" s="1"/>
  <c r="CA172" i="6" s="1"/>
  <c r="CB172" i="6" s="1"/>
  <c r="CC172" i="6" s="1"/>
  <c r="CD172" i="6" s="1"/>
  <c r="CE172" i="6" s="1"/>
  <c r="CF172" i="6" s="1"/>
  <c r="CG172" i="6" s="1"/>
  <c r="CH172" i="6" s="1"/>
  <c r="CI172" i="6" s="1"/>
  <c r="CJ172" i="6" s="1"/>
  <c r="CK172" i="6" s="1"/>
  <c r="CL172" i="6" s="1"/>
  <c r="CM172" i="6" s="1"/>
  <c r="CN172" i="6" s="1"/>
  <c r="CO172" i="6" s="1"/>
  <c r="BC352" i="6"/>
  <c r="BD352" i="6" s="1"/>
  <c r="BE352" i="6" s="1"/>
  <c r="BF352" i="6" s="1"/>
  <c r="BG352" i="6" s="1"/>
  <c r="BH352" i="6" s="1"/>
  <c r="BI352" i="6" s="1"/>
  <c r="BJ352" i="6" s="1"/>
  <c r="BK352" i="6" s="1"/>
  <c r="BL352" i="6" s="1"/>
  <c r="BM352" i="6" s="1"/>
  <c r="BN352" i="6" s="1"/>
  <c r="BO352" i="6" s="1"/>
  <c r="BP352" i="6" s="1"/>
  <c r="BQ352" i="6" s="1"/>
  <c r="BR352" i="6" s="1"/>
  <c r="BS352" i="6" s="1"/>
  <c r="BT352" i="6" s="1"/>
  <c r="BU352" i="6" s="1"/>
  <c r="BV352" i="6" s="1"/>
  <c r="BW352" i="6" s="1"/>
  <c r="BX352" i="6" s="1"/>
  <c r="BY352" i="6" s="1"/>
  <c r="BZ352" i="6" s="1"/>
  <c r="CA352" i="6" s="1"/>
  <c r="CB352" i="6" s="1"/>
  <c r="CC352" i="6" s="1"/>
  <c r="CD352" i="6" s="1"/>
  <c r="CE352" i="6" s="1"/>
  <c r="CF352" i="6" s="1"/>
  <c r="CG352" i="6" s="1"/>
  <c r="CH352" i="6" s="1"/>
  <c r="CI352" i="6" s="1"/>
  <c r="CJ352" i="6" s="1"/>
  <c r="CK352" i="6" s="1"/>
  <c r="CL352" i="6" s="1"/>
  <c r="CM352" i="6" s="1"/>
  <c r="CN352" i="6" s="1"/>
  <c r="CO352" i="6" s="1"/>
  <c r="BC306" i="6"/>
  <c r="BD306" i="6" s="1"/>
  <c r="BE306" i="6" s="1"/>
  <c r="BF306" i="6" s="1"/>
  <c r="BG306" i="6" s="1"/>
  <c r="BH306" i="6" s="1"/>
  <c r="BI306" i="6" s="1"/>
  <c r="BJ306" i="6" s="1"/>
  <c r="BK306" i="6" s="1"/>
  <c r="BL306" i="6" s="1"/>
  <c r="BM306" i="6" s="1"/>
  <c r="BN306" i="6" s="1"/>
  <c r="BO306" i="6" s="1"/>
  <c r="BP306" i="6" s="1"/>
  <c r="BQ306" i="6" s="1"/>
  <c r="BR306" i="6" s="1"/>
  <c r="BS306" i="6" s="1"/>
  <c r="BT306" i="6" s="1"/>
  <c r="BU306" i="6" s="1"/>
  <c r="BV306" i="6" s="1"/>
  <c r="BW306" i="6" s="1"/>
  <c r="BX306" i="6" s="1"/>
  <c r="BY306" i="6" s="1"/>
  <c r="BZ306" i="6" s="1"/>
  <c r="CA306" i="6" s="1"/>
  <c r="CB306" i="6" s="1"/>
  <c r="CC306" i="6" s="1"/>
  <c r="CD306" i="6" s="1"/>
  <c r="CE306" i="6" s="1"/>
  <c r="CF306" i="6" s="1"/>
  <c r="CG306" i="6" s="1"/>
  <c r="CH306" i="6" s="1"/>
  <c r="CI306" i="6" s="1"/>
  <c r="CJ306" i="6" s="1"/>
  <c r="CK306" i="6" s="1"/>
  <c r="CL306" i="6" s="1"/>
  <c r="CM306" i="6" s="1"/>
  <c r="CN306" i="6" s="1"/>
  <c r="CO306" i="6" s="1"/>
  <c r="BC259" i="6"/>
  <c r="BD259" i="6" s="1"/>
  <c r="BE259" i="6" s="1"/>
  <c r="BF259" i="6" s="1"/>
  <c r="BG259" i="6" s="1"/>
  <c r="BH259" i="6" s="1"/>
  <c r="BI259" i="6" s="1"/>
  <c r="BJ259" i="6" s="1"/>
  <c r="BK259" i="6" s="1"/>
  <c r="BL259" i="6" s="1"/>
  <c r="BM259" i="6" s="1"/>
  <c r="BN259" i="6" s="1"/>
  <c r="BO259" i="6" s="1"/>
  <c r="BP259" i="6" s="1"/>
  <c r="BQ259" i="6" s="1"/>
  <c r="BR259" i="6" s="1"/>
  <c r="BS259" i="6" s="1"/>
  <c r="BT259" i="6" s="1"/>
  <c r="BU259" i="6" s="1"/>
  <c r="BV259" i="6" s="1"/>
  <c r="BW259" i="6" s="1"/>
  <c r="BX259" i="6" s="1"/>
  <c r="BY259" i="6" s="1"/>
  <c r="BZ259" i="6" s="1"/>
  <c r="CA259" i="6" s="1"/>
  <c r="CB259" i="6" s="1"/>
  <c r="CC259" i="6" s="1"/>
  <c r="CD259" i="6" s="1"/>
  <c r="CE259" i="6" s="1"/>
  <c r="CF259" i="6" s="1"/>
  <c r="CG259" i="6" s="1"/>
  <c r="CH259" i="6" s="1"/>
  <c r="CI259" i="6" s="1"/>
  <c r="CJ259" i="6" s="1"/>
  <c r="CK259" i="6" s="1"/>
  <c r="CL259" i="6" s="1"/>
  <c r="CM259" i="6" s="1"/>
  <c r="CN259" i="6" s="1"/>
  <c r="CO259" i="6" s="1"/>
  <c r="BC261" i="6"/>
  <c r="BD261" i="6" s="1"/>
  <c r="BE261" i="6" s="1"/>
  <c r="BF261" i="6" s="1"/>
  <c r="BG261" i="6" s="1"/>
  <c r="BH261" i="6" s="1"/>
  <c r="BI261" i="6" s="1"/>
  <c r="BJ261" i="6" s="1"/>
  <c r="BK261" i="6" s="1"/>
  <c r="BL261" i="6" s="1"/>
  <c r="BM261" i="6" s="1"/>
  <c r="BN261" i="6" s="1"/>
  <c r="BO261" i="6" s="1"/>
  <c r="BP261" i="6" s="1"/>
  <c r="BQ261" i="6" s="1"/>
  <c r="BR261" i="6" s="1"/>
  <c r="BS261" i="6" s="1"/>
  <c r="BT261" i="6" s="1"/>
  <c r="BU261" i="6" s="1"/>
  <c r="BV261" i="6" s="1"/>
  <c r="BW261" i="6" s="1"/>
  <c r="BX261" i="6" s="1"/>
  <c r="BY261" i="6" s="1"/>
  <c r="BZ261" i="6" s="1"/>
  <c r="CA261" i="6" s="1"/>
  <c r="CB261" i="6" s="1"/>
  <c r="CC261" i="6" s="1"/>
  <c r="CD261" i="6" s="1"/>
  <c r="CE261" i="6" s="1"/>
  <c r="CF261" i="6" s="1"/>
  <c r="CG261" i="6" s="1"/>
  <c r="CH261" i="6" s="1"/>
  <c r="CI261" i="6" s="1"/>
  <c r="CJ261" i="6" s="1"/>
  <c r="CK261" i="6" s="1"/>
  <c r="CL261" i="6" s="1"/>
  <c r="CM261" i="6" s="1"/>
  <c r="CN261" i="6" s="1"/>
  <c r="CO261" i="6" s="1"/>
  <c r="BC86" i="6"/>
  <c r="BD86" i="6" s="1"/>
  <c r="BE86" i="6" s="1"/>
  <c r="BF86" i="6" s="1"/>
  <c r="BG86" i="6" s="1"/>
  <c r="BH86" i="6" s="1"/>
  <c r="BI86" i="6" s="1"/>
  <c r="BJ86" i="6" s="1"/>
  <c r="BK86" i="6" s="1"/>
  <c r="BL86" i="6" s="1"/>
  <c r="BM86" i="6" s="1"/>
  <c r="BN86" i="6" s="1"/>
  <c r="BO86" i="6" s="1"/>
  <c r="BP86" i="6" s="1"/>
  <c r="BQ86" i="6" s="1"/>
  <c r="BR86" i="6" s="1"/>
  <c r="BS86" i="6" s="1"/>
  <c r="BT86" i="6" s="1"/>
  <c r="BU86" i="6" s="1"/>
  <c r="BV86" i="6" s="1"/>
  <c r="BW86" i="6" s="1"/>
  <c r="BX86" i="6" s="1"/>
  <c r="BY86" i="6" s="1"/>
  <c r="BZ86" i="6" s="1"/>
  <c r="CA86" i="6" s="1"/>
  <c r="CB86" i="6" s="1"/>
  <c r="CC86" i="6" s="1"/>
  <c r="CD86" i="6" s="1"/>
  <c r="CE86" i="6" s="1"/>
  <c r="CF86" i="6" s="1"/>
  <c r="CG86" i="6" s="1"/>
  <c r="CH86" i="6" s="1"/>
  <c r="CI86" i="6" s="1"/>
  <c r="CJ86" i="6" s="1"/>
  <c r="CK86" i="6" s="1"/>
  <c r="CL86" i="6" s="1"/>
  <c r="CM86" i="6" s="1"/>
  <c r="CN86" i="6" s="1"/>
  <c r="CO86" i="6" s="1"/>
  <c r="BC310" i="6"/>
  <c r="BD310" i="6" s="1"/>
  <c r="BE310" i="6" s="1"/>
  <c r="BF310" i="6" s="1"/>
  <c r="BG310" i="6" s="1"/>
  <c r="BH310" i="6" s="1"/>
  <c r="BI310" i="6" s="1"/>
  <c r="BJ310" i="6" s="1"/>
  <c r="BK310" i="6" s="1"/>
  <c r="BL310" i="6" s="1"/>
  <c r="BM310" i="6" s="1"/>
  <c r="BN310" i="6" s="1"/>
  <c r="BO310" i="6" s="1"/>
  <c r="BP310" i="6" s="1"/>
  <c r="BQ310" i="6" s="1"/>
  <c r="BR310" i="6" s="1"/>
  <c r="BS310" i="6" s="1"/>
  <c r="BT310" i="6" s="1"/>
  <c r="BU310" i="6" s="1"/>
  <c r="BV310" i="6" s="1"/>
  <c r="BW310" i="6" s="1"/>
  <c r="BX310" i="6" s="1"/>
  <c r="BY310" i="6" s="1"/>
  <c r="BZ310" i="6" s="1"/>
  <c r="CA310" i="6" s="1"/>
  <c r="CB310" i="6" s="1"/>
  <c r="CC310" i="6" s="1"/>
  <c r="CD310" i="6" s="1"/>
  <c r="CE310" i="6" s="1"/>
  <c r="CF310" i="6" s="1"/>
  <c r="CG310" i="6" s="1"/>
  <c r="CH310" i="6" s="1"/>
  <c r="CI310" i="6" s="1"/>
  <c r="CJ310" i="6" s="1"/>
  <c r="CK310" i="6" s="1"/>
  <c r="CL310" i="6" s="1"/>
  <c r="CM310" i="6" s="1"/>
  <c r="CN310" i="6" s="1"/>
  <c r="CO310" i="6" s="1"/>
  <c r="BC162" i="6"/>
  <c r="BD162" i="6" s="1"/>
  <c r="BE162" i="6" s="1"/>
  <c r="BF162" i="6" s="1"/>
  <c r="BG162" i="6" s="1"/>
  <c r="BH162" i="6" s="1"/>
  <c r="BI162" i="6" s="1"/>
  <c r="BJ162" i="6" s="1"/>
  <c r="BK162" i="6" s="1"/>
  <c r="BL162" i="6" s="1"/>
  <c r="BM162" i="6" s="1"/>
  <c r="BN162" i="6" s="1"/>
  <c r="BO162" i="6" s="1"/>
  <c r="BP162" i="6" s="1"/>
  <c r="BQ162" i="6" s="1"/>
  <c r="BR162" i="6" s="1"/>
  <c r="BS162" i="6" s="1"/>
  <c r="BT162" i="6" s="1"/>
  <c r="BU162" i="6" s="1"/>
  <c r="BV162" i="6" s="1"/>
  <c r="BW162" i="6" s="1"/>
  <c r="BX162" i="6" s="1"/>
  <c r="BY162" i="6" s="1"/>
  <c r="BZ162" i="6" s="1"/>
  <c r="CA162" i="6" s="1"/>
  <c r="CB162" i="6" s="1"/>
  <c r="CC162" i="6" s="1"/>
  <c r="CD162" i="6" s="1"/>
  <c r="CE162" i="6" s="1"/>
  <c r="CF162" i="6" s="1"/>
  <c r="CG162" i="6" s="1"/>
  <c r="CH162" i="6" s="1"/>
  <c r="CI162" i="6" s="1"/>
  <c r="CJ162" i="6" s="1"/>
  <c r="CK162" i="6" s="1"/>
  <c r="CL162" i="6" s="1"/>
  <c r="CM162" i="6" s="1"/>
  <c r="CN162" i="6" s="1"/>
  <c r="CO162" i="6" s="1"/>
  <c r="BC336" i="6"/>
  <c r="BD336" i="6" s="1"/>
  <c r="BE336" i="6" s="1"/>
  <c r="BF336" i="6" s="1"/>
  <c r="BG336" i="6" s="1"/>
  <c r="BH336" i="6" s="1"/>
  <c r="BI336" i="6" s="1"/>
  <c r="BJ336" i="6" s="1"/>
  <c r="BK336" i="6" s="1"/>
  <c r="BL336" i="6" s="1"/>
  <c r="BM336" i="6" s="1"/>
  <c r="BN336" i="6" s="1"/>
  <c r="BO336" i="6" s="1"/>
  <c r="BP336" i="6" s="1"/>
  <c r="BQ336" i="6" s="1"/>
  <c r="BR336" i="6" s="1"/>
  <c r="BS336" i="6" s="1"/>
  <c r="BT336" i="6" s="1"/>
  <c r="BU336" i="6" s="1"/>
  <c r="BV336" i="6" s="1"/>
  <c r="BW336" i="6" s="1"/>
  <c r="BX336" i="6" s="1"/>
  <c r="BY336" i="6" s="1"/>
  <c r="BZ336" i="6" s="1"/>
  <c r="CA336" i="6" s="1"/>
  <c r="CB336" i="6" s="1"/>
  <c r="CC336" i="6" s="1"/>
  <c r="CD336" i="6" s="1"/>
  <c r="CE336" i="6" s="1"/>
  <c r="CF336" i="6" s="1"/>
  <c r="CG336" i="6" s="1"/>
  <c r="CH336" i="6" s="1"/>
  <c r="CI336" i="6" s="1"/>
  <c r="CJ336" i="6" s="1"/>
  <c r="CK336" i="6" s="1"/>
  <c r="CL336" i="6" s="1"/>
  <c r="CM336" i="6" s="1"/>
  <c r="CN336" i="6" s="1"/>
  <c r="CO336" i="6" s="1"/>
  <c r="BC342" i="6"/>
  <c r="BD342" i="6" s="1"/>
  <c r="BE342" i="6" s="1"/>
  <c r="BF342" i="6" s="1"/>
  <c r="BG342" i="6" s="1"/>
  <c r="BH342" i="6" s="1"/>
  <c r="BI342" i="6" s="1"/>
  <c r="BJ342" i="6" s="1"/>
  <c r="BK342" i="6" s="1"/>
  <c r="BL342" i="6" s="1"/>
  <c r="BM342" i="6" s="1"/>
  <c r="BN342" i="6" s="1"/>
  <c r="BO342" i="6" s="1"/>
  <c r="BP342" i="6" s="1"/>
  <c r="BQ342" i="6" s="1"/>
  <c r="BR342" i="6" s="1"/>
  <c r="BS342" i="6" s="1"/>
  <c r="BT342" i="6" s="1"/>
  <c r="BU342" i="6" s="1"/>
  <c r="BV342" i="6" s="1"/>
  <c r="BW342" i="6" s="1"/>
  <c r="BX342" i="6" s="1"/>
  <c r="BY342" i="6" s="1"/>
  <c r="BZ342" i="6" s="1"/>
  <c r="CA342" i="6" s="1"/>
  <c r="CB342" i="6" s="1"/>
  <c r="CC342" i="6" s="1"/>
  <c r="CD342" i="6" s="1"/>
  <c r="CE342" i="6" s="1"/>
  <c r="CF342" i="6" s="1"/>
  <c r="CG342" i="6" s="1"/>
  <c r="CH342" i="6" s="1"/>
  <c r="CI342" i="6" s="1"/>
  <c r="CJ342" i="6" s="1"/>
  <c r="CK342" i="6" s="1"/>
  <c r="CL342" i="6" s="1"/>
  <c r="CM342" i="6" s="1"/>
  <c r="CN342" i="6" s="1"/>
  <c r="CO342" i="6" s="1"/>
  <c r="BC334" i="6"/>
  <c r="BD334" i="6" s="1"/>
  <c r="BE334" i="6" s="1"/>
  <c r="BF334" i="6" s="1"/>
  <c r="BG334" i="6" s="1"/>
  <c r="BH334" i="6" s="1"/>
  <c r="BI334" i="6" s="1"/>
  <c r="BJ334" i="6" s="1"/>
  <c r="BK334" i="6" s="1"/>
  <c r="BL334" i="6" s="1"/>
  <c r="BM334" i="6" s="1"/>
  <c r="BN334" i="6" s="1"/>
  <c r="BO334" i="6" s="1"/>
  <c r="BP334" i="6" s="1"/>
  <c r="BQ334" i="6" s="1"/>
  <c r="BR334" i="6" s="1"/>
  <c r="BS334" i="6" s="1"/>
  <c r="BT334" i="6" s="1"/>
  <c r="BU334" i="6" s="1"/>
  <c r="BV334" i="6" s="1"/>
  <c r="BW334" i="6" s="1"/>
  <c r="BX334" i="6" s="1"/>
  <c r="BY334" i="6" s="1"/>
  <c r="BZ334" i="6" s="1"/>
  <c r="CA334" i="6" s="1"/>
  <c r="CB334" i="6" s="1"/>
  <c r="CC334" i="6" s="1"/>
  <c r="CD334" i="6" s="1"/>
  <c r="CE334" i="6" s="1"/>
  <c r="CF334" i="6" s="1"/>
  <c r="CG334" i="6" s="1"/>
  <c r="CH334" i="6" s="1"/>
  <c r="CI334" i="6" s="1"/>
  <c r="CJ334" i="6" s="1"/>
  <c r="CK334" i="6" s="1"/>
  <c r="CL334" i="6" s="1"/>
  <c r="CM334" i="6" s="1"/>
  <c r="CN334" i="6" s="1"/>
  <c r="CO334" i="6" s="1"/>
  <c r="BC322" i="6"/>
  <c r="BD322" i="6" s="1"/>
  <c r="BE322" i="6" s="1"/>
  <c r="BF322" i="6" s="1"/>
  <c r="BG322" i="6" s="1"/>
  <c r="BH322" i="6" s="1"/>
  <c r="BI322" i="6" s="1"/>
  <c r="BJ322" i="6" s="1"/>
  <c r="BK322" i="6" s="1"/>
  <c r="BL322" i="6" s="1"/>
  <c r="BM322" i="6" s="1"/>
  <c r="BN322" i="6" s="1"/>
  <c r="BO322" i="6" s="1"/>
  <c r="BP322" i="6" s="1"/>
  <c r="BQ322" i="6" s="1"/>
  <c r="BR322" i="6" s="1"/>
  <c r="BS322" i="6" s="1"/>
  <c r="BT322" i="6" s="1"/>
  <c r="BU322" i="6" s="1"/>
  <c r="BV322" i="6" s="1"/>
  <c r="BW322" i="6" s="1"/>
  <c r="BX322" i="6" s="1"/>
  <c r="BY322" i="6" s="1"/>
  <c r="BZ322" i="6" s="1"/>
  <c r="CA322" i="6" s="1"/>
  <c r="CB322" i="6" s="1"/>
  <c r="CC322" i="6" s="1"/>
  <c r="CD322" i="6" s="1"/>
  <c r="CE322" i="6" s="1"/>
  <c r="CF322" i="6" s="1"/>
  <c r="CG322" i="6" s="1"/>
  <c r="CH322" i="6" s="1"/>
  <c r="CI322" i="6" s="1"/>
  <c r="CJ322" i="6" s="1"/>
  <c r="CK322" i="6" s="1"/>
  <c r="CL322" i="6" s="1"/>
  <c r="CM322" i="6" s="1"/>
  <c r="CN322" i="6" s="1"/>
  <c r="CO322" i="6" s="1"/>
  <c r="BC396" i="6"/>
  <c r="BD396" i="6" s="1"/>
  <c r="BE396" i="6" s="1"/>
  <c r="BF396" i="6" s="1"/>
  <c r="BG396" i="6" s="1"/>
  <c r="BH396" i="6" s="1"/>
  <c r="BI396" i="6" s="1"/>
  <c r="BJ396" i="6" s="1"/>
  <c r="BK396" i="6" s="1"/>
  <c r="BL396" i="6" s="1"/>
  <c r="BM396" i="6" s="1"/>
  <c r="BN396" i="6" s="1"/>
  <c r="BO396" i="6" s="1"/>
  <c r="BP396" i="6" s="1"/>
  <c r="BQ396" i="6" s="1"/>
  <c r="BR396" i="6" s="1"/>
  <c r="BS396" i="6" s="1"/>
  <c r="O72" i="1"/>
  <c r="P72" i="1" s="1"/>
  <c r="Q72" i="1" s="1"/>
  <c r="AB340" i="6"/>
  <c r="AC340" i="6" s="1"/>
  <c r="AD340" i="6" s="1"/>
  <c r="AE340" i="6" s="1"/>
  <c r="AF340" i="6" s="1"/>
  <c r="AG340" i="6" s="1"/>
  <c r="AH340" i="6" s="1"/>
  <c r="AI340" i="6" s="1"/>
  <c r="AJ340" i="6" s="1"/>
  <c r="AK340" i="6" s="1"/>
  <c r="AL340" i="6" s="1"/>
  <c r="AM340" i="6" s="1"/>
  <c r="AN340" i="6" s="1"/>
  <c r="AO340" i="6" s="1"/>
  <c r="AP340" i="6" s="1"/>
  <c r="AQ340" i="6" s="1"/>
  <c r="AR340" i="6" s="1"/>
  <c r="AS340" i="6" s="1"/>
  <c r="AT340" i="6" s="1"/>
  <c r="AU340" i="6" s="1"/>
  <c r="AV340" i="6" s="1"/>
  <c r="AW340" i="6" s="1"/>
  <c r="AX340" i="6" s="1"/>
  <c r="AY340" i="6" s="1"/>
  <c r="AZ340" i="6" s="1"/>
  <c r="BA340" i="6" s="1"/>
  <c r="BB340" i="6" s="1"/>
  <c r="X316" i="6"/>
  <c r="Y316" i="6" s="1"/>
  <c r="Z316" i="6" s="1"/>
  <c r="AA316" i="6" s="1"/>
  <c r="AB316" i="6" s="1"/>
  <c r="AC316" i="6" s="1"/>
  <c r="AD316" i="6" s="1"/>
  <c r="AE316" i="6" s="1"/>
  <c r="AF316" i="6" s="1"/>
  <c r="AG316" i="6" s="1"/>
  <c r="AH316" i="6" s="1"/>
  <c r="AI316" i="6" s="1"/>
  <c r="AJ316" i="6" s="1"/>
  <c r="AK316" i="6" s="1"/>
  <c r="AL316" i="6" s="1"/>
  <c r="AM316" i="6" s="1"/>
  <c r="AN316" i="6" s="1"/>
  <c r="AO316" i="6" s="1"/>
  <c r="AP316" i="6" s="1"/>
  <c r="AQ316" i="6" s="1"/>
  <c r="AR316" i="6" s="1"/>
  <c r="AS316" i="6" s="1"/>
  <c r="AT316" i="6" s="1"/>
  <c r="AU316" i="6" s="1"/>
  <c r="AV316" i="6" s="1"/>
  <c r="AW316" i="6" s="1"/>
  <c r="AX316" i="6" s="1"/>
  <c r="AY316" i="6" s="1"/>
  <c r="AZ316" i="6" s="1"/>
  <c r="BA316" i="6" s="1"/>
  <c r="BB316" i="6" s="1"/>
  <c r="CP342" i="6"/>
  <c r="Z257" i="6"/>
  <c r="Z307" i="6"/>
  <c r="AA307" i="6" s="1"/>
  <c r="AB307" i="6" s="1"/>
  <c r="AC307" i="6" s="1"/>
  <c r="AD307" i="6" s="1"/>
  <c r="AE307" i="6" s="1"/>
  <c r="AF307" i="6" s="1"/>
  <c r="AG307" i="6" s="1"/>
  <c r="AH307" i="6" s="1"/>
  <c r="AI307" i="6" s="1"/>
  <c r="AJ307" i="6" s="1"/>
  <c r="AK307" i="6" s="1"/>
  <c r="AL307" i="6" s="1"/>
  <c r="AM307" i="6" s="1"/>
  <c r="AN307" i="6" s="1"/>
  <c r="AO307" i="6" s="1"/>
  <c r="AP307" i="6" s="1"/>
  <c r="AQ307" i="6" s="1"/>
  <c r="AR307" i="6" s="1"/>
  <c r="AS307" i="6" s="1"/>
  <c r="AT307" i="6" s="1"/>
  <c r="AU307" i="6" s="1"/>
  <c r="AV307" i="6" s="1"/>
  <c r="AW307" i="6" s="1"/>
  <c r="AX307" i="6" s="1"/>
  <c r="AY307" i="6" s="1"/>
  <c r="AZ307" i="6" s="1"/>
  <c r="BA307" i="6" s="1"/>
  <c r="BB307" i="6" s="1"/>
  <c r="CP384" i="6"/>
  <c r="CP382" i="6"/>
  <c r="CP376" i="6"/>
  <c r="CP374" i="6"/>
  <c r="CP372" i="6"/>
  <c r="CP370" i="6"/>
  <c r="S318" i="6"/>
  <c r="T318" i="6" s="1"/>
  <c r="U318" i="6" s="1"/>
  <c r="CP168" i="6" l="1"/>
  <c r="HA168" i="6" s="1"/>
  <c r="CP172" i="6"/>
  <c r="CP334" i="6"/>
  <c r="CP352" i="6"/>
  <c r="HA352" i="6" s="1"/>
  <c r="CP305" i="6"/>
  <c r="CP322" i="6"/>
  <c r="HA322" i="6" s="1"/>
  <c r="CP336" i="6"/>
  <c r="CP162" i="6"/>
  <c r="HA162" i="6" s="1"/>
  <c r="CP261" i="6"/>
  <c r="CP259" i="6"/>
  <c r="CP306" i="6"/>
  <c r="CP314" i="6"/>
  <c r="HA314" i="6" s="1"/>
  <c r="BC307" i="6"/>
  <c r="BD307" i="6" s="1"/>
  <c r="BE307" i="6" s="1"/>
  <c r="BF307" i="6" s="1"/>
  <c r="BG307" i="6" s="1"/>
  <c r="BH307" i="6" s="1"/>
  <c r="BI307" i="6" s="1"/>
  <c r="BJ307" i="6" s="1"/>
  <c r="BK307" i="6" s="1"/>
  <c r="BL307" i="6" s="1"/>
  <c r="BM307" i="6" s="1"/>
  <c r="BN307" i="6" s="1"/>
  <c r="BO307" i="6" s="1"/>
  <c r="BP307" i="6" s="1"/>
  <c r="BQ307" i="6" s="1"/>
  <c r="BR307" i="6" s="1"/>
  <c r="BS307" i="6" s="1"/>
  <c r="BT307" i="6" s="1"/>
  <c r="BU307" i="6" s="1"/>
  <c r="BV307" i="6" s="1"/>
  <c r="BW307" i="6" s="1"/>
  <c r="BX307" i="6" s="1"/>
  <c r="BY307" i="6" s="1"/>
  <c r="BZ307" i="6" s="1"/>
  <c r="CA307" i="6" s="1"/>
  <c r="CB307" i="6" s="1"/>
  <c r="CC307" i="6" s="1"/>
  <c r="CD307" i="6" s="1"/>
  <c r="CE307" i="6" s="1"/>
  <c r="CF307" i="6" s="1"/>
  <c r="CG307" i="6" s="1"/>
  <c r="CH307" i="6" s="1"/>
  <c r="CI307" i="6" s="1"/>
  <c r="CJ307" i="6" s="1"/>
  <c r="CK307" i="6" s="1"/>
  <c r="CL307" i="6" s="1"/>
  <c r="CM307" i="6" s="1"/>
  <c r="CN307" i="6" s="1"/>
  <c r="CO307" i="6" s="1"/>
  <c r="BC316" i="6"/>
  <c r="BD316" i="6" s="1"/>
  <c r="BE316" i="6" s="1"/>
  <c r="BF316" i="6" s="1"/>
  <c r="BG316" i="6" s="1"/>
  <c r="BH316" i="6" s="1"/>
  <c r="BI316" i="6" s="1"/>
  <c r="BJ316" i="6" s="1"/>
  <c r="BK316" i="6" s="1"/>
  <c r="BL316" i="6" s="1"/>
  <c r="BM316" i="6" s="1"/>
  <c r="BN316" i="6" s="1"/>
  <c r="BO316" i="6" s="1"/>
  <c r="BP316" i="6" s="1"/>
  <c r="BQ316" i="6" s="1"/>
  <c r="BR316" i="6" s="1"/>
  <c r="BS316" i="6" s="1"/>
  <c r="BT316" i="6" s="1"/>
  <c r="BU316" i="6" s="1"/>
  <c r="BV316" i="6" s="1"/>
  <c r="BW316" i="6" s="1"/>
  <c r="BX316" i="6" s="1"/>
  <c r="BY316" i="6" s="1"/>
  <c r="BZ316" i="6" s="1"/>
  <c r="CA316" i="6" s="1"/>
  <c r="CB316" i="6" s="1"/>
  <c r="CC316" i="6" s="1"/>
  <c r="CD316" i="6" s="1"/>
  <c r="CE316" i="6" s="1"/>
  <c r="CF316" i="6" s="1"/>
  <c r="CG316" i="6" s="1"/>
  <c r="CH316" i="6" s="1"/>
  <c r="CI316" i="6" s="1"/>
  <c r="CJ316" i="6" s="1"/>
  <c r="CK316" i="6" s="1"/>
  <c r="CL316" i="6" s="1"/>
  <c r="CM316" i="6" s="1"/>
  <c r="CN316" i="6" s="1"/>
  <c r="CO316" i="6" s="1"/>
  <c r="BC340" i="6"/>
  <c r="BD340" i="6" s="1"/>
  <c r="BE340" i="6" s="1"/>
  <c r="BF340" i="6" s="1"/>
  <c r="BG340" i="6" s="1"/>
  <c r="BH340" i="6" s="1"/>
  <c r="BI340" i="6" s="1"/>
  <c r="BJ340" i="6" s="1"/>
  <c r="BK340" i="6" s="1"/>
  <c r="BL340" i="6" s="1"/>
  <c r="BM340" i="6" s="1"/>
  <c r="BN340" i="6" s="1"/>
  <c r="BO340" i="6" s="1"/>
  <c r="BP340" i="6" s="1"/>
  <c r="BQ340" i="6" s="1"/>
  <c r="BR340" i="6" s="1"/>
  <c r="BS340" i="6" s="1"/>
  <c r="BT340" i="6" s="1"/>
  <c r="BU340" i="6" s="1"/>
  <c r="BV340" i="6" s="1"/>
  <c r="BW340" i="6" s="1"/>
  <c r="BX340" i="6" s="1"/>
  <c r="BY340" i="6" s="1"/>
  <c r="BZ340" i="6" s="1"/>
  <c r="CA340" i="6" s="1"/>
  <c r="CB340" i="6" s="1"/>
  <c r="CC340" i="6" s="1"/>
  <c r="CD340" i="6" s="1"/>
  <c r="CE340" i="6" s="1"/>
  <c r="CF340" i="6" s="1"/>
  <c r="CG340" i="6" s="1"/>
  <c r="CH340" i="6" s="1"/>
  <c r="CI340" i="6" s="1"/>
  <c r="CJ340" i="6" s="1"/>
  <c r="CK340" i="6" s="1"/>
  <c r="CL340" i="6" s="1"/>
  <c r="CM340" i="6" s="1"/>
  <c r="CN340" i="6" s="1"/>
  <c r="CO340" i="6" s="1"/>
  <c r="BT396" i="6"/>
  <c r="BU396" i="6" s="1"/>
  <c r="BV396" i="6" s="1"/>
  <c r="BW396" i="6" s="1"/>
  <c r="BX396" i="6" s="1"/>
  <c r="BY396" i="6" s="1"/>
  <c r="BZ396" i="6" s="1"/>
  <c r="CA396" i="6" s="1"/>
  <c r="CB396" i="6" s="1"/>
  <c r="CC396" i="6" s="1"/>
  <c r="CD396" i="6" s="1"/>
  <c r="CE396" i="6" s="1"/>
  <c r="CF396" i="6" s="1"/>
  <c r="CG396" i="6" s="1"/>
  <c r="CH396" i="6" s="1"/>
  <c r="CI396" i="6" s="1"/>
  <c r="CJ396" i="6" s="1"/>
  <c r="CK396" i="6" s="1"/>
  <c r="CL396" i="6" s="1"/>
  <c r="CM396" i="6" s="1"/>
  <c r="CN396" i="6" s="1"/>
  <c r="CO396" i="6" s="1"/>
  <c r="R72" i="1"/>
  <c r="CP310" i="6"/>
  <c r="HA310" i="6" s="1"/>
  <c r="AA257" i="6"/>
  <c r="AB257" i="6" s="1"/>
  <c r="AC257" i="6" s="1"/>
  <c r="AD257" i="6" s="1"/>
  <c r="AE257" i="6" s="1"/>
  <c r="AF257" i="6" s="1"/>
  <c r="AG257" i="6" s="1"/>
  <c r="AH257" i="6" s="1"/>
  <c r="AI257" i="6" s="1"/>
  <c r="AJ257" i="6" s="1"/>
  <c r="AK257" i="6" s="1"/>
  <c r="AL257" i="6" s="1"/>
  <c r="AM257" i="6" s="1"/>
  <c r="AN257" i="6" s="1"/>
  <c r="AO257" i="6" s="1"/>
  <c r="AP257" i="6" s="1"/>
  <c r="AQ257" i="6" s="1"/>
  <c r="AR257" i="6" s="1"/>
  <c r="AS257" i="6" s="1"/>
  <c r="AT257" i="6" s="1"/>
  <c r="AU257" i="6" s="1"/>
  <c r="AV257" i="6" s="1"/>
  <c r="AW257" i="6" s="1"/>
  <c r="AX257" i="6" s="1"/>
  <c r="AY257" i="6" s="1"/>
  <c r="AZ257" i="6" s="1"/>
  <c r="BA257" i="6" s="1"/>
  <c r="BB257" i="6" s="1"/>
  <c r="CP307" i="6"/>
  <c r="V318" i="6"/>
  <c r="W318" i="6" s="1"/>
  <c r="X318" i="6" s="1"/>
  <c r="Y318" i="6" s="1"/>
  <c r="Z318" i="6" s="1"/>
  <c r="AA318" i="6" s="1"/>
  <c r="AB318" i="6" s="1"/>
  <c r="AC318" i="6" s="1"/>
  <c r="AD318" i="6" s="1"/>
  <c r="AE318" i="6" s="1"/>
  <c r="AF318" i="6" s="1"/>
  <c r="AG318" i="6" s="1"/>
  <c r="AH318" i="6" s="1"/>
  <c r="AI318" i="6" s="1"/>
  <c r="AJ318" i="6" s="1"/>
  <c r="AK318" i="6" s="1"/>
  <c r="AL318" i="6" s="1"/>
  <c r="AM318" i="6" s="1"/>
  <c r="AN318" i="6" s="1"/>
  <c r="AO318" i="6" s="1"/>
  <c r="AP318" i="6" s="1"/>
  <c r="AQ318" i="6" s="1"/>
  <c r="AR318" i="6" s="1"/>
  <c r="AS318" i="6" s="1"/>
  <c r="AT318" i="6" s="1"/>
  <c r="AU318" i="6" s="1"/>
  <c r="AV318" i="6" s="1"/>
  <c r="AW318" i="6" s="1"/>
  <c r="AX318" i="6" s="1"/>
  <c r="AY318" i="6" s="1"/>
  <c r="AZ318" i="6" s="1"/>
  <c r="BA318" i="6" s="1"/>
  <c r="BB318" i="6" s="1"/>
  <c r="CP316" i="6"/>
  <c r="HA316" i="6" s="1"/>
  <c r="CP86" i="6"/>
  <c r="CP380" i="6"/>
  <c r="CP340" i="6" l="1"/>
  <c r="BC318" i="6"/>
  <c r="BD318" i="6" s="1"/>
  <c r="BE318" i="6" s="1"/>
  <c r="BF318" i="6" s="1"/>
  <c r="BG318" i="6" s="1"/>
  <c r="BH318" i="6" s="1"/>
  <c r="BI318" i="6" s="1"/>
  <c r="BJ318" i="6" s="1"/>
  <c r="BK318" i="6" s="1"/>
  <c r="BL318" i="6" s="1"/>
  <c r="BM318" i="6" s="1"/>
  <c r="BN318" i="6" s="1"/>
  <c r="BO318" i="6" s="1"/>
  <c r="BP318" i="6" s="1"/>
  <c r="BQ318" i="6" s="1"/>
  <c r="BR318" i="6" s="1"/>
  <c r="BS318" i="6" s="1"/>
  <c r="BT318" i="6" s="1"/>
  <c r="BU318" i="6" s="1"/>
  <c r="BV318" i="6" s="1"/>
  <c r="BW318" i="6" s="1"/>
  <c r="BX318" i="6" s="1"/>
  <c r="BY318" i="6" s="1"/>
  <c r="BZ318" i="6" s="1"/>
  <c r="CA318" i="6" s="1"/>
  <c r="CB318" i="6" s="1"/>
  <c r="CC318" i="6" s="1"/>
  <c r="CD318" i="6" s="1"/>
  <c r="CE318" i="6" s="1"/>
  <c r="CF318" i="6" s="1"/>
  <c r="CG318" i="6" s="1"/>
  <c r="CH318" i="6" s="1"/>
  <c r="CI318" i="6" s="1"/>
  <c r="CJ318" i="6" s="1"/>
  <c r="CK318" i="6" s="1"/>
  <c r="CL318" i="6" s="1"/>
  <c r="CM318" i="6" s="1"/>
  <c r="CN318" i="6" s="1"/>
  <c r="CO318" i="6" s="1"/>
  <c r="BC257" i="6"/>
  <c r="BD257" i="6" s="1"/>
  <c r="BE257" i="6" s="1"/>
  <c r="BF257" i="6" s="1"/>
  <c r="BG257" i="6" s="1"/>
  <c r="BH257" i="6" s="1"/>
  <c r="BI257" i="6" s="1"/>
  <c r="BJ257" i="6" s="1"/>
  <c r="BK257" i="6" s="1"/>
  <c r="BL257" i="6" s="1"/>
  <c r="BM257" i="6" s="1"/>
  <c r="BN257" i="6" s="1"/>
  <c r="BO257" i="6" s="1"/>
  <c r="BP257" i="6" s="1"/>
  <c r="BQ257" i="6" s="1"/>
  <c r="BR257" i="6" s="1"/>
  <c r="BS257" i="6" s="1"/>
  <c r="BT257" i="6" s="1"/>
  <c r="BU257" i="6" s="1"/>
  <c r="BV257" i="6" s="1"/>
  <c r="BW257" i="6" s="1"/>
  <c r="BX257" i="6" s="1"/>
  <c r="BY257" i="6" s="1"/>
  <c r="BZ257" i="6" s="1"/>
  <c r="CA257" i="6" s="1"/>
  <c r="CB257" i="6" s="1"/>
  <c r="CC257" i="6" s="1"/>
  <c r="CD257" i="6" s="1"/>
  <c r="CE257" i="6" s="1"/>
  <c r="CF257" i="6" s="1"/>
  <c r="CG257" i="6" s="1"/>
  <c r="CH257" i="6" s="1"/>
  <c r="CI257" i="6" s="1"/>
  <c r="CJ257" i="6" s="1"/>
  <c r="CK257" i="6" s="1"/>
  <c r="CL257" i="6" s="1"/>
  <c r="CM257" i="6" s="1"/>
  <c r="CN257" i="6" s="1"/>
  <c r="CO257" i="6" s="1"/>
  <c r="CP396" i="6"/>
  <c r="S72" i="1"/>
  <c r="T72" i="1" s="1"/>
  <c r="U72" i="1" s="1"/>
  <c r="CP368" i="6"/>
  <c r="CP257" i="6" l="1"/>
  <c r="CP318" i="6"/>
  <c r="HA318" i="6" s="1"/>
  <c r="V72" i="1"/>
  <c r="W72" i="1" s="1"/>
  <c r="X72" i="1" s="1"/>
  <c r="Y72" i="1" s="1"/>
  <c r="Z72" i="1" s="1"/>
  <c r="AA72" i="1" s="1"/>
  <c r="AB72" i="1" s="1"/>
  <c r="AC72" i="1" s="1"/>
  <c r="AD72" i="1" s="1"/>
  <c r="AE72" i="1" s="1"/>
  <c r="AF72" i="1" s="1"/>
  <c r="AG72" i="1" s="1"/>
  <c r="AH72" i="1" s="1"/>
  <c r="AI72" i="1" s="1"/>
  <c r="AJ72" i="1" s="1"/>
  <c r="AK72" i="1" s="1"/>
  <c r="AL72" i="1" s="1"/>
  <c r="AM72" i="1" s="1"/>
  <c r="AN72" i="1" s="1"/>
  <c r="AO72" i="1" s="1"/>
  <c r="AP72" i="1" s="1"/>
  <c r="AQ72" i="1" s="1"/>
  <c r="AR72" i="1" s="1"/>
  <c r="AS72" i="1" s="1"/>
  <c r="AT72" i="1" s="1"/>
  <c r="AU72" i="1" s="1"/>
  <c r="AV72" i="1" s="1"/>
  <c r="AW72" i="1" s="1"/>
  <c r="AX72" i="1" s="1"/>
  <c r="AY72" i="1" s="1"/>
  <c r="AZ72" i="1" s="1"/>
  <c r="BA72" i="1" s="1"/>
  <c r="BB72" i="1" s="1"/>
  <c r="BC72" i="1" s="1"/>
  <c r="BD72" i="1" s="1"/>
  <c r="BE72" i="1" s="1"/>
  <c r="BF72" i="1" s="1"/>
  <c r="BG72" i="1" s="1"/>
  <c r="BH72" i="1" s="1"/>
  <c r="BI72" i="1" s="1"/>
  <c r="BJ72" i="1" s="1"/>
  <c r="BK72" i="1" s="1"/>
  <c r="BL72" i="1" s="1"/>
  <c r="BM72" i="1" s="1"/>
  <c r="BN72" i="1" s="1"/>
  <c r="BO72" i="1" s="1"/>
  <c r="BP72" i="1" s="1"/>
  <c r="BQ72" i="1" s="1"/>
  <c r="BR72" i="1" s="1"/>
  <c r="BS72" i="1" s="1"/>
  <c r="BT72" i="1" s="1"/>
  <c r="BU72" i="1" s="1"/>
  <c r="BV72" i="1" s="1"/>
  <c r="BW72" i="1" s="1"/>
  <c r="BX72" i="1" s="1"/>
  <c r="BY72" i="1" s="1"/>
  <c r="CE72" i="1" s="1"/>
  <c r="CF72" i="1" s="1"/>
  <c r="CG72" i="1" s="1"/>
  <c r="CI72" i="1" s="1"/>
  <c r="CJ72" i="1" s="1"/>
  <c r="CK72" i="1" s="1"/>
  <c r="O364" i="6"/>
  <c r="L364" i="6"/>
  <c r="G364" i="6"/>
  <c r="H364" i="6" s="1"/>
  <c r="J362" i="6"/>
  <c r="H362" i="6"/>
  <c r="J360" i="6"/>
  <c r="H360" i="6"/>
  <c r="W358" i="6"/>
  <c r="O358" i="6"/>
  <c r="N358" i="6" s="1"/>
  <c r="M358" i="6" s="1"/>
  <c r="L358" i="6" s="1"/>
  <c r="K358" i="6" s="1"/>
  <c r="J358" i="6" s="1"/>
  <c r="I358" i="6"/>
  <c r="G358" i="6"/>
  <c r="H358" i="6" s="1"/>
  <c r="R356" i="6"/>
  <c r="J356" i="6"/>
  <c r="G356" i="6"/>
  <c r="H356" i="6" s="1"/>
  <c r="I354" i="6"/>
  <c r="N350" i="6"/>
  <c r="J350" i="6"/>
  <c r="G350" i="6"/>
  <c r="H350" i="6" s="1"/>
  <c r="AI348" i="6"/>
  <c r="Z348" i="6"/>
  <c r="Y348" i="6" s="1"/>
  <c r="X348" i="6" s="1"/>
  <c r="W348" i="6" s="1"/>
  <c r="V348" i="6" s="1"/>
  <c r="U348" i="6" s="1"/>
  <c r="T348" i="6" s="1"/>
  <c r="S348" i="6"/>
  <c r="R348" i="6" s="1"/>
  <c r="Q348" i="6" s="1"/>
  <c r="K348" i="6"/>
  <c r="J348" i="6" s="1"/>
  <c r="G348" i="6"/>
  <c r="H348" i="6" s="1"/>
  <c r="J346" i="6"/>
  <c r="H346" i="6"/>
  <c r="J303" i="6"/>
  <c r="H303" i="6"/>
  <c r="J301" i="6"/>
  <c r="H301" i="6"/>
  <c r="J299" i="6"/>
  <c r="H299" i="6"/>
  <c r="J297" i="6"/>
  <c r="H297" i="6"/>
  <c r="J295" i="6"/>
  <c r="H295" i="6"/>
  <c r="J293" i="6"/>
  <c r="H293" i="6"/>
  <c r="J291" i="6"/>
  <c r="H291" i="6"/>
  <c r="J289" i="6"/>
  <c r="H289" i="6"/>
  <c r="J287" i="6"/>
  <c r="H287" i="6"/>
  <c r="J285" i="6"/>
  <c r="H285" i="6"/>
  <c r="J283" i="6"/>
  <c r="H283" i="6"/>
  <c r="J281" i="6"/>
  <c r="H281" i="6"/>
  <c r="J279" i="6"/>
  <c r="H279" i="6"/>
  <c r="G277" i="6"/>
  <c r="H277" i="6" s="1"/>
  <c r="J275" i="6"/>
  <c r="H275" i="6"/>
  <c r="J273" i="6"/>
  <c r="H273" i="6"/>
  <c r="M271" i="6"/>
  <c r="N271" i="6" s="1"/>
  <c r="O271" i="6" s="1"/>
  <c r="G271" i="6"/>
  <c r="J271" i="6" s="1"/>
  <c r="J269" i="6"/>
  <c r="H269" i="6"/>
  <c r="M267" i="6"/>
  <c r="N267" i="6" s="1"/>
  <c r="O267" i="6" s="1"/>
  <c r="J267" i="6"/>
  <c r="G267" i="6"/>
  <c r="H267" i="6" s="1"/>
  <c r="J265" i="6"/>
  <c r="H265" i="6"/>
  <c r="F263" i="6"/>
  <c r="J249" i="6"/>
  <c r="H249" i="6"/>
  <c r="J247" i="6"/>
  <c r="H247" i="6"/>
  <c r="J245" i="6"/>
  <c r="H245" i="6"/>
  <c r="J243" i="6"/>
  <c r="H243" i="6"/>
  <c r="J241" i="6"/>
  <c r="H241" i="6"/>
  <c r="J239" i="6"/>
  <c r="H239" i="6"/>
  <c r="J237" i="6"/>
  <c r="H237" i="6"/>
  <c r="G235" i="6"/>
  <c r="H235" i="6" s="1"/>
  <c r="G233" i="6"/>
  <c r="J233" i="6" s="1"/>
  <c r="J231" i="6"/>
  <c r="H231" i="6"/>
  <c r="J229" i="6"/>
  <c r="H229" i="6"/>
  <c r="J227" i="6"/>
  <c r="H227" i="6"/>
  <c r="J225" i="6"/>
  <c r="H225" i="6"/>
  <c r="J223" i="6"/>
  <c r="H223" i="6"/>
  <c r="J221" i="6"/>
  <c r="H221" i="6"/>
  <c r="J219" i="6"/>
  <c r="H219" i="6"/>
  <c r="J217" i="6"/>
  <c r="H217" i="6"/>
  <c r="J215" i="6"/>
  <c r="H215" i="6"/>
  <c r="J213" i="6"/>
  <c r="H213" i="6"/>
  <c r="L211" i="6"/>
  <c r="K211" i="6" s="1"/>
  <c r="J211" i="6" s="1"/>
  <c r="G211" i="6"/>
  <c r="H211" i="6" s="1"/>
  <c r="J209" i="6"/>
  <c r="H209" i="6"/>
  <c r="N207" i="6"/>
  <c r="J207" i="6"/>
  <c r="G207" i="6"/>
  <c r="H207" i="6" s="1"/>
  <c r="W205" i="6"/>
  <c r="S205" i="6"/>
  <c r="R205" i="6" s="1"/>
  <c r="Q205" i="6" s="1"/>
  <c r="P205" i="6" s="1"/>
  <c r="O205" i="6"/>
  <c r="N205" i="6" s="1"/>
  <c r="M205" i="6" s="1"/>
  <c r="L205" i="6" s="1"/>
  <c r="K205" i="6" s="1"/>
  <c r="J205" i="6" s="1"/>
  <c r="G205" i="6"/>
  <c r="H205" i="6" s="1"/>
  <c r="J203" i="6"/>
  <c r="H203" i="6"/>
  <c r="J201" i="6"/>
  <c r="H201" i="6"/>
  <c r="J199" i="6"/>
  <c r="H199" i="6"/>
  <c r="J197" i="6"/>
  <c r="H197" i="6"/>
  <c r="L195" i="6"/>
  <c r="K195" i="6" s="1"/>
  <c r="J195" i="6" s="1"/>
  <c r="G195" i="6"/>
  <c r="H195" i="6" s="1"/>
  <c r="M193" i="6"/>
  <c r="H193" i="6"/>
  <c r="L191" i="6"/>
  <c r="K191" i="6" s="1"/>
  <c r="J191" i="6" s="1"/>
  <c r="G191" i="6"/>
  <c r="H191" i="6" s="1"/>
  <c r="T189" i="6"/>
  <c r="O189" i="6"/>
  <c r="N189" i="6" s="1"/>
  <c r="M189" i="6" s="1"/>
  <c r="L189" i="6"/>
  <c r="K189" i="6" s="1"/>
  <c r="J189" i="6" s="1"/>
  <c r="G189" i="6"/>
  <c r="H189" i="6" s="1"/>
  <c r="T187" i="6"/>
  <c r="O187" i="6"/>
  <c r="N187" i="6" s="1"/>
  <c r="M187" i="6" s="1"/>
  <c r="L187" i="6"/>
  <c r="K187" i="6" s="1"/>
  <c r="J187" i="6" s="1"/>
  <c r="G187" i="6"/>
  <c r="H187" i="6" s="1"/>
  <c r="T185" i="6"/>
  <c r="O185" i="6"/>
  <c r="N185" i="6" s="1"/>
  <c r="M185" i="6" s="1"/>
  <c r="L185" i="6"/>
  <c r="K185" i="6" s="1"/>
  <c r="J185" i="6" s="1"/>
  <c r="G185" i="6"/>
  <c r="H185" i="6" s="1"/>
  <c r="S183" i="6"/>
  <c r="O183" i="6"/>
  <c r="N183" i="6" s="1"/>
  <c r="M183" i="6" s="1"/>
  <c r="L183" i="6" s="1"/>
  <c r="K183" i="6"/>
  <c r="J183" i="6" s="1"/>
  <c r="G183" i="6"/>
  <c r="H183" i="6" s="1"/>
  <c r="J160" i="6"/>
  <c r="H160" i="6"/>
  <c r="J158" i="6"/>
  <c r="H158" i="6"/>
  <c r="J156" i="6"/>
  <c r="H156" i="6"/>
  <c r="J154" i="6"/>
  <c r="H154" i="6"/>
  <c r="J152" i="6"/>
  <c r="H152" i="6"/>
  <c r="J150" i="6"/>
  <c r="H150" i="6"/>
  <c r="S148" i="6"/>
  <c r="O148" i="6"/>
  <c r="N148" i="6" s="1"/>
  <c r="M148" i="6" s="1"/>
  <c r="L148" i="6" s="1"/>
  <c r="K148" i="6"/>
  <c r="J148" i="6" s="1"/>
  <c r="G148" i="6"/>
  <c r="H148" i="6" s="1"/>
  <c r="S146" i="6"/>
  <c r="O146" i="6"/>
  <c r="N146" i="6" s="1"/>
  <c r="M146" i="6" s="1"/>
  <c r="L146" i="6" s="1"/>
  <c r="K146" i="6"/>
  <c r="J146" i="6" s="1"/>
  <c r="G146" i="6"/>
  <c r="H146" i="6" s="1"/>
  <c r="X144" i="6"/>
  <c r="O144" i="6"/>
  <c r="N144" i="6" s="1"/>
  <c r="M144" i="6" s="1"/>
  <c r="L144" i="6" s="1"/>
  <c r="K144" i="6" s="1"/>
  <c r="J144" i="6" s="1"/>
  <c r="G144" i="6"/>
  <c r="H144" i="6" s="1"/>
  <c r="J142" i="6"/>
  <c r="H142" i="6"/>
  <c r="J140" i="6"/>
  <c r="H140" i="6"/>
  <c r="J138" i="6"/>
  <c r="H138" i="6"/>
  <c r="J136" i="6"/>
  <c r="H136" i="6"/>
  <c r="J134" i="6"/>
  <c r="H134" i="6"/>
  <c r="J132" i="6"/>
  <c r="H132" i="6"/>
  <c r="J130" i="6"/>
  <c r="H130" i="6"/>
  <c r="J128" i="6"/>
  <c r="H128" i="6"/>
  <c r="J126" i="6"/>
  <c r="I126" i="6"/>
  <c r="H126" i="6"/>
  <c r="J124" i="6"/>
  <c r="H124" i="6"/>
  <c r="J122" i="6"/>
  <c r="H122" i="6"/>
  <c r="J120" i="6"/>
  <c r="H120" i="6"/>
  <c r="J118" i="6"/>
  <c r="H118" i="6"/>
  <c r="J116" i="6"/>
  <c r="H116" i="6"/>
  <c r="J114" i="6"/>
  <c r="H114" i="6"/>
  <c r="J112" i="6"/>
  <c r="H112" i="6"/>
  <c r="J110" i="6"/>
  <c r="H110" i="6"/>
  <c r="J108" i="6"/>
  <c r="H108" i="6"/>
  <c r="J106" i="6"/>
  <c r="H106" i="6"/>
  <c r="J104" i="6"/>
  <c r="H104" i="6"/>
  <c r="J102" i="6"/>
  <c r="H102" i="6"/>
  <c r="J100" i="6"/>
  <c r="H100" i="6"/>
  <c r="J98" i="6"/>
  <c r="I98" i="6"/>
  <c r="I397" i="6" s="1"/>
  <c r="H98" i="6"/>
  <c r="J96" i="6"/>
  <c r="H96" i="6"/>
  <c r="J94" i="6"/>
  <c r="H94" i="6"/>
  <c r="J92" i="6"/>
  <c r="H92" i="6"/>
  <c r="J69" i="6"/>
  <c r="H69" i="6"/>
  <c r="J67" i="6"/>
  <c r="H67" i="6"/>
  <c r="J65" i="6"/>
  <c r="H65" i="6"/>
  <c r="J63" i="6"/>
  <c r="H63" i="6"/>
  <c r="J61" i="6"/>
  <c r="H61" i="6"/>
  <c r="J59" i="6"/>
  <c r="H59" i="6"/>
  <c r="G57" i="6"/>
  <c r="H57" i="6" s="1"/>
  <c r="G55" i="6"/>
  <c r="J55" i="6" s="1"/>
  <c r="J53" i="6"/>
  <c r="H53" i="6"/>
  <c r="J51" i="6"/>
  <c r="H51" i="6"/>
  <c r="H49" i="6"/>
  <c r="G49" i="6" s="1"/>
  <c r="J49" i="6" s="1"/>
  <c r="J47" i="6"/>
  <c r="H47" i="6"/>
  <c r="G45" i="6"/>
  <c r="V45" i="6" s="1"/>
  <c r="J43" i="6"/>
  <c r="H43" i="6"/>
  <c r="J41" i="6"/>
  <c r="H41" i="6"/>
  <c r="J39" i="6"/>
  <c r="H39" i="6"/>
  <c r="M37" i="6"/>
  <c r="G37" i="6"/>
  <c r="H37" i="6" s="1"/>
  <c r="M35" i="6"/>
  <c r="G35" i="6"/>
  <c r="H35" i="6" s="1"/>
  <c r="J33" i="6"/>
  <c r="H33" i="6"/>
  <c r="Q31" i="6"/>
  <c r="P31" i="6" s="1"/>
  <c r="M31" i="6"/>
  <c r="L31" i="6" s="1"/>
  <c r="K31" i="6" s="1"/>
  <c r="J31" i="6" s="1"/>
  <c r="G31" i="6"/>
  <c r="H31" i="6" s="1"/>
  <c r="V29" i="6"/>
  <c r="M29" i="6"/>
  <c r="L29" i="6" s="1"/>
  <c r="K29" i="6" s="1"/>
  <c r="J29" i="6" s="1"/>
  <c r="G29" i="6"/>
  <c r="H29" i="6" s="1"/>
  <c r="J27" i="6"/>
  <c r="H27" i="6"/>
  <c r="G25" i="6"/>
  <c r="H25" i="6" s="1"/>
  <c r="J21" i="6"/>
  <c r="H21" i="6"/>
  <c r="J19" i="6"/>
  <c r="H19" i="6"/>
  <c r="J17" i="6"/>
  <c r="H17" i="6"/>
  <c r="J15" i="6"/>
  <c r="H15" i="6"/>
  <c r="J13" i="6"/>
  <c r="H13" i="6"/>
  <c r="J11" i="6"/>
  <c r="H11" i="6"/>
  <c r="G9" i="6"/>
  <c r="J9" i="6" s="1"/>
  <c r="J7" i="6"/>
  <c r="H7" i="6"/>
  <c r="J5" i="6"/>
  <c r="H5" i="6"/>
  <c r="J3" i="6"/>
  <c r="H3" i="6"/>
  <c r="HA6" i="5"/>
  <c r="HA5" i="5"/>
  <c r="I3" i="5"/>
  <c r="I8" i="5" s="1"/>
  <c r="K4" i="7" s="1"/>
  <c r="H80" i="4"/>
  <c r="G80" i="4" s="1"/>
  <c r="J80" i="4" s="1"/>
  <c r="H79" i="4"/>
  <c r="G79" i="4" s="1"/>
  <c r="J79" i="4" s="1"/>
  <c r="HA78" i="4"/>
  <c r="J77" i="4"/>
  <c r="H77" i="4"/>
  <c r="HA76" i="4"/>
  <c r="J75" i="4"/>
  <c r="H75" i="4"/>
  <c r="HA74" i="4"/>
  <c r="J73" i="4"/>
  <c r="H73" i="4"/>
  <c r="HA72" i="4"/>
  <c r="HB71" i="4"/>
  <c r="J71" i="4"/>
  <c r="H71" i="4"/>
  <c r="HA70" i="4"/>
  <c r="HB69" i="4"/>
  <c r="J69" i="4"/>
  <c r="H69" i="4"/>
  <c r="J67" i="4"/>
  <c r="H67" i="4"/>
  <c r="J65" i="4"/>
  <c r="H65" i="4"/>
  <c r="O63" i="4"/>
  <c r="J63" i="4"/>
  <c r="G63" i="4"/>
  <c r="H63" i="4" s="1"/>
  <c r="G61" i="4"/>
  <c r="J61" i="4" s="1"/>
  <c r="G59" i="4"/>
  <c r="H59" i="4" s="1"/>
  <c r="J57" i="4"/>
  <c r="H57" i="4"/>
  <c r="J55" i="4"/>
  <c r="H55" i="4"/>
  <c r="J53" i="4"/>
  <c r="H53" i="4"/>
  <c r="J51" i="4"/>
  <c r="H51" i="4"/>
  <c r="G49" i="4"/>
  <c r="H49" i="4" s="1"/>
  <c r="J47" i="4"/>
  <c r="H47" i="4"/>
  <c r="J45" i="4"/>
  <c r="H45" i="4"/>
  <c r="J43" i="4"/>
  <c r="H43" i="4"/>
  <c r="K41" i="4"/>
  <c r="G41" i="4"/>
  <c r="H41" i="4" s="1"/>
  <c r="L39" i="4"/>
  <c r="M39" i="4" s="1"/>
  <c r="N39" i="4" s="1"/>
  <c r="O39" i="4" s="1"/>
  <c r="P39" i="4" s="1"/>
  <c r="Q39" i="4" s="1"/>
  <c r="R39" i="4" s="1"/>
  <c r="S39" i="4" s="1"/>
  <c r="T39" i="4" s="1"/>
  <c r="U39" i="4" s="1"/>
  <c r="J39" i="4"/>
  <c r="G39" i="4"/>
  <c r="H39" i="4" s="1"/>
  <c r="G37" i="4"/>
  <c r="H37" i="4" s="1"/>
  <c r="J35" i="4"/>
  <c r="H35" i="4"/>
  <c r="J33" i="4"/>
  <c r="H33" i="4"/>
  <c r="J31" i="4"/>
  <c r="H31" i="4"/>
  <c r="J29" i="4"/>
  <c r="H29" i="4"/>
  <c r="G29" i="4" s="1"/>
  <c r="J27" i="4"/>
  <c r="H27" i="4"/>
  <c r="K25" i="4"/>
  <c r="H25" i="4"/>
  <c r="H23" i="4"/>
  <c r="G23" i="4" s="1"/>
  <c r="J21" i="4"/>
  <c r="H21" i="4"/>
  <c r="V19" i="4"/>
  <c r="J19" i="4"/>
  <c r="G19" i="4"/>
  <c r="H19" i="4" s="1"/>
  <c r="J17" i="4"/>
  <c r="G17" i="4"/>
  <c r="H17" i="4" s="1"/>
  <c r="J15" i="4"/>
  <c r="G15" i="4"/>
  <c r="H15" i="4" s="1"/>
  <c r="J13" i="4"/>
  <c r="G13" i="4"/>
  <c r="H13" i="4" s="1"/>
  <c r="P11" i="4"/>
  <c r="Q11" i="4" s="1"/>
  <c r="R11" i="4" s="1"/>
  <c r="S11" i="4" s="1"/>
  <c r="T11" i="4" s="1"/>
  <c r="U11" i="4" s="1"/>
  <c r="V11" i="4" s="1"/>
  <c r="W11" i="4" s="1"/>
  <c r="X11" i="4" s="1"/>
  <c r="Y11" i="4" s="1"/>
  <c r="L11" i="4"/>
  <c r="M11" i="4" s="1"/>
  <c r="N11" i="4" s="1"/>
  <c r="O11" i="4" s="1"/>
  <c r="J11" i="4"/>
  <c r="G11" i="4"/>
  <c r="H11" i="4" s="1"/>
  <c r="M9" i="4"/>
  <c r="N9" i="4" s="1"/>
  <c r="O9" i="4" s="1"/>
  <c r="P9" i="4" s="1"/>
  <c r="Q9" i="4" s="1"/>
  <c r="R9" i="4" s="1"/>
  <c r="S9" i="4" s="1"/>
  <c r="T9" i="4" s="1"/>
  <c r="U9" i="4" s="1"/>
  <c r="J9" i="4"/>
  <c r="G9" i="4"/>
  <c r="H9" i="4" s="1"/>
  <c r="J7" i="4"/>
  <c r="H7" i="4"/>
  <c r="G7" i="4" s="1"/>
  <c r="H5" i="4"/>
  <c r="G5" i="4" s="1"/>
  <c r="J3" i="4"/>
  <c r="H3" i="4"/>
  <c r="CL72" i="1" l="1"/>
  <c r="CM72" i="1" s="1"/>
  <c r="CN72" i="1" s="1"/>
  <c r="CO72" i="1" s="1"/>
  <c r="P267" i="6"/>
  <c r="Q267" i="6" s="1"/>
  <c r="R267" i="6" s="1"/>
  <c r="S267" i="6" s="1"/>
  <c r="T267" i="6" s="1"/>
  <c r="U267" i="6" s="1"/>
  <c r="P271" i="6"/>
  <c r="Q271" i="6" s="1"/>
  <c r="R271" i="6" s="1"/>
  <c r="S271" i="6" s="1"/>
  <c r="T271" i="6" s="1"/>
  <c r="U271" i="6" s="1"/>
  <c r="P348" i="6"/>
  <c r="O348" i="6" s="1"/>
  <c r="N348" i="6" s="1"/>
  <c r="M348" i="6" s="1"/>
  <c r="L348" i="6" s="1"/>
  <c r="P364" i="6"/>
  <c r="Q364" i="6" s="1"/>
  <c r="R364" i="6" s="1"/>
  <c r="S364" i="6" s="1"/>
  <c r="T364" i="6" s="1"/>
  <c r="U364" i="6" s="1"/>
  <c r="V9" i="4"/>
  <c r="W9" i="4" s="1"/>
  <c r="X9" i="4" s="1"/>
  <c r="Y9" i="4" s="1"/>
  <c r="Z9" i="4" s="1"/>
  <c r="AA9" i="4" s="1"/>
  <c r="AB9" i="4" s="1"/>
  <c r="AC9" i="4" s="1"/>
  <c r="AD9" i="4" s="1"/>
  <c r="AE9" i="4" s="1"/>
  <c r="AF9" i="4" s="1"/>
  <c r="AG9" i="4" s="1"/>
  <c r="AH9" i="4" s="1"/>
  <c r="AI9" i="4" s="1"/>
  <c r="AJ9" i="4" s="1"/>
  <c r="AK9" i="4" s="1"/>
  <c r="AL9" i="4" s="1"/>
  <c r="AM9" i="4" s="1"/>
  <c r="AN9" i="4" s="1"/>
  <c r="AO9" i="4" s="1"/>
  <c r="AP9" i="4" s="1"/>
  <c r="AQ9" i="4" s="1"/>
  <c r="AR9" i="4" s="1"/>
  <c r="AS9" i="4" s="1"/>
  <c r="AT9" i="4" s="1"/>
  <c r="AU9" i="4" s="1"/>
  <c r="AV9" i="4" s="1"/>
  <c r="AW9" i="4" s="1"/>
  <c r="AX9" i="4" s="1"/>
  <c r="AY9" i="4" s="1"/>
  <c r="AZ9" i="4" s="1"/>
  <c r="BA9" i="4" s="1"/>
  <c r="BB9" i="4" s="1"/>
  <c r="BC9" i="4" s="1"/>
  <c r="BD9" i="4" s="1"/>
  <c r="BE9" i="4" s="1"/>
  <c r="BF9" i="4" s="1"/>
  <c r="BG9" i="4" s="1"/>
  <c r="BH9" i="4" s="1"/>
  <c r="BI9" i="4" s="1"/>
  <c r="BJ9" i="4" s="1"/>
  <c r="BK9" i="4" s="1"/>
  <c r="BL9" i="4" s="1"/>
  <c r="BM9" i="4" s="1"/>
  <c r="BN9" i="4" s="1"/>
  <c r="BO9" i="4" s="1"/>
  <c r="BP9" i="4" s="1"/>
  <c r="BQ9" i="4" s="1"/>
  <c r="BR9" i="4" s="1"/>
  <c r="BS9" i="4" s="1"/>
  <c r="BT9" i="4" s="1"/>
  <c r="BU9" i="4" s="1"/>
  <c r="BV9" i="4" s="1"/>
  <c r="BW9" i="4" s="1"/>
  <c r="BX9" i="4" s="1"/>
  <c r="BY9" i="4" s="1"/>
  <c r="BZ9" i="4" s="1"/>
  <c r="CA9" i="4" s="1"/>
  <c r="CB9" i="4" s="1"/>
  <c r="CC9" i="4" s="1"/>
  <c r="CD9" i="4" s="1"/>
  <c r="CE9" i="4" s="1"/>
  <c r="CF9" i="4" s="1"/>
  <c r="CG9" i="4" s="1"/>
  <c r="CH9" i="4" s="1"/>
  <c r="CI9" i="4" s="1"/>
  <c r="CJ9" i="4" s="1"/>
  <c r="CK9" i="4" s="1"/>
  <c r="CL9" i="4" s="1"/>
  <c r="CM9" i="4" s="1"/>
  <c r="CN9" i="4" s="1"/>
  <c r="CO9" i="4" s="1"/>
  <c r="Z11" i="4"/>
  <c r="AA11" i="4" s="1"/>
  <c r="AB11" i="4" s="1"/>
  <c r="AC11" i="4" s="1"/>
  <c r="AD11" i="4" s="1"/>
  <c r="AE11" i="4" s="1"/>
  <c r="AF11" i="4" s="1"/>
  <c r="AG11" i="4" s="1"/>
  <c r="AH11" i="4" s="1"/>
  <c r="AI11" i="4" s="1"/>
  <c r="AJ11" i="4" s="1"/>
  <c r="AK11" i="4" s="1"/>
  <c r="AL11" i="4" s="1"/>
  <c r="AM11" i="4" s="1"/>
  <c r="AN11" i="4" s="1"/>
  <c r="AO11" i="4" s="1"/>
  <c r="AP11" i="4" s="1"/>
  <c r="AQ11" i="4" s="1"/>
  <c r="AR11" i="4" s="1"/>
  <c r="AS11" i="4" s="1"/>
  <c r="AT11" i="4" s="1"/>
  <c r="AU11" i="4" s="1"/>
  <c r="AV11" i="4" s="1"/>
  <c r="AW11" i="4" s="1"/>
  <c r="AX11" i="4" s="1"/>
  <c r="AY11" i="4" s="1"/>
  <c r="AZ11" i="4" s="1"/>
  <c r="BA11" i="4" s="1"/>
  <c r="BB11" i="4" s="1"/>
  <c r="BC11" i="4" s="1"/>
  <c r="BD11" i="4" s="1"/>
  <c r="BE11" i="4" s="1"/>
  <c r="BF11" i="4" s="1"/>
  <c r="BG11" i="4" s="1"/>
  <c r="BH11" i="4" s="1"/>
  <c r="BI11" i="4" s="1"/>
  <c r="BJ11" i="4" s="1"/>
  <c r="BK11" i="4" s="1"/>
  <c r="BL11" i="4" s="1"/>
  <c r="BM11" i="4" s="1"/>
  <c r="BN11" i="4" s="1"/>
  <c r="BO11" i="4" s="1"/>
  <c r="BP11" i="4" s="1"/>
  <c r="BQ11" i="4" s="1"/>
  <c r="BR11" i="4" s="1"/>
  <c r="BS11" i="4" s="1"/>
  <c r="BT11" i="4" s="1"/>
  <c r="BU11" i="4" s="1"/>
  <c r="BV11" i="4" s="1"/>
  <c r="BW11" i="4" s="1"/>
  <c r="BX11" i="4" s="1"/>
  <c r="BY11" i="4" s="1"/>
  <c r="BZ11" i="4" s="1"/>
  <c r="CA11" i="4" s="1"/>
  <c r="CB11" i="4" s="1"/>
  <c r="CC11" i="4" s="1"/>
  <c r="CD11" i="4" s="1"/>
  <c r="CE11" i="4" s="1"/>
  <c r="CF11" i="4" s="1"/>
  <c r="CG11" i="4" s="1"/>
  <c r="CH11" i="4" s="1"/>
  <c r="CI11" i="4" s="1"/>
  <c r="CJ11" i="4" s="1"/>
  <c r="CK11" i="4" s="1"/>
  <c r="CL11" i="4" s="1"/>
  <c r="CM11" i="4" s="1"/>
  <c r="CN11" i="4" s="1"/>
  <c r="CO11" i="4" s="1"/>
  <c r="V39" i="4"/>
  <c r="W39" i="4" s="1"/>
  <c r="X39" i="4" s="1"/>
  <c r="Y39" i="4" s="1"/>
  <c r="B40" i="8"/>
  <c r="C38" i="8" s="1"/>
  <c r="H35" i="11"/>
  <c r="H36" i="11" s="1"/>
  <c r="I34" i="11" s="1"/>
  <c r="I35" i="11" s="1"/>
  <c r="I36" i="11" s="1"/>
  <c r="K11" i="4"/>
  <c r="K13" i="4"/>
  <c r="L13" i="4" s="1"/>
  <c r="M13" i="4" s="1"/>
  <c r="N13" i="4" s="1"/>
  <c r="O13" i="4" s="1"/>
  <c r="P13" i="4" s="1"/>
  <c r="Q13" i="4" s="1"/>
  <c r="K17" i="4"/>
  <c r="L17" i="4" s="1"/>
  <c r="M17" i="4" s="1"/>
  <c r="N17" i="4" s="1"/>
  <c r="O17" i="4" s="1"/>
  <c r="P17" i="4" s="1"/>
  <c r="Q17" i="4" s="1"/>
  <c r="K19" i="4"/>
  <c r="L19" i="4" s="1"/>
  <c r="M19" i="4" s="1"/>
  <c r="L25" i="4"/>
  <c r="M25" i="4" s="1"/>
  <c r="N25" i="4" s="1"/>
  <c r="O25" i="4" s="1"/>
  <c r="P25" i="4" s="1"/>
  <c r="Q25" i="4" s="1"/>
  <c r="K27" i="4"/>
  <c r="L27" i="4" s="1"/>
  <c r="M27" i="4" s="1"/>
  <c r="N27" i="4" s="1"/>
  <c r="O27" i="4" s="1"/>
  <c r="P27" i="4" s="1"/>
  <c r="Q27" i="4" s="1"/>
  <c r="K29" i="4"/>
  <c r="L29" i="4" s="1"/>
  <c r="M29" i="4" s="1"/>
  <c r="N29" i="4" s="1"/>
  <c r="O29" i="4" s="1"/>
  <c r="P29" i="4" s="1"/>
  <c r="Q29" i="4" s="1"/>
  <c r="K31" i="4"/>
  <c r="L31" i="4" s="1"/>
  <c r="M31" i="4" s="1"/>
  <c r="N31" i="4" s="1"/>
  <c r="O31" i="4" s="1"/>
  <c r="P31" i="4" s="1"/>
  <c r="Q31" i="4" s="1"/>
  <c r="K33" i="4"/>
  <c r="L33" i="4" s="1"/>
  <c r="M33" i="4" s="1"/>
  <c r="N33" i="4" s="1"/>
  <c r="O33" i="4" s="1"/>
  <c r="P33" i="4" s="1"/>
  <c r="Q33" i="4" s="1"/>
  <c r="R33" i="4" s="1"/>
  <c r="S33" i="4" s="1"/>
  <c r="T33" i="4" s="1"/>
  <c r="U33" i="4" s="1"/>
  <c r="K35" i="4"/>
  <c r="L35" i="4" s="1"/>
  <c r="M35" i="4" s="1"/>
  <c r="N35" i="4" s="1"/>
  <c r="O35" i="4" s="1"/>
  <c r="P35" i="4" s="1"/>
  <c r="Q35" i="4" s="1"/>
  <c r="J41" i="4"/>
  <c r="L41" i="4"/>
  <c r="M41" i="4" s="1"/>
  <c r="N41" i="4" s="1"/>
  <c r="O41" i="4" s="1"/>
  <c r="P41" i="4" s="1"/>
  <c r="Q41" i="4" s="1"/>
  <c r="K43" i="4"/>
  <c r="L43" i="4" s="1"/>
  <c r="M43" i="4" s="1"/>
  <c r="N43" i="4" s="1"/>
  <c r="O43" i="4" s="1"/>
  <c r="P43" i="4" s="1"/>
  <c r="Q43" i="4" s="1"/>
  <c r="K45" i="4"/>
  <c r="L45" i="4" s="1"/>
  <c r="M45" i="4" s="1"/>
  <c r="N45" i="4" s="1"/>
  <c r="O45" i="4" s="1"/>
  <c r="P45" i="4" s="1"/>
  <c r="Q45" i="4" s="1"/>
  <c r="R45" i="4" s="1"/>
  <c r="S45" i="4" s="1"/>
  <c r="T45" i="4" s="1"/>
  <c r="U45" i="4" s="1"/>
  <c r="K47" i="4"/>
  <c r="L47" i="4" s="1"/>
  <c r="M47" i="4" s="1"/>
  <c r="N47" i="4" s="1"/>
  <c r="O47" i="4" s="1"/>
  <c r="P47" i="4" s="1"/>
  <c r="Q47" i="4" s="1"/>
  <c r="N63" i="4"/>
  <c r="M63" i="4" s="1"/>
  <c r="L63" i="4" s="1"/>
  <c r="P63" i="4"/>
  <c r="Q63" i="4" s="1"/>
  <c r="R63" i="4" s="1"/>
  <c r="S63" i="4" s="1"/>
  <c r="T63" i="4" s="1"/>
  <c r="U63" i="4" s="1"/>
  <c r="K65" i="4"/>
  <c r="L65" i="4" s="1"/>
  <c r="M65" i="4" s="1"/>
  <c r="N65" i="4" s="1"/>
  <c r="O65" i="4" s="1"/>
  <c r="P65" i="4" s="1"/>
  <c r="Q65" i="4" s="1"/>
  <c r="K67" i="4"/>
  <c r="L67" i="4" s="1"/>
  <c r="M67" i="4" s="1"/>
  <c r="N67" i="4" s="1"/>
  <c r="O67" i="4" s="1"/>
  <c r="P67" i="4" s="1"/>
  <c r="Q67" i="4" s="1"/>
  <c r="K69" i="4"/>
  <c r="L69" i="4" s="1"/>
  <c r="M69" i="4" s="1"/>
  <c r="N69" i="4" s="1"/>
  <c r="O69" i="4" s="1"/>
  <c r="P69" i="4" s="1"/>
  <c r="Q69" i="4" s="1"/>
  <c r="K71" i="4"/>
  <c r="L71" i="4" s="1"/>
  <c r="M71" i="4" s="1"/>
  <c r="N71" i="4" s="1"/>
  <c r="O71" i="4" s="1"/>
  <c r="K73" i="4"/>
  <c r="L73" i="4" s="1"/>
  <c r="M73" i="4" s="1"/>
  <c r="N73" i="4" s="1"/>
  <c r="O73" i="4" s="1"/>
  <c r="P73" i="4" s="1"/>
  <c r="Q73" i="4" s="1"/>
  <c r="K77" i="4"/>
  <c r="L77" i="4" s="1"/>
  <c r="M77" i="4" s="1"/>
  <c r="N77" i="4" s="1"/>
  <c r="O77" i="4" s="1"/>
  <c r="P77" i="4" s="1"/>
  <c r="Q77" i="4" s="1"/>
  <c r="K79" i="4"/>
  <c r="L79" i="4" s="1"/>
  <c r="M79" i="4" s="1"/>
  <c r="N79" i="4" s="1"/>
  <c r="O79" i="4" s="1"/>
  <c r="P79" i="4" s="1"/>
  <c r="Q79" i="4" s="1"/>
  <c r="K7" i="4"/>
  <c r="L7" i="4" s="1"/>
  <c r="M7" i="4" s="1"/>
  <c r="N7" i="4" s="1"/>
  <c r="O7" i="4" s="1"/>
  <c r="P7" i="4" s="1"/>
  <c r="Q7" i="4" s="1"/>
  <c r="K9" i="4"/>
  <c r="L9" i="4" s="1"/>
  <c r="U19" i="4"/>
  <c r="T19" i="4" s="1"/>
  <c r="S19" i="4" s="1"/>
  <c r="R19" i="4" s="1"/>
  <c r="Q19" i="4" s="1"/>
  <c r="P19" i="4" s="1"/>
  <c r="O19" i="4" s="1"/>
  <c r="N19" i="4" s="1"/>
  <c r="W19" i="4"/>
  <c r="X19" i="4" s="1"/>
  <c r="Y19" i="4" s="1"/>
  <c r="Z19" i="4" s="1"/>
  <c r="AA19" i="4" s="1"/>
  <c r="AB19" i="4" s="1"/>
  <c r="AC19" i="4" s="1"/>
  <c r="K21" i="4"/>
  <c r="L21" i="4" s="1"/>
  <c r="M21" i="4" s="1"/>
  <c r="N21" i="4" s="1"/>
  <c r="O21" i="4" s="1"/>
  <c r="P21" i="4" s="1"/>
  <c r="Q21" i="4" s="1"/>
  <c r="R21" i="4" s="1"/>
  <c r="S21" i="4" s="1"/>
  <c r="T21" i="4" s="1"/>
  <c r="U21" i="4" s="1"/>
  <c r="V21" i="4" s="1"/>
  <c r="W21" i="4" s="1"/>
  <c r="X21" i="4" s="1"/>
  <c r="Y21" i="4" s="1"/>
  <c r="Z21" i="4" s="1"/>
  <c r="K39" i="4"/>
  <c r="K51" i="4"/>
  <c r="L51" i="4" s="1"/>
  <c r="M51" i="4" s="1"/>
  <c r="N51" i="4" s="1"/>
  <c r="O51" i="4" s="1"/>
  <c r="P51" i="4" s="1"/>
  <c r="Q51" i="4" s="1"/>
  <c r="K53" i="4"/>
  <c r="L53" i="4" s="1"/>
  <c r="M53" i="4" s="1"/>
  <c r="N53" i="4" s="1"/>
  <c r="O53" i="4" s="1"/>
  <c r="P53" i="4" s="1"/>
  <c r="Q53" i="4" s="1"/>
  <c r="K55" i="4"/>
  <c r="L55" i="4" s="1"/>
  <c r="M55" i="4" s="1"/>
  <c r="N55" i="4" s="1"/>
  <c r="O55" i="4" s="1"/>
  <c r="P55" i="4" s="1"/>
  <c r="Q55" i="4" s="1"/>
  <c r="K57" i="4"/>
  <c r="L57" i="4" s="1"/>
  <c r="M57" i="4" s="1"/>
  <c r="N57" i="4" s="1"/>
  <c r="O57" i="4" s="1"/>
  <c r="P57" i="4" s="1"/>
  <c r="Q57" i="4" s="1"/>
  <c r="K63" i="4"/>
  <c r="K75" i="4"/>
  <c r="L75" i="4" s="1"/>
  <c r="M75" i="4" s="1"/>
  <c r="N75" i="4" s="1"/>
  <c r="O75" i="4" s="1"/>
  <c r="P75" i="4" s="1"/>
  <c r="Q75" i="4" s="1"/>
  <c r="K80" i="4"/>
  <c r="L80" i="4" s="1"/>
  <c r="M80" i="4" s="1"/>
  <c r="N80" i="4" s="1"/>
  <c r="O80" i="4" s="1"/>
  <c r="P80" i="4" s="1"/>
  <c r="Q80" i="4" s="1"/>
  <c r="K120" i="6"/>
  <c r="L120" i="6" s="1"/>
  <c r="M120" i="6" s="1"/>
  <c r="N120" i="6" s="1"/>
  <c r="W144" i="6"/>
  <c r="V144" i="6" s="1"/>
  <c r="U144" i="6" s="1"/>
  <c r="T144" i="6" s="1"/>
  <c r="S144" i="6" s="1"/>
  <c r="R144" i="6" s="1"/>
  <c r="Q144" i="6" s="1"/>
  <c r="Y144" i="6"/>
  <c r="Z144" i="6" s="1"/>
  <c r="AA144" i="6" s="1"/>
  <c r="AB144" i="6" s="1"/>
  <c r="AC144" i="6" s="1"/>
  <c r="K65" i="6"/>
  <c r="L65" i="6" s="1"/>
  <c r="M65" i="6" s="1"/>
  <c r="N65" i="6" s="1"/>
  <c r="K92" i="6"/>
  <c r="L92" i="6" s="1"/>
  <c r="M92" i="6" s="1"/>
  <c r="N92" i="6" s="1"/>
  <c r="O92" i="6" s="1"/>
  <c r="K96" i="6"/>
  <c r="L96" i="6" s="1"/>
  <c r="M96" i="6" s="1"/>
  <c r="N96" i="6" s="1"/>
  <c r="O191" i="6"/>
  <c r="N191" i="6" s="1"/>
  <c r="M191" i="6" s="1"/>
  <c r="Q191" i="6"/>
  <c r="R191" i="6" s="1"/>
  <c r="L193" i="6"/>
  <c r="K193" i="6" s="1"/>
  <c r="J193" i="6" s="1"/>
  <c r="N193" i="6"/>
  <c r="M207" i="6"/>
  <c r="L207" i="6" s="1"/>
  <c r="K207" i="6" s="1"/>
  <c r="O207" i="6"/>
  <c r="K281" i="6"/>
  <c r="L281" i="6" s="1"/>
  <c r="M281" i="6" s="1"/>
  <c r="N281" i="6" s="1"/>
  <c r="K283" i="6"/>
  <c r="L283" i="6" s="1"/>
  <c r="M283" i="6" s="1"/>
  <c r="N283" i="6" s="1"/>
  <c r="K285" i="6"/>
  <c r="L285" i="6" s="1"/>
  <c r="M285" i="6" s="1"/>
  <c r="N285" i="6" s="1"/>
  <c r="M350" i="6"/>
  <c r="L350" i="6" s="1"/>
  <c r="K350" i="6" s="1"/>
  <c r="O350" i="6"/>
  <c r="K124" i="6"/>
  <c r="L124" i="6" s="1"/>
  <c r="M124" i="6" s="1"/>
  <c r="N124" i="6" s="1"/>
  <c r="R146" i="6"/>
  <c r="Q146" i="6" s="1"/>
  <c r="P146" i="6" s="1"/>
  <c r="T146" i="6"/>
  <c r="U146" i="6" s="1"/>
  <c r="V146" i="6" s="1"/>
  <c r="R148" i="6"/>
  <c r="Q148" i="6" s="1"/>
  <c r="P148" i="6" s="1"/>
  <c r="T148" i="6"/>
  <c r="U148" i="6" s="1"/>
  <c r="V148" i="6" s="1"/>
  <c r="K158" i="6"/>
  <c r="L158" i="6" s="1"/>
  <c r="M158" i="6" s="1"/>
  <c r="N158" i="6" s="1"/>
  <c r="R183" i="6"/>
  <c r="Q183" i="6" s="1"/>
  <c r="P183" i="6" s="1"/>
  <c r="T183" i="6"/>
  <c r="U183" i="6" s="1"/>
  <c r="V183" i="6" s="1"/>
  <c r="S185" i="6"/>
  <c r="R185" i="6" s="1"/>
  <c r="Q185" i="6" s="1"/>
  <c r="U185" i="6"/>
  <c r="V185" i="6" s="1"/>
  <c r="S187" i="6"/>
  <c r="R187" i="6" s="1"/>
  <c r="Q187" i="6" s="1"/>
  <c r="U187" i="6"/>
  <c r="V187" i="6" s="1"/>
  <c r="S189" i="6"/>
  <c r="R189" i="6" s="1"/>
  <c r="Q189" i="6" s="1"/>
  <c r="U189" i="6"/>
  <c r="V189" i="6" s="1"/>
  <c r="O195" i="6"/>
  <c r="N195" i="6" s="1"/>
  <c r="M195" i="6" s="1"/>
  <c r="Q195" i="6"/>
  <c r="R195" i="6" s="1"/>
  <c r="K197" i="6"/>
  <c r="L197" i="6" s="1"/>
  <c r="M197" i="6" s="1"/>
  <c r="N197" i="6" s="1"/>
  <c r="V205" i="6"/>
  <c r="U205" i="6" s="1"/>
  <c r="T205" i="6" s="1"/>
  <c r="X205" i="6"/>
  <c r="Y205" i="6" s="1"/>
  <c r="Z205" i="6" s="1"/>
  <c r="O211" i="6"/>
  <c r="N211" i="6" s="1"/>
  <c r="M211" i="6" s="1"/>
  <c r="Q211" i="6"/>
  <c r="R211" i="6" s="1"/>
  <c r="K219" i="6"/>
  <c r="L219" i="6" s="1"/>
  <c r="M219" i="6" s="1"/>
  <c r="N219" i="6" s="1"/>
  <c r="K227" i="6"/>
  <c r="L227" i="6" s="1"/>
  <c r="M227" i="6" s="1"/>
  <c r="N227" i="6" s="1"/>
  <c r="K241" i="6"/>
  <c r="L241" i="6" s="1"/>
  <c r="M241" i="6" s="1"/>
  <c r="N241" i="6" s="1"/>
  <c r="AH348" i="6"/>
  <c r="AG348" i="6" s="1"/>
  <c r="AF348" i="6" s="1"/>
  <c r="AE348" i="6" s="1"/>
  <c r="AD348" i="6" s="1"/>
  <c r="AC348" i="6" s="1"/>
  <c r="AB348" i="6" s="1"/>
  <c r="AJ348" i="6"/>
  <c r="AK348" i="6" s="1"/>
  <c r="Q356" i="6"/>
  <c r="S356" i="6"/>
  <c r="T356" i="6" s="1"/>
  <c r="U356" i="6" s="1"/>
  <c r="V356" i="6" s="1"/>
  <c r="W356" i="6" s="1"/>
  <c r="X356" i="6" s="1"/>
  <c r="Y356" i="6" s="1"/>
  <c r="V358" i="6"/>
  <c r="U358" i="6" s="1"/>
  <c r="T358" i="6" s="1"/>
  <c r="S358" i="6" s="1"/>
  <c r="R358" i="6" s="1"/>
  <c r="Q358" i="6" s="1"/>
  <c r="P358" i="6" s="1"/>
  <c r="X358" i="6"/>
  <c r="Y358" i="6" s="1"/>
  <c r="Z358" i="6" s="1"/>
  <c r="AA358" i="6" s="1"/>
  <c r="AB358" i="6" s="1"/>
  <c r="AC358" i="6" s="1"/>
  <c r="K3" i="6"/>
  <c r="K7" i="6"/>
  <c r="L7" i="6" s="1"/>
  <c r="M7" i="6" s="1"/>
  <c r="N7" i="6" s="1"/>
  <c r="K27" i="6"/>
  <c r="O31" i="6"/>
  <c r="N31" i="6" s="1"/>
  <c r="R31" i="6"/>
  <c r="K33" i="6"/>
  <c r="L35" i="6"/>
  <c r="K35" i="6" s="1"/>
  <c r="J35" i="6" s="1"/>
  <c r="N35" i="6"/>
  <c r="L37" i="6"/>
  <c r="K37" i="6" s="1"/>
  <c r="J37" i="6" s="1"/>
  <c r="N37" i="6"/>
  <c r="K41" i="6"/>
  <c r="L41" i="6" s="1"/>
  <c r="M41" i="6" s="1"/>
  <c r="N41" i="6" s="1"/>
  <c r="K43" i="6"/>
  <c r="L43" i="6" s="1"/>
  <c r="M43" i="6" s="1"/>
  <c r="N43" i="6" s="1"/>
  <c r="K51" i="6"/>
  <c r="L51" i="6" s="1"/>
  <c r="M51" i="6" s="1"/>
  <c r="N51" i="6" s="1"/>
  <c r="K53" i="6"/>
  <c r="L53" i="6" s="1"/>
  <c r="M53" i="6" s="1"/>
  <c r="N53" i="6" s="1"/>
  <c r="K61" i="6"/>
  <c r="K69" i="6"/>
  <c r="K94" i="6"/>
  <c r="K126" i="6"/>
  <c r="L126" i="6" s="1"/>
  <c r="M126" i="6" s="1"/>
  <c r="N126" i="6" s="1"/>
  <c r="K130" i="6"/>
  <c r="K132" i="6"/>
  <c r="L132" i="6" s="1"/>
  <c r="M132" i="6" s="1"/>
  <c r="N132" i="6" s="1"/>
  <c r="K134" i="6"/>
  <c r="L134" i="6" s="1"/>
  <c r="M134" i="6" s="1"/>
  <c r="N134" i="6" s="1"/>
  <c r="K209" i="6"/>
  <c r="K265" i="6"/>
  <c r="L265" i="6" s="1"/>
  <c r="M265" i="6" s="1"/>
  <c r="N265" i="6" s="1"/>
  <c r="O265" i="6" s="1"/>
  <c r="K271" i="6"/>
  <c r="L271" i="6" s="1"/>
  <c r="K279" i="6"/>
  <c r="L279" i="6" s="1"/>
  <c r="M279" i="6" s="1"/>
  <c r="N279" i="6" s="1"/>
  <c r="K289" i="6"/>
  <c r="K291" i="6"/>
  <c r="K299" i="6"/>
  <c r="L299" i="6" s="1"/>
  <c r="M299" i="6" s="1"/>
  <c r="N299" i="6" s="1"/>
  <c r="K303" i="6"/>
  <c r="L303" i="6" s="1"/>
  <c r="M303" i="6" s="1"/>
  <c r="N303" i="6" s="1"/>
  <c r="K346" i="6"/>
  <c r="L346" i="6" s="1"/>
  <c r="M346" i="6" s="1"/>
  <c r="N346" i="6" s="1"/>
  <c r="K354" i="6"/>
  <c r="K11" i="6"/>
  <c r="L11" i="6" s="1"/>
  <c r="M11" i="6" s="1"/>
  <c r="N11" i="6" s="1"/>
  <c r="K13" i="6"/>
  <c r="L13" i="6" s="1"/>
  <c r="M13" i="6" s="1"/>
  <c r="N13" i="6" s="1"/>
  <c r="K15" i="6"/>
  <c r="L15" i="6" s="1"/>
  <c r="M15" i="6" s="1"/>
  <c r="N15" i="6" s="1"/>
  <c r="K17" i="6"/>
  <c r="L17" i="6" s="1"/>
  <c r="M17" i="6" s="1"/>
  <c r="N17" i="6" s="1"/>
  <c r="K19" i="6"/>
  <c r="L19" i="6" s="1"/>
  <c r="M19" i="6" s="1"/>
  <c r="N19" i="6" s="1"/>
  <c r="K21" i="6"/>
  <c r="L21" i="6" s="1"/>
  <c r="M21" i="6" s="1"/>
  <c r="N21" i="6" s="1"/>
  <c r="U29" i="6"/>
  <c r="T29" i="6" s="1"/>
  <c r="S29" i="6" s="1"/>
  <c r="R29" i="6" s="1"/>
  <c r="Q29" i="6" s="1"/>
  <c r="P29" i="6" s="1"/>
  <c r="O29" i="6" s="1"/>
  <c r="W29" i="6"/>
  <c r="X29" i="6" s="1"/>
  <c r="Y29" i="6" s="1"/>
  <c r="Z29" i="6" s="1"/>
  <c r="AA29" i="6" s="1"/>
  <c r="AB29" i="6" s="1"/>
  <c r="AC29" i="6" s="1"/>
  <c r="U45" i="6"/>
  <c r="T45" i="6" s="1"/>
  <c r="S45" i="6" s="1"/>
  <c r="R45" i="6" s="1"/>
  <c r="Q45" i="6" s="1"/>
  <c r="W45" i="6"/>
  <c r="X45" i="6" s="1"/>
  <c r="Y45" i="6" s="1"/>
  <c r="Z45" i="6" s="1"/>
  <c r="AA45" i="6" s="1"/>
  <c r="AB45" i="6" s="1"/>
  <c r="AC45" i="6" s="1"/>
  <c r="K47" i="6"/>
  <c r="L47" i="6" s="1"/>
  <c r="M47" i="6" s="1"/>
  <c r="N47" i="6" s="1"/>
  <c r="K98" i="6"/>
  <c r="L98" i="6" s="1"/>
  <c r="M98" i="6" s="1"/>
  <c r="N98" i="6" s="1"/>
  <c r="K104" i="6"/>
  <c r="L104" i="6" s="1"/>
  <c r="M104" i="6" s="1"/>
  <c r="N104" i="6" s="1"/>
  <c r="K108" i="6"/>
  <c r="K110" i="6"/>
  <c r="K112" i="6"/>
  <c r="K114" i="6"/>
  <c r="K118" i="6"/>
  <c r="L118" i="6" s="1"/>
  <c r="M118" i="6" s="1"/>
  <c r="N118" i="6" s="1"/>
  <c r="K122" i="6"/>
  <c r="K150" i="6"/>
  <c r="L150" i="6" s="1"/>
  <c r="M150" i="6" s="1"/>
  <c r="N150" i="6" s="1"/>
  <c r="K152" i="6"/>
  <c r="L152" i="6" s="1"/>
  <c r="M152" i="6" s="1"/>
  <c r="N152" i="6" s="1"/>
  <c r="K154" i="6"/>
  <c r="L154" i="6" s="1"/>
  <c r="M154" i="6" s="1"/>
  <c r="N154" i="6" s="1"/>
  <c r="K156" i="6"/>
  <c r="L156" i="6" s="1"/>
  <c r="M156" i="6" s="1"/>
  <c r="N156" i="6" s="1"/>
  <c r="K160" i="6"/>
  <c r="L160" i="6" s="1"/>
  <c r="M160" i="6" s="1"/>
  <c r="N160" i="6" s="1"/>
  <c r="K199" i="6"/>
  <c r="K201" i="6"/>
  <c r="K203" i="6"/>
  <c r="K213" i="6"/>
  <c r="L213" i="6" s="1"/>
  <c r="M213" i="6" s="1"/>
  <c r="N213" i="6" s="1"/>
  <c r="K215" i="6"/>
  <c r="K221" i="6"/>
  <c r="L221" i="6" s="1"/>
  <c r="M221" i="6" s="1"/>
  <c r="N221" i="6" s="1"/>
  <c r="K223" i="6"/>
  <c r="L223" i="6" s="1"/>
  <c r="M223" i="6" s="1"/>
  <c r="N223" i="6" s="1"/>
  <c r="K225" i="6"/>
  <c r="L225" i="6" s="1"/>
  <c r="M225" i="6" s="1"/>
  <c r="N225" i="6" s="1"/>
  <c r="K229" i="6"/>
  <c r="L229" i="6" s="1"/>
  <c r="K231" i="6"/>
  <c r="L231" i="6" s="1"/>
  <c r="M231" i="6" s="1"/>
  <c r="N231" i="6" s="1"/>
  <c r="K237" i="6"/>
  <c r="K239" i="6"/>
  <c r="K245" i="6"/>
  <c r="K247" i="6"/>
  <c r="K249" i="6"/>
  <c r="K269" i="6"/>
  <c r="L269" i="6" s="1"/>
  <c r="M269" i="6" s="1"/>
  <c r="K273" i="6"/>
  <c r="L273" i="6" s="1"/>
  <c r="M273" i="6" s="1"/>
  <c r="N273" i="6" s="1"/>
  <c r="K360" i="6"/>
  <c r="K362" i="6"/>
  <c r="L362" i="6" s="1"/>
  <c r="K364" i="6"/>
  <c r="H263" i="6"/>
  <c r="H55" i="6"/>
  <c r="H233" i="6"/>
  <c r="J25" i="6"/>
  <c r="J235" i="6"/>
  <c r="H271" i="6"/>
  <c r="J277" i="6"/>
  <c r="K5" i="6"/>
  <c r="L5" i="6" s="1"/>
  <c r="M5" i="6" s="1"/>
  <c r="N5" i="6" s="1"/>
  <c r="H9" i="6"/>
  <c r="H45" i="6"/>
  <c r="J57" i="6"/>
  <c r="K59" i="6"/>
  <c r="K100" i="6"/>
  <c r="K106" i="6"/>
  <c r="K128" i="6"/>
  <c r="L128" i="6" s="1"/>
  <c r="M128" i="6" s="1"/>
  <c r="N128" i="6" s="1"/>
  <c r="K3" i="5"/>
  <c r="Q3" i="4"/>
  <c r="H61" i="4"/>
  <c r="H82" i="4" s="1"/>
  <c r="G82" i="4" s="1"/>
  <c r="K3" i="4"/>
  <c r="K49" i="6"/>
  <c r="L49" i="6" s="1"/>
  <c r="M49" i="6" s="1"/>
  <c r="N49" i="6" s="1"/>
  <c r="K9" i="6"/>
  <c r="L9" i="6" s="1"/>
  <c r="M9" i="6" s="1"/>
  <c r="N9" i="6" s="1"/>
  <c r="K55" i="6"/>
  <c r="L55" i="6" s="1"/>
  <c r="M55" i="6" s="1"/>
  <c r="N55" i="6" s="1"/>
  <c r="K67" i="6"/>
  <c r="K102" i="6"/>
  <c r="L102" i="6" s="1"/>
  <c r="M102" i="6" s="1"/>
  <c r="N102" i="6" s="1"/>
  <c r="K116" i="6"/>
  <c r="K136" i="6"/>
  <c r="K140" i="6"/>
  <c r="K233" i="6"/>
  <c r="L233" i="6" s="1"/>
  <c r="M233" i="6" s="1"/>
  <c r="N233" i="6" s="1"/>
  <c r="K295" i="6"/>
  <c r="L295" i="6" s="1"/>
  <c r="M295" i="6" s="1"/>
  <c r="N295" i="6" s="1"/>
  <c r="K301" i="6"/>
  <c r="L301" i="6" s="1"/>
  <c r="M301" i="6" s="1"/>
  <c r="N301" i="6" s="1"/>
  <c r="K39" i="6"/>
  <c r="L39" i="6" s="1"/>
  <c r="M39" i="6" s="1"/>
  <c r="N39" i="6" s="1"/>
  <c r="K63" i="6"/>
  <c r="L63" i="6" s="1"/>
  <c r="M63" i="6" s="1"/>
  <c r="N63" i="6" s="1"/>
  <c r="K138" i="6"/>
  <c r="K142" i="6"/>
  <c r="L142" i="6" s="1"/>
  <c r="M142" i="6" s="1"/>
  <c r="K217" i="6"/>
  <c r="K267" i="6"/>
  <c r="L267" i="6" s="1"/>
  <c r="K275" i="6"/>
  <c r="L275" i="6" s="1"/>
  <c r="M275" i="6" s="1"/>
  <c r="N275" i="6" s="1"/>
  <c r="K297" i="6"/>
  <c r="M364" i="6"/>
  <c r="N364" i="6" s="1"/>
  <c r="K243" i="6"/>
  <c r="L243" i="6" s="1"/>
  <c r="M243" i="6" s="1"/>
  <c r="N243" i="6" s="1"/>
  <c r="K287" i="6"/>
  <c r="L287" i="6" s="1"/>
  <c r="M287" i="6" s="1"/>
  <c r="N287" i="6" s="1"/>
  <c r="K293" i="6"/>
  <c r="L293" i="6" s="1"/>
  <c r="J263" i="6"/>
  <c r="K15" i="4"/>
  <c r="L15" i="4" s="1"/>
  <c r="M15" i="4" s="1"/>
  <c r="N15" i="4" s="1"/>
  <c r="O15" i="4" s="1"/>
  <c r="P15" i="4" s="1"/>
  <c r="Q15" i="4" s="1"/>
  <c r="J37" i="4"/>
  <c r="J49" i="4"/>
  <c r="J59" i="4"/>
  <c r="K61" i="4"/>
  <c r="L61" i="4" s="1"/>
  <c r="M61" i="4" s="1"/>
  <c r="N61" i="4" s="1"/>
  <c r="O61" i="4" s="1"/>
  <c r="P61" i="4" s="1"/>
  <c r="Q61" i="4" s="1"/>
  <c r="P265" i="6" l="1"/>
  <c r="Q265" i="6" s="1"/>
  <c r="R265" i="6" s="1"/>
  <c r="S265" i="6" s="1"/>
  <c r="T265" i="6" s="1"/>
  <c r="U265" i="6" s="1"/>
  <c r="V265" i="6" s="1"/>
  <c r="W265" i="6" s="1"/>
  <c r="X265" i="6" s="1"/>
  <c r="Y265" i="6" s="1"/>
  <c r="Z265" i="6" s="1"/>
  <c r="AA265" i="6" s="1"/>
  <c r="AB265" i="6" s="1"/>
  <c r="AC265" i="6" s="1"/>
  <c r="AD265" i="6" s="1"/>
  <c r="AE265" i="6" s="1"/>
  <c r="AF265" i="6" s="1"/>
  <c r="AG265" i="6" s="1"/>
  <c r="AH265" i="6" s="1"/>
  <c r="AI265" i="6" s="1"/>
  <c r="AJ265" i="6" s="1"/>
  <c r="AK265" i="6" s="1"/>
  <c r="AL265" i="6" s="1"/>
  <c r="AM265" i="6" s="1"/>
  <c r="AN265" i="6" s="1"/>
  <c r="AO265" i="6" s="1"/>
  <c r="AP265" i="6" s="1"/>
  <c r="AQ265" i="6" s="1"/>
  <c r="AR265" i="6" s="1"/>
  <c r="AS265" i="6" s="1"/>
  <c r="AT265" i="6" s="1"/>
  <c r="AU265" i="6" s="1"/>
  <c r="AV265" i="6" s="1"/>
  <c r="AW265" i="6" s="1"/>
  <c r="AX265" i="6" s="1"/>
  <c r="AY265" i="6" s="1"/>
  <c r="AZ265" i="6" s="1"/>
  <c r="BA265" i="6" s="1"/>
  <c r="BB265" i="6" s="1"/>
  <c r="P45" i="6"/>
  <c r="O45" i="6" s="1"/>
  <c r="N45" i="6" s="1"/>
  <c r="M45" i="6" s="1"/>
  <c r="L45" i="6" s="1"/>
  <c r="K45" i="6" s="1"/>
  <c r="J45" i="6" s="1"/>
  <c r="J397" i="6" s="1"/>
  <c r="E402" i="6" s="1"/>
  <c r="C19" i="10" s="1"/>
  <c r="P350" i="6"/>
  <c r="Q350" i="6" s="1"/>
  <c r="R350" i="6" s="1"/>
  <c r="S350" i="6" s="1"/>
  <c r="T350" i="6" s="1"/>
  <c r="U350" i="6" s="1"/>
  <c r="P92" i="6"/>
  <c r="Q92" i="6" s="1"/>
  <c r="R92" i="6" s="1"/>
  <c r="S92" i="6" s="1"/>
  <c r="T92" i="6" s="1"/>
  <c r="U92" i="6" s="1"/>
  <c r="P356" i="6"/>
  <c r="O356" i="6" s="1"/>
  <c r="N356" i="6" s="1"/>
  <c r="M356" i="6" s="1"/>
  <c r="L356" i="6" s="1"/>
  <c r="K356" i="6" s="1"/>
  <c r="P207" i="6"/>
  <c r="Q207" i="6" s="1"/>
  <c r="R207" i="6" s="1"/>
  <c r="S207" i="6" s="1"/>
  <c r="T207" i="6" s="1"/>
  <c r="U207" i="6" s="1"/>
  <c r="H397" i="6"/>
  <c r="K8" i="7" s="1"/>
  <c r="AD358" i="6"/>
  <c r="AE358" i="6" s="1"/>
  <c r="AF358" i="6" s="1"/>
  <c r="AG358" i="6" s="1"/>
  <c r="Z356" i="6"/>
  <c r="AA356" i="6" s="1"/>
  <c r="AB356" i="6" s="1"/>
  <c r="AC356" i="6" s="1"/>
  <c r="AD356" i="6" s="1"/>
  <c r="AE356" i="6" s="1"/>
  <c r="AF356" i="6" s="1"/>
  <c r="AG356" i="6" s="1"/>
  <c r="AH356" i="6" s="1"/>
  <c r="AI356" i="6" s="1"/>
  <c r="AJ356" i="6" s="1"/>
  <c r="AK356" i="6" s="1"/>
  <c r="AL356" i="6" s="1"/>
  <c r="AM356" i="6" s="1"/>
  <c r="AN356" i="6" s="1"/>
  <c r="AO356" i="6" s="1"/>
  <c r="AP356" i="6" s="1"/>
  <c r="AQ356" i="6" s="1"/>
  <c r="AR356" i="6" s="1"/>
  <c r="AS356" i="6" s="1"/>
  <c r="AT356" i="6" s="1"/>
  <c r="AU356" i="6" s="1"/>
  <c r="AV356" i="6" s="1"/>
  <c r="AW356" i="6" s="1"/>
  <c r="AX356" i="6" s="1"/>
  <c r="AY356" i="6" s="1"/>
  <c r="AZ356" i="6" s="1"/>
  <c r="BA356" i="6" s="1"/>
  <c r="BB356" i="6" s="1"/>
  <c r="AL348" i="6"/>
  <c r="AM348" i="6" s="1"/>
  <c r="AN348" i="6" s="1"/>
  <c r="AO348" i="6" s="1"/>
  <c r="V364" i="6"/>
  <c r="W364" i="6" s="1"/>
  <c r="X364" i="6" s="1"/>
  <c r="Y364" i="6" s="1"/>
  <c r="V267" i="6"/>
  <c r="W267" i="6" s="1"/>
  <c r="X267" i="6" s="1"/>
  <c r="Y267" i="6" s="1"/>
  <c r="V271" i="6"/>
  <c r="W271" i="6" s="1"/>
  <c r="X271" i="6" s="1"/>
  <c r="Y271" i="6" s="1"/>
  <c r="K6" i="7"/>
  <c r="Z39" i="4"/>
  <c r="AA39" i="4" s="1"/>
  <c r="R15" i="4"/>
  <c r="S15" i="4" s="1"/>
  <c r="T15" i="4" s="1"/>
  <c r="U15" i="4" s="1"/>
  <c r="V15" i="4" s="1"/>
  <c r="W15" i="4" s="1"/>
  <c r="X15" i="4" s="1"/>
  <c r="Y15" i="4" s="1"/>
  <c r="Z15" i="4" s="1"/>
  <c r="AA15" i="4" s="1"/>
  <c r="AB15" i="4" s="1"/>
  <c r="AC15" i="4" s="1"/>
  <c r="AD15" i="4" s="1"/>
  <c r="AE15" i="4" s="1"/>
  <c r="AF15" i="4" s="1"/>
  <c r="AG15" i="4" s="1"/>
  <c r="AH15" i="4" s="1"/>
  <c r="AI15" i="4" s="1"/>
  <c r="AJ15" i="4" s="1"/>
  <c r="AK15" i="4" s="1"/>
  <c r="AL15" i="4" s="1"/>
  <c r="AM15" i="4" s="1"/>
  <c r="AN15" i="4" s="1"/>
  <c r="AO15" i="4" s="1"/>
  <c r="AP15" i="4" s="1"/>
  <c r="AQ15" i="4" s="1"/>
  <c r="AR15" i="4" s="1"/>
  <c r="AS15" i="4" s="1"/>
  <c r="AT15" i="4" s="1"/>
  <c r="AU15" i="4" s="1"/>
  <c r="AV15" i="4" s="1"/>
  <c r="AW15" i="4" s="1"/>
  <c r="AX15" i="4" s="1"/>
  <c r="AY15" i="4" s="1"/>
  <c r="AZ15" i="4" s="1"/>
  <c r="BA15" i="4" s="1"/>
  <c r="BB15" i="4" s="1"/>
  <c r="BC15" i="4" s="1"/>
  <c r="BD15" i="4" s="1"/>
  <c r="BE15" i="4" s="1"/>
  <c r="BF15" i="4" s="1"/>
  <c r="BG15" i="4" s="1"/>
  <c r="BH15" i="4" s="1"/>
  <c r="BI15" i="4" s="1"/>
  <c r="BJ15" i="4" s="1"/>
  <c r="BK15" i="4" s="1"/>
  <c r="BL15" i="4" s="1"/>
  <c r="BM15" i="4" s="1"/>
  <c r="BN15" i="4" s="1"/>
  <c r="BO15" i="4" s="1"/>
  <c r="BP15" i="4" s="1"/>
  <c r="BQ15" i="4" s="1"/>
  <c r="BR15" i="4" s="1"/>
  <c r="BS15" i="4" s="1"/>
  <c r="BT15" i="4" s="1"/>
  <c r="BU15" i="4" s="1"/>
  <c r="BV15" i="4" s="1"/>
  <c r="BW15" i="4" s="1"/>
  <c r="BX15" i="4" s="1"/>
  <c r="BY15" i="4" s="1"/>
  <c r="BZ15" i="4" s="1"/>
  <c r="CA15" i="4" s="1"/>
  <c r="CB15" i="4" s="1"/>
  <c r="CC15" i="4" s="1"/>
  <c r="CD15" i="4" s="1"/>
  <c r="CE15" i="4" s="1"/>
  <c r="CF15" i="4" s="1"/>
  <c r="CG15" i="4" s="1"/>
  <c r="CH15" i="4" s="1"/>
  <c r="CI15" i="4" s="1"/>
  <c r="CJ15" i="4" s="1"/>
  <c r="CK15" i="4" s="1"/>
  <c r="CL15" i="4" s="1"/>
  <c r="CM15" i="4" s="1"/>
  <c r="CN15" i="4" s="1"/>
  <c r="CO15" i="4" s="1"/>
  <c r="R75" i="4"/>
  <c r="S75" i="4" s="1"/>
  <c r="T75" i="4" s="1"/>
  <c r="U75" i="4" s="1"/>
  <c r="R57" i="4"/>
  <c r="S57" i="4" s="1"/>
  <c r="T57" i="4" s="1"/>
  <c r="U57" i="4" s="1"/>
  <c r="R53" i="4"/>
  <c r="S53" i="4" s="1"/>
  <c r="T53" i="4" s="1"/>
  <c r="U53" i="4" s="1"/>
  <c r="V53" i="4" s="1"/>
  <c r="W53" i="4" s="1"/>
  <c r="X53" i="4" s="1"/>
  <c r="Y53" i="4" s="1"/>
  <c r="Z53" i="4" s="1"/>
  <c r="AA53" i="4" s="1"/>
  <c r="AB53" i="4" s="1"/>
  <c r="AC53" i="4" s="1"/>
  <c r="AD53" i="4" s="1"/>
  <c r="AE53" i="4" s="1"/>
  <c r="AF53" i="4" s="1"/>
  <c r="AG53" i="4" s="1"/>
  <c r="AH53" i="4" s="1"/>
  <c r="AI53" i="4" s="1"/>
  <c r="AJ53" i="4" s="1"/>
  <c r="AK53" i="4" s="1"/>
  <c r="AL53" i="4" s="1"/>
  <c r="AM53" i="4" s="1"/>
  <c r="AN53" i="4" s="1"/>
  <c r="AO53" i="4" s="1"/>
  <c r="AP53" i="4" s="1"/>
  <c r="AQ53" i="4" s="1"/>
  <c r="AR53" i="4" s="1"/>
  <c r="AS53" i="4" s="1"/>
  <c r="AT53" i="4" s="1"/>
  <c r="AU53" i="4" s="1"/>
  <c r="AV53" i="4" s="1"/>
  <c r="AW53" i="4" s="1"/>
  <c r="AX53" i="4" s="1"/>
  <c r="AY53" i="4" s="1"/>
  <c r="AZ53" i="4" s="1"/>
  <c r="BA53" i="4" s="1"/>
  <c r="BB53" i="4" s="1"/>
  <c r="BC53" i="4" s="1"/>
  <c r="BD53" i="4" s="1"/>
  <c r="BE53" i="4" s="1"/>
  <c r="BF53" i="4" s="1"/>
  <c r="BG53" i="4" s="1"/>
  <c r="BH53" i="4" s="1"/>
  <c r="BI53" i="4" s="1"/>
  <c r="BJ53" i="4" s="1"/>
  <c r="BK53" i="4" s="1"/>
  <c r="BL53" i="4" s="1"/>
  <c r="BM53" i="4" s="1"/>
  <c r="BN53" i="4" s="1"/>
  <c r="BO53" i="4" s="1"/>
  <c r="BP53" i="4" s="1"/>
  <c r="BQ53" i="4" s="1"/>
  <c r="BR53" i="4" s="1"/>
  <c r="BS53" i="4" s="1"/>
  <c r="BT53" i="4" s="1"/>
  <c r="BU53" i="4" s="1"/>
  <c r="BV53" i="4" s="1"/>
  <c r="BW53" i="4" s="1"/>
  <c r="BX53" i="4" s="1"/>
  <c r="BY53" i="4" s="1"/>
  <c r="BZ53" i="4" s="1"/>
  <c r="CA53" i="4" s="1"/>
  <c r="CB53" i="4" s="1"/>
  <c r="CC53" i="4" s="1"/>
  <c r="CD53" i="4" s="1"/>
  <c r="CE53" i="4" s="1"/>
  <c r="CF53" i="4" s="1"/>
  <c r="CG53" i="4" s="1"/>
  <c r="CH53" i="4" s="1"/>
  <c r="CI53" i="4" s="1"/>
  <c r="CJ53" i="4" s="1"/>
  <c r="CK53" i="4" s="1"/>
  <c r="CL53" i="4" s="1"/>
  <c r="CM53" i="4" s="1"/>
  <c r="CN53" i="4" s="1"/>
  <c r="CO53" i="4" s="1"/>
  <c r="AD19" i="4"/>
  <c r="AE19" i="4" s="1"/>
  <c r="R79" i="4"/>
  <c r="S79" i="4" s="1"/>
  <c r="T79" i="4" s="1"/>
  <c r="U79" i="4" s="1"/>
  <c r="R73" i="4"/>
  <c r="S73" i="4" s="1"/>
  <c r="T73" i="4" s="1"/>
  <c r="U73" i="4" s="1"/>
  <c r="R69" i="4"/>
  <c r="S69" i="4" s="1"/>
  <c r="T69" i="4" s="1"/>
  <c r="U69" i="4" s="1"/>
  <c r="R65" i="4"/>
  <c r="S65" i="4" s="1"/>
  <c r="T65" i="4" s="1"/>
  <c r="U65" i="4" s="1"/>
  <c r="V45" i="4"/>
  <c r="W45" i="4" s="1"/>
  <c r="X45" i="4" s="1"/>
  <c r="Y45" i="4" s="1"/>
  <c r="R41" i="4"/>
  <c r="S41" i="4" s="1"/>
  <c r="T41" i="4" s="1"/>
  <c r="U41" i="4" s="1"/>
  <c r="R35" i="4"/>
  <c r="S35" i="4" s="1"/>
  <c r="T35" i="4" s="1"/>
  <c r="U35" i="4" s="1"/>
  <c r="V35" i="4" s="1"/>
  <c r="W35" i="4" s="1"/>
  <c r="X35" i="4" s="1"/>
  <c r="Y35" i="4" s="1"/>
  <c r="Z35" i="4" s="1"/>
  <c r="AA35" i="4" s="1"/>
  <c r="AB35" i="4" s="1"/>
  <c r="AC35" i="4" s="1"/>
  <c r="AD35" i="4" s="1"/>
  <c r="AE35" i="4" s="1"/>
  <c r="AF35" i="4" s="1"/>
  <c r="AG35" i="4" s="1"/>
  <c r="AH35" i="4" s="1"/>
  <c r="AI35" i="4" s="1"/>
  <c r="AJ35" i="4" s="1"/>
  <c r="AK35" i="4" s="1"/>
  <c r="AL35" i="4" s="1"/>
  <c r="AM35" i="4" s="1"/>
  <c r="AN35" i="4" s="1"/>
  <c r="AO35" i="4" s="1"/>
  <c r="AP35" i="4" s="1"/>
  <c r="AQ35" i="4" s="1"/>
  <c r="AR35" i="4" s="1"/>
  <c r="AS35" i="4" s="1"/>
  <c r="AT35" i="4" s="1"/>
  <c r="AU35" i="4" s="1"/>
  <c r="AV35" i="4" s="1"/>
  <c r="AW35" i="4" s="1"/>
  <c r="AX35" i="4" s="1"/>
  <c r="AY35" i="4" s="1"/>
  <c r="AZ35" i="4" s="1"/>
  <c r="BA35" i="4" s="1"/>
  <c r="BB35" i="4" s="1"/>
  <c r="BC35" i="4" s="1"/>
  <c r="BD35" i="4" s="1"/>
  <c r="BE35" i="4" s="1"/>
  <c r="BF35" i="4" s="1"/>
  <c r="BG35" i="4" s="1"/>
  <c r="BH35" i="4" s="1"/>
  <c r="BI35" i="4" s="1"/>
  <c r="BJ35" i="4" s="1"/>
  <c r="BK35" i="4" s="1"/>
  <c r="BL35" i="4" s="1"/>
  <c r="BM35" i="4" s="1"/>
  <c r="BN35" i="4" s="1"/>
  <c r="BO35" i="4" s="1"/>
  <c r="BP35" i="4" s="1"/>
  <c r="BQ35" i="4" s="1"/>
  <c r="BR35" i="4" s="1"/>
  <c r="BS35" i="4" s="1"/>
  <c r="BT35" i="4" s="1"/>
  <c r="BU35" i="4" s="1"/>
  <c r="BV35" i="4" s="1"/>
  <c r="BW35" i="4" s="1"/>
  <c r="BX35" i="4" s="1"/>
  <c r="BY35" i="4" s="1"/>
  <c r="BZ35" i="4" s="1"/>
  <c r="CA35" i="4" s="1"/>
  <c r="CB35" i="4" s="1"/>
  <c r="CC35" i="4" s="1"/>
  <c r="CD35" i="4" s="1"/>
  <c r="CE35" i="4" s="1"/>
  <c r="CF35" i="4" s="1"/>
  <c r="CG35" i="4" s="1"/>
  <c r="CH35" i="4" s="1"/>
  <c r="CI35" i="4" s="1"/>
  <c r="CJ35" i="4" s="1"/>
  <c r="CK35" i="4" s="1"/>
  <c r="CL35" i="4" s="1"/>
  <c r="CM35" i="4" s="1"/>
  <c r="CN35" i="4" s="1"/>
  <c r="CO35" i="4" s="1"/>
  <c r="R31" i="4"/>
  <c r="S31" i="4" s="1"/>
  <c r="R27" i="4"/>
  <c r="S27" i="4" s="1"/>
  <c r="T27" i="4" s="1"/>
  <c r="U27" i="4" s="1"/>
  <c r="V27" i="4" s="1"/>
  <c r="W27" i="4" s="1"/>
  <c r="X27" i="4" s="1"/>
  <c r="Y27" i="4" s="1"/>
  <c r="Z27" i="4" s="1"/>
  <c r="AA27" i="4" s="1"/>
  <c r="AB27" i="4" s="1"/>
  <c r="AC27" i="4" s="1"/>
  <c r="AD27" i="4" s="1"/>
  <c r="AE27" i="4" s="1"/>
  <c r="AF27" i="4" s="1"/>
  <c r="AG27" i="4" s="1"/>
  <c r="AH27" i="4" s="1"/>
  <c r="AI27" i="4" s="1"/>
  <c r="AJ27" i="4" s="1"/>
  <c r="AK27" i="4" s="1"/>
  <c r="AL27" i="4" s="1"/>
  <c r="AM27" i="4" s="1"/>
  <c r="AN27" i="4" s="1"/>
  <c r="AO27" i="4" s="1"/>
  <c r="AP27" i="4" s="1"/>
  <c r="AQ27" i="4" s="1"/>
  <c r="AR27" i="4" s="1"/>
  <c r="AS27" i="4" s="1"/>
  <c r="AT27" i="4" s="1"/>
  <c r="AU27" i="4" s="1"/>
  <c r="AV27" i="4" s="1"/>
  <c r="AW27" i="4" s="1"/>
  <c r="AX27" i="4" s="1"/>
  <c r="AY27" i="4" s="1"/>
  <c r="AZ27" i="4" s="1"/>
  <c r="BA27" i="4" s="1"/>
  <c r="BB27" i="4" s="1"/>
  <c r="BC27" i="4" s="1"/>
  <c r="BD27" i="4" s="1"/>
  <c r="BE27" i="4" s="1"/>
  <c r="BF27" i="4" s="1"/>
  <c r="BG27" i="4" s="1"/>
  <c r="BH27" i="4" s="1"/>
  <c r="BI27" i="4" s="1"/>
  <c r="BJ27" i="4" s="1"/>
  <c r="BK27" i="4" s="1"/>
  <c r="BL27" i="4" s="1"/>
  <c r="BM27" i="4" s="1"/>
  <c r="BN27" i="4" s="1"/>
  <c r="BO27" i="4" s="1"/>
  <c r="BP27" i="4" s="1"/>
  <c r="BQ27" i="4" s="1"/>
  <c r="BR27" i="4" s="1"/>
  <c r="BS27" i="4" s="1"/>
  <c r="BT27" i="4" s="1"/>
  <c r="BU27" i="4" s="1"/>
  <c r="BV27" i="4" s="1"/>
  <c r="BW27" i="4" s="1"/>
  <c r="BX27" i="4" s="1"/>
  <c r="BY27" i="4" s="1"/>
  <c r="BZ27" i="4" s="1"/>
  <c r="CA27" i="4" s="1"/>
  <c r="CB27" i="4" s="1"/>
  <c r="CC27" i="4" s="1"/>
  <c r="CD27" i="4" s="1"/>
  <c r="CE27" i="4" s="1"/>
  <c r="CF27" i="4" s="1"/>
  <c r="CG27" i="4" s="1"/>
  <c r="CH27" i="4" s="1"/>
  <c r="CI27" i="4" s="1"/>
  <c r="CJ27" i="4" s="1"/>
  <c r="CK27" i="4" s="1"/>
  <c r="CL27" i="4" s="1"/>
  <c r="CM27" i="4" s="1"/>
  <c r="CN27" i="4" s="1"/>
  <c r="CO27" i="4" s="1"/>
  <c r="R13" i="4"/>
  <c r="S13" i="4" s="1"/>
  <c r="T13" i="4" s="1"/>
  <c r="U13" i="4" s="1"/>
  <c r="V13" i="4" s="1"/>
  <c r="W13" i="4" s="1"/>
  <c r="X13" i="4" s="1"/>
  <c r="Y13" i="4" s="1"/>
  <c r="Z13" i="4" s="1"/>
  <c r="AA13" i="4" s="1"/>
  <c r="AB13" i="4" s="1"/>
  <c r="AC13" i="4" s="1"/>
  <c r="AD13" i="4" s="1"/>
  <c r="AE13" i="4" s="1"/>
  <c r="AF13" i="4" s="1"/>
  <c r="AG13" i="4" s="1"/>
  <c r="AH13" i="4" s="1"/>
  <c r="AI13" i="4" s="1"/>
  <c r="AJ13" i="4" s="1"/>
  <c r="AK13" i="4" s="1"/>
  <c r="AL13" i="4" s="1"/>
  <c r="AM13" i="4" s="1"/>
  <c r="AN13" i="4" s="1"/>
  <c r="AO13" i="4" s="1"/>
  <c r="AP13" i="4" s="1"/>
  <c r="AQ13" i="4" s="1"/>
  <c r="AR13" i="4" s="1"/>
  <c r="AS13" i="4" s="1"/>
  <c r="AT13" i="4" s="1"/>
  <c r="AU13" i="4" s="1"/>
  <c r="AV13" i="4" s="1"/>
  <c r="AW13" i="4" s="1"/>
  <c r="AX13" i="4" s="1"/>
  <c r="AY13" i="4" s="1"/>
  <c r="AZ13" i="4" s="1"/>
  <c r="BA13" i="4" s="1"/>
  <c r="BB13" i="4" s="1"/>
  <c r="BC13" i="4" s="1"/>
  <c r="BD13" i="4" s="1"/>
  <c r="BE13" i="4" s="1"/>
  <c r="BF13" i="4" s="1"/>
  <c r="BG13" i="4" s="1"/>
  <c r="BH13" i="4" s="1"/>
  <c r="BI13" i="4" s="1"/>
  <c r="BJ13" i="4" s="1"/>
  <c r="BK13" i="4" s="1"/>
  <c r="BL13" i="4" s="1"/>
  <c r="BM13" i="4" s="1"/>
  <c r="BN13" i="4" s="1"/>
  <c r="BO13" i="4" s="1"/>
  <c r="BP13" i="4" s="1"/>
  <c r="BQ13" i="4" s="1"/>
  <c r="BR13" i="4" s="1"/>
  <c r="BS13" i="4" s="1"/>
  <c r="BT13" i="4" s="1"/>
  <c r="BU13" i="4" s="1"/>
  <c r="BV13" i="4" s="1"/>
  <c r="BW13" i="4" s="1"/>
  <c r="BX13" i="4" s="1"/>
  <c r="BY13" i="4" s="1"/>
  <c r="BZ13" i="4" s="1"/>
  <c r="CA13" i="4" s="1"/>
  <c r="CB13" i="4" s="1"/>
  <c r="CC13" i="4" s="1"/>
  <c r="CD13" i="4" s="1"/>
  <c r="CE13" i="4" s="1"/>
  <c r="CF13" i="4" s="1"/>
  <c r="CG13" i="4" s="1"/>
  <c r="CH13" i="4" s="1"/>
  <c r="CI13" i="4" s="1"/>
  <c r="CJ13" i="4" s="1"/>
  <c r="CK13" i="4" s="1"/>
  <c r="CL13" i="4" s="1"/>
  <c r="CM13" i="4" s="1"/>
  <c r="CN13" i="4" s="1"/>
  <c r="CO13" i="4" s="1"/>
  <c r="R61" i="4"/>
  <c r="S61" i="4" s="1"/>
  <c r="T61" i="4" s="1"/>
  <c r="U61" i="4" s="1"/>
  <c r="R80" i="4"/>
  <c r="S80" i="4" s="1"/>
  <c r="T80" i="4" s="1"/>
  <c r="U80" i="4" s="1"/>
  <c r="R55" i="4"/>
  <c r="S55" i="4" s="1"/>
  <c r="T55" i="4" s="1"/>
  <c r="U55" i="4" s="1"/>
  <c r="V55" i="4" s="1"/>
  <c r="W55" i="4" s="1"/>
  <c r="X55" i="4" s="1"/>
  <c r="Y55" i="4" s="1"/>
  <c r="Z55" i="4" s="1"/>
  <c r="AA55" i="4" s="1"/>
  <c r="AB55" i="4" s="1"/>
  <c r="AC55" i="4" s="1"/>
  <c r="AD55" i="4" s="1"/>
  <c r="AE55" i="4" s="1"/>
  <c r="AF55" i="4" s="1"/>
  <c r="AG55" i="4" s="1"/>
  <c r="AH55" i="4" s="1"/>
  <c r="AI55" i="4" s="1"/>
  <c r="AJ55" i="4" s="1"/>
  <c r="AK55" i="4" s="1"/>
  <c r="AL55" i="4" s="1"/>
  <c r="AM55" i="4" s="1"/>
  <c r="AN55" i="4" s="1"/>
  <c r="AO55" i="4" s="1"/>
  <c r="AP55" i="4" s="1"/>
  <c r="AQ55" i="4" s="1"/>
  <c r="AR55" i="4" s="1"/>
  <c r="AS55" i="4" s="1"/>
  <c r="AT55" i="4" s="1"/>
  <c r="AU55" i="4" s="1"/>
  <c r="AV55" i="4" s="1"/>
  <c r="AW55" i="4" s="1"/>
  <c r="AX55" i="4" s="1"/>
  <c r="AY55" i="4" s="1"/>
  <c r="AZ55" i="4" s="1"/>
  <c r="BA55" i="4" s="1"/>
  <c r="BB55" i="4" s="1"/>
  <c r="BC55" i="4" s="1"/>
  <c r="BD55" i="4" s="1"/>
  <c r="BE55" i="4" s="1"/>
  <c r="BF55" i="4" s="1"/>
  <c r="BG55" i="4" s="1"/>
  <c r="BH55" i="4" s="1"/>
  <c r="BI55" i="4" s="1"/>
  <c r="BJ55" i="4" s="1"/>
  <c r="BK55" i="4" s="1"/>
  <c r="BL55" i="4" s="1"/>
  <c r="BM55" i="4" s="1"/>
  <c r="BN55" i="4" s="1"/>
  <c r="BO55" i="4" s="1"/>
  <c r="BP55" i="4" s="1"/>
  <c r="BQ55" i="4" s="1"/>
  <c r="BR55" i="4" s="1"/>
  <c r="BS55" i="4" s="1"/>
  <c r="BT55" i="4" s="1"/>
  <c r="BU55" i="4" s="1"/>
  <c r="BV55" i="4" s="1"/>
  <c r="BW55" i="4" s="1"/>
  <c r="BX55" i="4" s="1"/>
  <c r="BY55" i="4" s="1"/>
  <c r="BZ55" i="4" s="1"/>
  <c r="CA55" i="4" s="1"/>
  <c r="CB55" i="4" s="1"/>
  <c r="CC55" i="4" s="1"/>
  <c r="CD55" i="4" s="1"/>
  <c r="CE55" i="4" s="1"/>
  <c r="CF55" i="4" s="1"/>
  <c r="CG55" i="4" s="1"/>
  <c r="CH55" i="4" s="1"/>
  <c r="CI55" i="4" s="1"/>
  <c r="CJ55" i="4" s="1"/>
  <c r="CK55" i="4" s="1"/>
  <c r="CL55" i="4" s="1"/>
  <c r="CM55" i="4" s="1"/>
  <c r="CN55" i="4" s="1"/>
  <c r="CO55" i="4" s="1"/>
  <c r="R51" i="4"/>
  <c r="S51" i="4" s="1"/>
  <c r="T51" i="4" s="1"/>
  <c r="U51" i="4" s="1"/>
  <c r="V51" i="4" s="1"/>
  <c r="W51" i="4" s="1"/>
  <c r="X51" i="4" s="1"/>
  <c r="Y51" i="4" s="1"/>
  <c r="Z51" i="4" s="1"/>
  <c r="AA51" i="4" s="1"/>
  <c r="AB51" i="4" s="1"/>
  <c r="AC51" i="4" s="1"/>
  <c r="AD51" i="4" s="1"/>
  <c r="AE51" i="4" s="1"/>
  <c r="AF51" i="4" s="1"/>
  <c r="AG51" i="4" s="1"/>
  <c r="AH51" i="4" s="1"/>
  <c r="AI51" i="4" s="1"/>
  <c r="AJ51" i="4" s="1"/>
  <c r="AK51" i="4" s="1"/>
  <c r="AL51" i="4" s="1"/>
  <c r="AM51" i="4" s="1"/>
  <c r="AN51" i="4" s="1"/>
  <c r="AO51" i="4" s="1"/>
  <c r="AP51" i="4" s="1"/>
  <c r="AQ51" i="4" s="1"/>
  <c r="AR51" i="4" s="1"/>
  <c r="AS51" i="4" s="1"/>
  <c r="AT51" i="4" s="1"/>
  <c r="AU51" i="4" s="1"/>
  <c r="AV51" i="4" s="1"/>
  <c r="AW51" i="4" s="1"/>
  <c r="AX51" i="4" s="1"/>
  <c r="AY51" i="4" s="1"/>
  <c r="AZ51" i="4" s="1"/>
  <c r="BA51" i="4" s="1"/>
  <c r="BB51" i="4" s="1"/>
  <c r="BC51" i="4" s="1"/>
  <c r="BD51" i="4" s="1"/>
  <c r="BE51" i="4" s="1"/>
  <c r="BF51" i="4" s="1"/>
  <c r="BG51" i="4" s="1"/>
  <c r="BH51" i="4" s="1"/>
  <c r="BI51" i="4" s="1"/>
  <c r="BJ51" i="4" s="1"/>
  <c r="BK51" i="4" s="1"/>
  <c r="BL51" i="4" s="1"/>
  <c r="BM51" i="4" s="1"/>
  <c r="BN51" i="4" s="1"/>
  <c r="BO51" i="4" s="1"/>
  <c r="BP51" i="4" s="1"/>
  <c r="BQ51" i="4" s="1"/>
  <c r="BR51" i="4" s="1"/>
  <c r="BS51" i="4" s="1"/>
  <c r="BT51" i="4" s="1"/>
  <c r="BU51" i="4" s="1"/>
  <c r="BV51" i="4" s="1"/>
  <c r="BW51" i="4" s="1"/>
  <c r="BX51" i="4" s="1"/>
  <c r="BY51" i="4" s="1"/>
  <c r="BZ51" i="4" s="1"/>
  <c r="CA51" i="4" s="1"/>
  <c r="CB51" i="4" s="1"/>
  <c r="CC51" i="4" s="1"/>
  <c r="CD51" i="4" s="1"/>
  <c r="CE51" i="4" s="1"/>
  <c r="CF51" i="4" s="1"/>
  <c r="CG51" i="4" s="1"/>
  <c r="CH51" i="4" s="1"/>
  <c r="CI51" i="4" s="1"/>
  <c r="CJ51" i="4" s="1"/>
  <c r="CK51" i="4" s="1"/>
  <c r="CL51" i="4" s="1"/>
  <c r="CM51" i="4" s="1"/>
  <c r="CN51" i="4" s="1"/>
  <c r="CO51" i="4" s="1"/>
  <c r="R7" i="4"/>
  <c r="S7" i="4" s="1"/>
  <c r="T7" i="4" s="1"/>
  <c r="U7" i="4" s="1"/>
  <c r="R77" i="4"/>
  <c r="S77" i="4" s="1"/>
  <c r="T77" i="4" s="1"/>
  <c r="U77" i="4" s="1"/>
  <c r="R67" i="4"/>
  <c r="S67" i="4" s="1"/>
  <c r="T67" i="4" s="1"/>
  <c r="U67" i="4" s="1"/>
  <c r="V63" i="4"/>
  <c r="W63" i="4" s="1"/>
  <c r="X63" i="4" s="1"/>
  <c r="Y63" i="4" s="1"/>
  <c r="R47" i="4"/>
  <c r="S47" i="4" s="1"/>
  <c r="T47" i="4" s="1"/>
  <c r="U47" i="4" s="1"/>
  <c r="V47" i="4" s="1"/>
  <c r="W47" i="4" s="1"/>
  <c r="X47" i="4" s="1"/>
  <c r="Y47" i="4" s="1"/>
  <c r="Z47" i="4" s="1"/>
  <c r="AA47" i="4" s="1"/>
  <c r="AB47" i="4" s="1"/>
  <c r="AC47" i="4" s="1"/>
  <c r="AD47" i="4" s="1"/>
  <c r="AE47" i="4" s="1"/>
  <c r="AF47" i="4" s="1"/>
  <c r="AG47" i="4" s="1"/>
  <c r="AH47" i="4" s="1"/>
  <c r="AI47" i="4" s="1"/>
  <c r="AJ47" i="4" s="1"/>
  <c r="AK47" i="4" s="1"/>
  <c r="AL47" i="4" s="1"/>
  <c r="AM47" i="4" s="1"/>
  <c r="AN47" i="4" s="1"/>
  <c r="AO47" i="4" s="1"/>
  <c r="AP47" i="4" s="1"/>
  <c r="AQ47" i="4" s="1"/>
  <c r="AR47" i="4" s="1"/>
  <c r="AS47" i="4" s="1"/>
  <c r="AT47" i="4" s="1"/>
  <c r="AU47" i="4" s="1"/>
  <c r="AV47" i="4" s="1"/>
  <c r="AW47" i="4" s="1"/>
  <c r="AX47" i="4" s="1"/>
  <c r="AY47" i="4" s="1"/>
  <c r="AZ47" i="4" s="1"/>
  <c r="BA47" i="4" s="1"/>
  <c r="BB47" i="4" s="1"/>
  <c r="BC47" i="4" s="1"/>
  <c r="BD47" i="4" s="1"/>
  <c r="BE47" i="4" s="1"/>
  <c r="BF47" i="4" s="1"/>
  <c r="BG47" i="4" s="1"/>
  <c r="BH47" i="4" s="1"/>
  <c r="BI47" i="4" s="1"/>
  <c r="BJ47" i="4" s="1"/>
  <c r="BK47" i="4" s="1"/>
  <c r="BL47" i="4" s="1"/>
  <c r="BM47" i="4" s="1"/>
  <c r="BN47" i="4" s="1"/>
  <c r="BO47" i="4" s="1"/>
  <c r="BP47" i="4" s="1"/>
  <c r="BQ47" i="4" s="1"/>
  <c r="BR47" i="4" s="1"/>
  <c r="BS47" i="4" s="1"/>
  <c r="BT47" i="4" s="1"/>
  <c r="BU47" i="4" s="1"/>
  <c r="BV47" i="4" s="1"/>
  <c r="BW47" i="4" s="1"/>
  <c r="BX47" i="4" s="1"/>
  <c r="BY47" i="4" s="1"/>
  <c r="BZ47" i="4" s="1"/>
  <c r="CA47" i="4" s="1"/>
  <c r="CB47" i="4" s="1"/>
  <c r="CC47" i="4" s="1"/>
  <c r="CD47" i="4" s="1"/>
  <c r="CE47" i="4" s="1"/>
  <c r="CF47" i="4" s="1"/>
  <c r="CG47" i="4" s="1"/>
  <c r="CH47" i="4" s="1"/>
  <c r="CI47" i="4" s="1"/>
  <c r="CJ47" i="4" s="1"/>
  <c r="CK47" i="4" s="1"/>
  <c r="CL47" i="4" s="1"/>
  <c r="CM47" i="4" s="1"/>
  <c r="CN47" i="4" s="1"/>
  <c r="CO47" i="4" s="1"/>
  <c r="R43" i="4"/>
  <c r="S43" i="4" s="1"/>
  <c r="T43" i="4" s="1"/>
  <c r="U43" i="4" s="1"/>
  <c r="V33" i="4"/>
  <c r="W33" i="4" s="1"/>
  <c r="X33" i="4" s="1"/>
  <c r="Y33" i="4" s="1"/>
  <c r="Z33" i="4" s="1"/>
  <c r="AA33" i="4" s="1"/>
  <c r="AB33" i="4" s="1"/>
  <c r="AC33" i="4" s="1"/>
  <c r="AD33" i="4" s="1"/>
  <c r="AE33" i="4" s="1"/>
  <c r="AF33" i="4" s="1"/>
  <c r="AG33" i="4" s="1"/>
  <c r="AH33" i="4" s="1"/>
  <c r="AI33" i="4" s="1"/>
  <c r="AJ33" i="4" s="1"/>
  <c r="AK33" i="4" s="1"/>
  <c r="AL33" i="4" s="1"/>
  <c r="AM33" i="4" s="1"/>
  <c r="AN33" i="4" s="1"/>
  <c r="AO33" i="4" s="1"/>
  <c r="AP33" i="4" s="1"/>
  <c r="AQ33" i="4" s="1"/>
  <c r="AR33" i="4" s="1"/>
  <c r="AS33" i="4" s="1"/>
  <c r="AT33" i="4" s="1"/>
  <c r="AU33" i="4" s="1"/>
  <c r="AV33" i="4" s="1"/>
  <c r="AW33" i="4" s="1"/>
  <c r="AX33" i="4" s="1"/>
  <c r="AY33" i="4" s="1"/>
  <c r="AZ33" i="4" s="1"/>
  <c r="BA33" i="4" s="1"/>
  <c r="BB33" i="4" s="1"/>
  <c r="BC33" i="4" s="1"/>
  <c r="BD33" i="4" s="1"/>
  <c r="BE33" i="4" s="1"/>
  <c r="BF33" i="4" s="1"/>
  <c r="BG33" i="4" s="1"/>
  <c r="BH33" i="4" s="1"/>
  <c r="BI33" i="4" s="1"/>
  <c r="BJ33" i="4" s="1"/>
  <c r="BK33" i="4" s="1"/>
  <c r="BL33" i="4" s="1"/>
  <c r="BM33" i="4" s="1"/>
  <c r="BN33" i="4" s="1"/>
  <c r="BO33" i="4" s="1"/>
  <c r="BP33" i="4" s="1"/>
  <c r="BQ33" i="4" s="1"/>
  <c r="BR33" i="4" s="1"/>
  <c r="BS33" i="4" s="1"/>
  <c r="BT33" i="4" s="1"/>
  <c r="BU33" i="4" s="1"/>
  <c r="BV33" i="4" s="1"/>
  <c r="BW33" i="4" s="1"/>
  <c r="BX33" i="4" s="1"/>
  <c r="BY33" i="4" s="1"/>
  <c r="BZ33" i="4" s="1"/>
  <c r="CA33" i="4" s="1"/>
  <c r="CB33" i="4" s="1"/>
  <c r="CC33" i="4" s="1"/>
  <c r="CD33" i="4" s="1"/>
  <c r="CE33" i="4" s="1"/>
  <c r="CF33" i="4" s="1"/>
  <c r="CG33" i="4" s="1"/>
  <c r="CH33" i="4" s="1"/>
  <c r="CI33" i="4" s="1"/>
  <c r="CJ33" i="4" s="1"/>
  <c r="CK33" i="4" s="1"/>
  <c r="CL33" i="4" s="1"/>
  <c r="CM33" i="4" s="1"/>
  <c r="CN33" i="4" s="1"/>
  <c r="CO33" i="4" s="1"/>
  <c r="R29" i="4"/>
  <c r="S29" i="4" s="1"/>
  <c r="R25" i="4"/>
  <c r="S25" i="4" s="1"/>
  <c r="T25" i="4" s="1"/>
  <c r="U25" i="4" s="1"/>
  <c r="V25" i="4" s="1"/>
  <c r="W25" i="4" s="1"/>
  <c r="X25" i="4" s="1"/>
  <c r="Y25" i="4" s="1"/>
  <c r="Z25" i="4" s="1"/>
  <c r="AA25" i="4" s="1"/>
  <c r="AB25" i="4" s="1"/>
  <c r="AC25" i="4" s="1"/>
  <c r="AD25" i="4" s="1"/>
  <c r="AE25" i="4" s="1"/>
  <c r="AF25" i="4" s="1"/>
  <c r="AG25" i="4" s="1"/>
  <c r="AH25" i="4" s="1"/>
  <c r="AI25" i="4" s="1"/>
  <c r="AJ25" i="4" s="1"/>
  <c r="AK25" i="4" s="1"/>
  <c r="AL25" i="4" s="1"/>
  <c r="AM25" i="4" s="1"/>
  <c r="AN25" i="4" s="1"/>
  <c r="AO25" i="4" s="1"/>
  <c r="AP25" i="4" s="1"/>
  <c r="AQ25" i="4" s="1"/>
  <c r="AR25" i="4" s="1"/>
  <c r="AS25" i="4" s="1"/>
  <c r="AT25" i="4" s="1"/>
  <c r="AU25" i="4" s="1"/>
  <c r="AV25" i="4" s="1"/>
  <c r="AW25" i="4" s="1"/>
  <c r="AX25" i="4" s="1"/>
  <c r="AY25" i="4" s="1"/>
  <c r="AZ25" i="4" s="1"/>
  <c r="BA25" i="4" s="1"/>
  <c r="BB25" i="4" s="1"/>
  <c r="BC25" i="4" s="1"/>
  <c r="BD25" i="4" s="1"/>
  <c r="BE25" i="4" s="1"/>
  <c r="BF25" i="4" s="1"/>
  <c r="BG25" i="4" s="1"/>
  <c r="BH25" i="4" s="1"/>
  <c r="BI25" i="4" s="1"/>
  <c r="BJ25" i="4" s="1"/>
  <c r="BK25" i="4" s="1"/>
  <c r="BL25" i="4" s="1"/>
  <c r="BM25" i="4" s="1"/>
  <c r="BN25" i="4" s="1"/>
  <c r="BO25" i="4" s="1"/>
  <c r="BP25" i="4" s="1"/>
  <c r="BQ25" i="4" s="1"/>
  <c r="BR25" i="4" s="1"/>
  <c r="BS25" i="4" s="1"/>
  <c r="BT25" i="4" s="1"/>
  <c r="BU25" i="4" s="1"/>
  <c r="BV25" i="4" s="1"/>
  <c r="BW25" i="4" s="1"/>
  <c r="BX25" i="4" s="1"/>
  <c r="BY25" i="4" s="1"/>
  <c r="BZ25" i="4" s="1"/>
  <c r="CA25" i="4" s="1"/>
  <c r="CB25" i="4" s="1"/>
  <c r="CC25" i="4" s="1"/>
  <c r="CD25" i="4" s="1"/>
  <c r="CE25" i="4" s="1"/>
  <c r="CF25" i="4" s="1"/>
  <c r="CG25" i="4" s="1"/>
  <c r="CH25" i="4" s="1"/>
  <c r="CI25" i="4" s="1"/>
  <c r="CJ25" i="4" s="1"/>
  <c r="CK25" i="4" s="1"/>
  <c r="CL25" i="4" s="1"/>
  <c r="CM25" i="4" s="1"/>
  <c r="CN25" i="4" s="1"/>
  <c r="CO25" i="4" s="1"/>
  <c r="R17" i="4"/>
  <c r="S17" i="4" s="1"/>
  <c r="T17" i="4" s="1"/>
  <c r="U17" i="4" s="1"/>
  <c r="V17" i="4" s="1"/>
  <c r="W17" i="4" s="1"/>
  <c r="X17" i="4" s="1"/>
  <c r="Y17" i="4" s="1"/>
  <c r="Z17" i="4" s="1"/>
  <c r="AA17" i="4" s="1"/>
  <c r="AB17" i="4" s="1"/>
  <c r="AC17" i="4" s="1"/>
  <c r="AD17" i="4" s="1"/>
  <c r="AE17" i="4" s="1"/>
  <c r="AF17" i="4" s="1"/>
  <c r="AG17" i="4" s="1"/>
  <c r="AH17" i="4" s="1"/>
  <c r="AI17" i="4" s="1"/>
  <c r="AJ17" i="4" s="1"/>
  <c r="AK17" i="4" s="1"/>
  <c r="AL17" i="4" s="1"/>
  <c r="AM17" i="4" s="1"/>
  <c r="AN17" i="4" s="1"/>
  <c r="AO17" i="4" s="1"/>
  <c r="AP17" i="4" s="1"/>
  <c r="AQ17" i="4" s="1"/>
  <c r="AR17" i="4" s="1"/>
  <c r="AS17" i="4" s="1"/>
  <c r="AT17" i="4" s="1"/>
  <c r="AU17" i="4" s="1"/>
  <c r="AV17" i="4" s="1"/>
  <c r="AW17" i="4" s="1"/>
  <c r="AX17" i="4" s="1"/>
  <c r="AY17" i="4" s="1"/>
  <c r="AZ17" i="4" s="1"/>
  <c r="BA17" i="4" s="1"/>
  <c r="BB17" i="4" s="1"/>
  <c r="BC17" i="4" s="1"/>
  <c r="BD17" i="4" s="1"/>
  <c r="BE17" i="4" s="1"/>
  <c r="BF17" i="4" s="1"/>
  <c r="BG17" i="4" s="1"/>
  <c r="BH17" i="4" s="1"/>
  <c r="BI17" i="4" s="1"/>
  <c r="BJ17" i="4" s="1"/>
  <c r="BK17" i="4" s="1"/>
  <c r="BL17" i="4" s="1"/>
  <c r="BM17" i="4" s="1"/>
  <c r="BN17" i="4" s="1"/>
  <c r="BO17" i="4" s="1"/>
  <c r="BP17" i="4" s="1"/>
  <c r="BQ17" i="4" s="1"/>
  <c r="BR17" i="4" s="1"/>
  <c r="BS17" i="4" s="1"/>
  <c r="BT17" i="4" s="1"/>
  <c r="BU17" i="4" s="1"/>
  <c r="BV17" i="4" s="1"/>
  <c r="BW17" i="4" s="1"/>
  <c r="BX17" i="4" s="1"/>
  <c r="BY17" i="4" s="1"/>
  <c r="BZ17" i="4" s="1"/>
  <c r="CA17" i="4" s="1"/>
  <c r="CB17" i="4" s="1"/>
  <c r="CC17" i="4" s="1"/>
  <c r="CD17" i="4" s="1"/>
  <c r="CE17" i="4" s="1"/>
  <c r="CF17" i="4" s="1"/>
  <c r="CG17" i="4" s="1"/>
  <c r="CH17" i="4" s="1"/>
  <c r="CI17" i="4" s="1"/>
  <c r="CJ17" i="4" s="1"/>
  <c r="CK17" i="4" s="1"/>
  <c r="CL17" i="4" s="1"/>
  <c r="CM17" i="4" s="1"/>
  <c r="CN17" i="4" s="1"/>
  <c r="CO17" i="4" s="1"/>
  <c r="K8" i="5"/>
  <c r="AD45" i="6"/>
  <c r="AE45" i="6" s="1"/>
  <c r="AD29" i="6"/>
  <c r="AE29" i="6" s="1"/>
  <c r="AD144" i="6"/>
  <c r="AE144" i="6" s="1"/>
  <c r="AF144" i="6" s="1"/>
  <c r="AG144" i="6" s="1"/>
  <c r="AH144" i="6" s="1"/>
  <c r="AI144" i="6" s="1"/>
  <c r="C39" i="8"/>
  <c r="E403" i="6" s="1"/>
  <c r="F403" i="6" s="1"/>
  <c r="G403" i="6" s="1"/>
  <c r="H403" i="6" s="1"/>
  <c r="E88" i="4"/>
  <c r="CP11" i="4"/>
  <c r="CP9" i="4"/>
  <c r="AA21" i="4"/>
  <c r="AB21" i="4" s="1"/>
  <c r="AC21" i="4" s="1"/>
  <c r="L354" i="6"/>
  <c r="O287" i="6"/>
  <c r="P287" i="6" s="1"/>
  <c r="O275" i="6"/>
  <c r="P275" i="6" s="1"/>
  <c r="L217" i="6"/>
  <c r="M217" i="6" s="1"/>
  <c r="N217" i="6" s="1"/>
  <c r="O217" i="6" s="1"/>
  <c r="L138" i="6"/>
  <c r="M138" i="6" s="1"/>
  <c r="N138" i="6" s="1"/>
  <c r="O138" i="6" s="1"/>
  <c r="O39" i="6"/>
  <c r="P39" i="6" s="1"/>
  <c r="O295" i="6"/>
  <c r="P295" i="6" s="1"/>
  <c r="O233" i="6"/>
  <c r="P233" i="6" s="1"/>
  <c r="L136" i="6"/>
  <c r="O102" i="6"/>
  <c r="P102" i="6" s="1"/>
  <c r="O55" i="6"/>
  <c r="O49" i="6"/>
  <c r="O128" i="6"/>
  <c r="P128" i="6" s="1"/>
  <c r="M362" i="6"/>
  <c r="O273" i="6"/>
  <c r="L237" i="6"/>
  <c r="M237" i="6" s="1"/>
  <c r="N237" i="6" s="1"/>
  <c r="O237" i="6" s="1"/>
  <c r="M229" i="6"/>
  <c r="N229" i="6" s="1"/>
  <c r="O229" i="6" s="1"/>
  <c r="O223" i="6"/>
  <c r="P223" i="6" s="1"/>
  <c r="L203" i="6"/>
  <c r="O156" i="6"/>
  <c r="O152" i="6"/>
  <c r="L122" i="6"/>
  <c r="L114" i="6"/>
  <c r="O104" i="6"/>
  <c r="O47" i="6"/>
  <c r="P47" i="6" s="1"/>
  <c r="O19" i="6"/>
  <c r="O15" i="6"/>
  <c r="O11" i="6"/>
  <c r="O346" i="6"/>
  <c r="O299" i="6"/>
  <c r="P299" i="6" s="1"/>
  <c r="L209" i="6"/>
  <c r="O132" i="6"/>
  <c r="P132" i="6" s="1"/>
  <c r="O126" i="6"/>
  <c r="O53" i="6"/>
  <c r="O43" i="6"/>
  <c r="P43" i="6" s="1"/>
  <c r="O37" i="6"/>
  <c r="O35" i="6"/>
  <c r="L33" i="6"/>
  <c r="M33" i="6" s="1"/>
  <c r="N33" i="6" s="1"/>
  <c r="O33" i="6" s="1"/>
  <c r="P33" i="6" s="1"/>
  <c r="O7" i="6"/>
  <c r="P7" i="6" s="1"/>
  <c r="O241" i="6"/>
  <c r="O219" i="6"/>
  <c r="P219" i="6" s="1"/>
  <c r="S195" i="6"/>
  <c r="T195" i="6" s="1"/>
  <c r="U195" i="6" s="1"/>
  <c r="W189" i="6"/>
  <c r="X189" i="6" s="1"/>
  <c r="Y189" i="6" s="1"/>
  <c r="W187" i="6"/>
  <c r="X187" i="6" s="1"/>
  <c r="Y187" i="6" s="1"/>
  <c r="W185" i="6"/>
  <c r="X185" i="6" s="1"/>
  <c r="Y185" i="6" s="1"/>
  <c r="W183" i="6"/>
  <c r="X183" i="6" s="1"/>
  <c r="Y183" i="6" s="1"/>
  <c r="O158" i="6"/>
  <c r="P158" i="6" s="1"/>
  <c r="O285" i="6"/>
  <c r="O281" i="6"/>
  <c r="O120" i="6"/>
  <c r="M293" i="6"/>
  <c r="N293" i="6" s="1"/>
  <c r="O293" i="6" s="1"/>
  <c r="O243" i="6"/>
  <c r="L297" i="6"/>
  <c r="M297" i="6" s="1"/>
  <c r="N297" i="6" s="1"/>
  <c r="O297" i="6" s="1"/>
  <c r="N142" i="6"/>
  <c r="O142" i="6" s="1"/>
  <c r="O63" i="6"/>
  <c r="O301" i="6"/>
  <c r="L140" i="6"/>
  <c r="M140" i="6" s="1"/>
  <c r="N140" i="6" s="1"/>
  <c r="O140" i="6" s="1"/>
  <c r="L116" i="6"/>
  <c r="M116" i="6" s="1"/>
  <c r="N116" i="6" s="1"/>
  <c r="O116" i="6" s="1"/>
  <c r="L67" i="6"/>
  <c r="M67" i="6" s="1"/>
  <c r="N67" i="6" s="1"/>
  <c r="O67" i="6" s="1"/>
  <c r="O9" i="6"/>
  <c r="O5" i="6"/>
  <c r="L360" i="6"/>
  <c r="M360" i="6" s="1"/>
  <c r="N360" i="6" s="1"/>
  <c r="O360" i="6" s="1"/>
  <c r="N269" i="6"/>
  <c r="O269" i="6" s="1"/>
  <c r="L239" i="6"/>
  <c r="M239" i="6" s="1"/>
  <c r="N239" i="6" s="1"/>
  <c r="O239" i="6" s="1"/>
  <c r="O231" i="6"/>
  <c r="O225" i="6"/>
  <c r="O221" i="6"/>
  <c r="O213" i="6"/>
  <c r="L201" i="6"/>
  <c r="M201" i="6" s="1"/>
  <c r="N201" i="6" s="1"/>
  <c r="O201" i="6" s="1"/>
  <c r="O160" i="6"/>
  <c r="O154" i="6"/>
  <c r="O150" i="6"/>
  <c r="O118" i="6"/>
  <c r="O98" i="6"/>
  <c r="O21" i="6"/>
  <c r="O17" i="6"/>
  <c r="O13" i="6"/>
  <c r="O303" i="6"/>
  <c r="O279" i="6"/>
  <c r="O134" i="6"/>
  <c r="L130" i="6"/>
  <c r="M130" i="6" s="1"/>
  <c r="N130" i="6" s="1"/>
  <c r="O130" i="6" s="1"/>
  <c r="O51" i="6"/>
  <c r="O41" i="6"/>
  <c r="S31" i="6"/>
  <c r="T31" i="6" s="1"/>
  <c r="U31" i="6" s="1"/>
  <c r="L27" i="6"/>
  <c r="M27" i="6" s="1"/>
  <c r="N27" i="6" s="1"/>
  <c r="O27" i="6" s="1"/>
  <c r="O227" i="6"/>
  <c r="S211" i="6"/>
  <c r="T211" i="6" s="1"/>
  <c r="U211" i="6" s="1"/>
  <c r="AA205" i="6"/>
  <c r="AB205" i="6" s="1"/>
  <c r="AC205" i="6" s="1"/>
  <c r="O197" i="6"/>
  <c r="W148" i="6"/>
  <c r="X148" i="6" s="1"/>
  <c r="Y148" i="6" s="1"/>
  <c r="W146" i="6"/>
  <c r="X146" i="6" s="1"/>
  <c r="Y146" i="6" s="1"/>
  <c r="O124" i="6"/>
  <c r="O283" i="6"/>
  <c r="O193" i="6"/>
  <c r="S191" i="6"/>
  <c r="T191" i="6" s="1"/>
  <c r="U191" i="6" s="1"/>
  <c r="O96" i="6"/>
  <c r="O65" i="6"/>
  <c r="P71" i="4"/>
  <c r="Q71" i="4"/>
  <c r="K59" i="4"/>
  <c r="L59" i="4" s="1"/>
  <c r="M59" i="4" s="1"/>
  <c r="N59" i="4" s="1"/>
  <c r="O59" i="4" s="1"/>
  <c r="P59" i="4" s="1"/>
  <c r="Q59" i="4" s="1"/>
  <c r="J82" i="4"/>
  <c r="E87" i="4" s="1"/>
  <c r="L3" i="6"/>
  <c r="L106" i="6"/>
  <c r="M106" i="6" s="1"/>
  <c r="N106" i="6" s="1"/>
  <c r="L59" i="6"/>
  <c r="M59" i="6" s="1"/>
  <c r="N59" i="6" s="1"/>
  <c r="O59" i="6" s="1"/>
  <c r="L249" i="6"/>
  <c r="M249" i="6" s="1"/>
  <c r="N249" i="6" s="1"/>
  <c r="L245" i="6"/>
  <c r="M245" i="6" s="1"/>
  <c r="N245" i="6" s="1"/>
  <c r="L215" i="6"/>
  <c r="L199" i="6"/>
  <c r="L110" i="6"/>
  <c r="L289" i="6"/>
  <c r="M289" i="6" s="1"/>
  <c r="N289" i="6" s="1"/>
  <c r="L69" i="6"/>
  <c r="M69" i="6" s="1"/>
  <c r="N69" i="6" s="1"/>
  <c r="K263" i="6"/>
  <c r="L263" i="6" s="1"/>
  <c r="M263" i="6" s="1"/>
  <c r="N263" i="6" s="1"/>
  <c r="L100" i="6"/>
  <c r="M100" i="6" s="1"/>
  <c r="N100" i="6" s="1"/>
  <c r="O100" i="6" s="1"/>
  <c r="L247" i="6"/>
  <c r="M247" i="6" s="1"/>
  <c r="N247" i="6" s="1"/>
  <c r="L112" i="6"/>
  <c r="M112" i="6" s="1"/>
  <c r="N112" i="6" s="1"/>
  <c r="L108" i="6"/>
  <c r="M108" i="6" s="1"/>
  <c r="N108" i="6" s="1"/>
  <c r="L291" i="6"/>
  <c r="M291" i="6" s="1"/>
  <c r="N291" i="6" s="1"/>
  <c r="L94" i="6"/>
  <c r="M94" i="6" s="1"/>
  <c r="N94" i="6" s="1"/>
  <c r="L61" i="6"/>
  <c r="M61" i="6" s="1"/>
  <c r="N61" i="6" s="1"/>
  <c r="O61" i="6" s="1"/>
  <c r="K25" i="6"/>
  <c r="L25" i="6" s="1"/>
  <c r="M25" i="6" s="1"/>
  <c r="N25" i="6" s="1"/>
  <c r="K57" i="6"/>
  <c r="K277" i="6"/>
  <c r="K235" i="6"/>
  <c r="L3" i="5"/>
  <c r="R3" i="4"/>
  <c r="L3" i="4"/>
  <c r="K37" i="4"/>
  <c r="L37" i="4" s="1"/>
  <c r="M37" i="4" s="1"/>
  <c r="N37" i="4" s="1"/>
  <c r="O37" i="4" s="1"/>
  <c r="P37" i="4" s="1"/>
  <c r="Q37" i="4" s="1"/>
  <c r="K49" i="4"/>
  <c r="L49" i="4" s="1"/>
  <c r="M49" i="4" s="1"/>
  <c r="N49" i="4" s="1"/>
  <c r="O49" i="4" s="1"/>
  <c r="P49" i="4" s="1"/>
  <c r="Q49" i="4" s="1"/>
  <c r="J70" i="1"/>
  <c r="J68" i="1"/>
  <c r="J66" i="1"/>
  <c r="J64" i="1"/>
  <c r="J62" i="1"/>
  <c r="BC356" i="6" l="1"/>
  <c r="BD356" i="6" s="1"/>
  <c r="BE356" i="6" s="1"/>
  <c r="BF356" i="6" s="1"/>
  <c r="BG356" i="6" s="1"/>
  <c r="BH356" i="6" s="1"/>
  <c r="BI356" i="6" s="1"/>
  <c r="BJ356" i="6" s="1"/>
  <c r="BK356" i="6" s="1"/>
  <c r="BL356" i="6" s="1"/>
  <c r="BM356" i="6" s="1"/>
  <c r="BN356" i="6" s="1"/>
  <c r="BO356" i="6" s="1"/>
  <c r="BP356" i="6" s="1"/>
  <c r="BQ356" i="6" s="1"/>
  <c r="BR356" i="6" s="1"/>
  <c r="BS356" i="6" s="1"/>
  <c r="BT356" i="6" s="1"/>
  <c r="BU356" i="6" s="1"/>
  <c r="BV356" i="6" s="1"/>
  <c r="BW356" i="6" s="1"/>
  <c r="BX356" i="6" s="1"/>
  <c r="BY356" i="6" s="1"/>
  <c r="BZ356" i="6" s="1"/>
  <c r="CA356" i="6" s="1"/>
  <c r="CB356" i="6" s="1"/>
  <c r="CC356" i="6" s="1"/>
  <c r="CD356" i="6" s="1"/>
  <c r="CE356" i="6" s="1"/>
  <c r="CF356" i="6" s="1"/>
  <c r="CG356" i="6" s="1"/>
  <c r="CH356" i="6" s="1"/>
  <c r="CI356" i="6" s="1"/>
  <c r="CJ356" i="6" s="1"/>
  <c r="CK356" i="6" s="1"/>
  <c r="CL356" i="6" s="1"/>
  <c r="CM356" i="6" s="1"/>
  <c r="CN356" i="6" s="1"/>
  <c r="CO356" i="6" s="1"/>
  <c r="BC265" i="6"/>
  <c r="BD265" i="6" s="1"/>
  <c r="BE265" i="6" s="1"/>
  <c r="BF265" i="6" s="1"/>
  <c r="BG265" i="6" s="1"/>
  <c r="BH265" i="6" s="1"/>
  <c r="BI265" i="6" s="1"/>
  <c r="BJ265" i="6" s="1"/>
  <c r="BK265" i="6" s="1"/>
  <c r="BL265" i="6" s="1"/>
  <c r="BM265" i="6" s="1"/>
  <c r="BN265" i="6" s="1"/>
  <c r="BO265" i="6" s="1"/>
  <c r="BP265" i="6" s="1"/>
  <c r="BQ265" i="6" s="1"/>
  <c r="BR265" i="6" s="1"/>
  <c r="BS265" i="6" s="1"/>
  <c r="BT265" i="6" s="1"/>
  <c r="BU265" i="6" s="1"/>
  <c r="BV265" i="6" s="1"/>
  <c r="BW265" i="6" s="1"/>
  <c r="BX265" i="6" s="1"/>
  <c r="BY265" i="6" s="1"/>
  <c r="BZ265" i="6" s="1"/>
  <c r="CA265" i="6" s="1"/>
  <c r="CB265" i="6" s="1"/>
  <c r="CC265" i="6" s="1"/>
  <c r="CD265" i="6" s="1"/>
  <c r="CE265" i="6" s="1"/>
  <c r="CF265" i="6" s="1"/>
  <c r="CG265" i="6" s="1"/>
  <c r="CH265" i="6" s="1"/>
  <c r="CI265" i="6" s="1"/>
  <c r="CJ265" i="6" s="1"/>
  <c r="CK265" i="6" s="1"/>
  <c r="CL265" i="6" s="1"/>
  <c r="CM265" i="6" s="1"/>
  <c r="CN265" i="6" s="1"/>
  <c r="CO265" i="6" s="1"/>
  <c r="C40" i="8"/>
  <c r="P61" i="6"/>
  <c r="Q61" i="6" s="1"/>
  <c r="R61" i="6" s="1"/>
  <c r="S61" i="6" s="1"/>
  <c r="T61" i="6" s="1"/>
  <c r="U61" i="6" s="1"/>
  <c r="P100" i="6"/>
  <c r="Q100" i="6" s="1"/>
  <c r="R100" i="6" s="1"/>
  <c r="S100" i="6" s="1"/>
  <c r="T100" i="6" s="1"/>
  <c r="U100" i="6" s="1"/>
  <c r="P96" i="6"/>
  <c r="Q96" i="6" s="1"/>
  <c r="R96" i="6" s="1"/>
  <c r="S96" i="6" s="1"/>
  <c r="T96" i="6" s="1"/>
  <c r="U96" i="6" s="1"/>
  <c r="P193" i="6"/>
  <c r="Q193" i="6" s="1"/>
  <c r="R193" i="6" s="1"/>
  <c r="S193" i="6" s="1"/>
  <c r="T193" i="6" s="1"/>
  <c r="U193" i="6" s="1"/>
  <c r="P283" i="6"/>
  <c r="Q283" i="6" s="1"/>
  <c r="R283" i="6" s="1"/>
  <c r="S283" i="6" s="1"/>
  <c r="T283" i="6" s="1"/>
  <c r="U283" i="6" s="1"/>
  <c r="P197" i="6"/>
  <c r="Q197" i="6" s="1"/>
  <c r="R197" i="6" s="1"/>
  <c r="S197" i="6" s="1"/>
  <c r="T197" i="6" s="1"/>
  <c r="U197" i="6" s="1"/>
  <c r="P27" i="6"/>
  <c r="Q27" i="6" s="1"/>
  <c r="R27" i="6" s="1"/>
  <c r="S27" i="6" s="1"/>
  <c r="T27" i="6" s="1"/>
  <c r="U27" i="6" s="1"/>
  <c r="V27" i="6" s="1"/>
  <c r="W27" i="6" s="1"/>
  <c r="X27" i="6" s="1"/>
  <c r="Y27" i="6" s="1"/>
  <c r="Z27" i="6" s="1"/>
  <c r="AA27" i="6" s="1"/>
  <c r="AB27" i="6" s="1"/>
  <c r="AC27" i="6" s="1"/>
  <c r="AD27" i="6" s="1"/>
  <c r="AE27" i="6" s="1"/>
  <c r="P41" i="6"/>
  <c r="Q41" i="6" s="1"/>
  <c r="R41" i="6" s="1"/>
  <c r="S41" i="6" s="1"/>
  <c r="T41" i="6" s="1"/>
  <c r="U41" i="6" s="1"/>
  <c r="P130" i="6"/>
  <c r="Q130" i="6" s="1"/>
  <c r="R130" i="6" s="1"/>
  <c r="S130" i="6" s="1"/>
  <c r="T130" i="6" s="1"/>
  <c r="U130" i="6" s="1"/>
  <c r="V130" i="6" s="1"/>
  <c r="W130" i="6" s="1"/>
  <c r="X130" i="6" s="1"/>
  <c r="Y130" i="6" s="1"/>
  <c r="P279" i="6"/>
  <c r="Q279" i="6" s="1"/>
  <c r="R279" i="6" s="1"/>
  <c r="S279" i="6" s="1"/>
  <c r="T279" i="6" s="1"/>
  <c r="U279" i="6" s="1"/>
  <c r="P13" i="6"/>
  <c r="Q13" i="6" s="1"/>
  <c r="R13" i="6" s="1"/>
  <c r="S13" i="6" s="1"/>
  <c r="T13" i="6" s="1"/>
  <c r="U13" i="6" s="1"/>
  <c r="P21" i="6"/>
  <c r="Q21" i="6" s="1"/>
  <c r="R21" i="6" s="1"/>
  <c r="S21" i="6" s="1"/>
  <c r="T21" i="6" s="1"/>
  <c r="U21" i="6" s="1"/>
  <c r="P118" i="6"/>
  <c r="Q118" i="6" s="1"/>
  <c r="R118" i="6" s="1"/>
  <c r="S118" i="6" s="1"/>
  <c r="T118" i="6" s="1"/>
  <c r="U118" i="6" s="1"/>
  <c r="P154" i="6"/>
  <c r="Q154" i="6" s="1"/>
  <c r="R154" i="6" s="1"/>
  <c r="S154" i="6" s="1"/>
  <c r="T154" i="6" s="1"/>
  <c r="U154" i="6" s="1"/>
  <c r="P201" i="6"/>
  <c r="Q201" i="6" s="1"/>
  <c r="R201" i="6" s="1"/>
  <c r="S201" i="6" s="1"/>
  <c r="T201" i="6" s="1"/>
  <c r="U201" i="6" s="1"/>
  <c r="V201" i="6" s="1"/>
  <c r="W201" i="6" s="1"/>
  <c r="X201" i="6" s="1"/>
  <c r="Y201" i="6" s="1"/>
  <c r="P221" i="6"/>
  <c r="Q221" i="6" s="1"/>
  <c r="R221" i="6" s="1"/>
  <c r="S221" i="6" s="1"/>
  <c r="T221" i="6" s="1"/>
  <c r="U221" i="6" s="1"/>
  <c r="V221" i="6" s="1"/>
  <c r="W221" i="6" s="1"/>
  <c r="X221" i="6" s="1"/>
  <c r="Y221" i="6" s="1"/>
  <c r="Z221" i="6" s="1"/>
  <c r="AA221" i="6" s="1"/>
  <c r="AB221" i="6" s="1"/>
  <c r="AC221" i="6" s="1"/>
  <c r="AD221" i="6" s="1"/>
  <c r="AE221" i="6" s="1"/>
  <c r="AF221" i="6" s="1"/>
  <c r="AG221" i="6" s="1"/>
  <c r="AH221" i="6" s="1"/>
  <c r="AI221" i="6" s="1"/>
  <c r="AJ221" i="6" s="1"/>
  <c r="AK221" i="6" s="1"/>
  <c r="AL221" i="6" s="1"/>
  <c r="AM221" i="6" s="1"/>
  <c r="AN221" i="6" s="1"/>
  <c r="AO221" i="6" s="1"/>
  <c r="AP221" i="6" s="1"/>
  <c r="AQ221" i="6" s="1"/>
  <c r="AR221" i="6" s="1"/>
  <c r="AS221" i="6" s="1"/>
  <c r="AT221" i="6" s="1"/>
  <c r="AU221" i="6" s="1"/>
  <c r="AV221" i="6" s="1"/>
  <c r="AW221" i="6" s="1"/>
  <c r="AX221" i="6" s="1"/>
  <c r="AY221" i="6" s="1"/>
  <c r="AZ221" i="6" s="1"/>
  <c r="BA221" i="6" s="1"/>
  <c r="BB221" i="6" s="1"/>
  <c r="P231" i="6"/>
  <c r="Q231" i="6" s="1"/>
  <c r="R231" i="6" s="1"/>
  <c r="S231" i="6" s="1"/>
  <c r="T231" i="6" s="1"/>
  <c r="U231" i="6" s="1"/>
  <c r="P269" i="6"/>
  <c r="Q269" i="6" s="1"/>
  <c r="R269" i="6" s="1"/>
  <c r="S269" i="6" s="1"/>
  <c r="T269" i="6" s="1"/>
  <c r="U269" i="6" s="1"/>
  <c r="V269" i="6" s="1"/>
  <c r="W269" i="6" s="1"/>
  <c r="X269" i="6" s="1"/>
  <c r="Y269" i="6" s="1"/>
  <c r="Z269" i="6" s="1"/>
  <c r="AA269" i="6" s="1"/>
  <c r="AB269" i="6" s="1"/>
  <c r="AC269" i="6" s="1"/>
  <c r="AD269" i="6" s="1"/>
  <c r="AE269" i="6" s="1"/>
  <c r="P5" i="6"/>
  <c r="Q5" i="6" s="1"/>
  <c r="R5" i="6" s="1"/>
  <c r="S5" i="6" s="1"/>
  <c r="T5" i="6" s="1"/>
  <c r="U5" i="6" s="1"/>
  <c r="P67" i="6"/>
  <c r="Q67" i="6" s="1"/>
  <c r="R67" i="6" s="1"/>
  <c r="S67" i="6" s="1"/>
  <c r="T67" i="6" s="1"/>
  <c r="U67" i="6" s="1"/>
  <c r="V67" i="6" s="1"/>
  <c r="W67" i="6" s="1"/>
  <c r="X67" i="6" s="1"/>
  <c r="Y67" i="6" s="1"/>
  <c r="Z67" i="6" s="1"/>
  <c r="AA67" i="6" s="1"/>
  <c r="AB67" i="6" s="1"/>
  <c r="AC67" i="6" s="1"/>
  <c r="AD67" i="6" s="1"/>
  <c r="AE67" i="6" s="1"/>
  <c r="AF67" i="6" s="1"/>
  <c r="AG67" i="6" s="1"/>
  <c r="AH67" i="6" s="1"/>
  <c r="AI67" i="6" s="1"/>
  <c r="AJ67" i="6" s="1"/>
  <c r="AK67" i="6" s="1"/>
  <c r="AL67" i="6" s="1"/>
  <c r="AM67" i="6" s="1"/>
  <c r="AN67" i="6" s="1"/>
  <c r="AO67" i="6" s="1"/>
  <c r="AP67" i="6" s="1"/>
  <c r="AQ67" i="6" s="1"/>
  <c r="AR67" i="6" s="1"/>
  <c r="AS67" i="6" s="1"/>
  <c r="AT67" i="6" s="1"/>
  <c r="AU67" i="6" s="1"/>
  <c r="P140" i="6"/>
  <c r="Q140" i="6" s="1"/>
  <c r="R140" i="6" s="1"/>
  <c r="S140" i="6" s="1"/>
  <c r="T140" i="6" s="1"/>
  <c r="U140" i="6" s="1"/>
  <c r="V140" i="6" s="1"/>
  <c r="W140" i="6" s="1"/>
  <c r="X140" i="6" s="1"/>
  <c r="Y140" i="6" s="1"/>
  <c r="Z140" i="6" s="1"/>
  <c r="AA140" i="6" s="1"/>
  <c r="AB140" i="6" s="1"/>
  <c r="AC140" i="6" s="1"/>
  <c r="AD140" i="6" s="1"/>
  <c r="AE140" i="6" s="1"/>
  <c r="P63" i="6"/>
  <c r="Q63" i="6" s="1"/>
  <c r="R63" i="6" s="1"/>
  <c r="S63" i="6" s="1"/>
  <c r="T63" i="6" s="1"/>
  <c r="U63" i="6" s="1"/>
  <c r="P297" i="6"/>
  <c r="Q297" i="6" s="1"/>
  <c r="R297" i="6" s="1"/>
  <c r="S297" i="6" s="1"/>
  <c r="T297" i="6" s="1"/>
  <c r="U297" i="6" s="1"/>
  <c r="V297" i="6" s="1"/>
  <c r="W297" i="6" s="1"/>
  <c r="X297" i="6" s="1"/>
  <c r="Y297" i="6" s="1"/>
  <c r="Z297" i="6" s="1"/>
  <c r="AA297" i="6" s="1"/>
  <c r="AB297" i="6" s="1"/>
  <c r="AC297" i="6" s="1"/>
  <c r="AD297" i="6" s="1"/>
  <c r="AE297" i="6" s="1"/>
  <c r="P293" i="6"/>
  <c r="Q293" i="6" s="1"/>
  <c r="R293" i="6" s="1"/>
  <c r="S293" i="6" s="1"/>
  <c r="T293" i="6" s="1"/>
  <c r="U293" i="6" s="1"/>
  <c r="V293" i="6" s="1"/>
  <c r="W293" i="6" s="1"/>
  <c r="X293" i="6" s="1"/>
  <c r="Y293" i="6" s="1"/>
  <c r="Z293" i="6" s="1"/>
  <c r="AA293" i="6" s="1"/>
  <c r="AB293" i="6" s="1"/>
  <c r="AC293" i="6" s="1"/>
  <c r="AD293" i="6" s="1"/>
  <c r="AE293" i="6" s="1"/>
  <c r="P281" i="6"/>
  <c r="Q281" i="6" s="1"/>
  <c r="R281" i="6" s="1"/>
  <c r="S281" i="6" s="1"/>
  <c r="T281" i="6" s="1"/>
  <c r="U281" i="6" s="1"/>
  <c r="P241" i="6"/>
  <c r="Q241" i="6" s="1"/>
  <c r="R241" i="6" s="1"/>
  <c r="S241" i="6" s="1"/>
  <c r="T241" i="6" s="1"/>
  <c r="U241" i="6" s="1"/>
  <c r="P37" i="6"/>
  <c r="Q37" i="6" s="1"/>
  <c r="R37" i="6" s="1"/>
  <c r="S37" i="6" s="1"/>
  <c r="T37" i="6" s="1"/>
  <c r="U37" i="6" s="1"/>
  <c r="P53" i="6"/>
  <c r="Q53" i="6" s="1"/>
  <c r="R53" i="6" s="1"/>
  <c r="S53" i="6" s="1"/>
  <c r="T53" i="6" s="1"/>
  <c r="U53" i="6" s="1"/>
  <c r="P11" i="6"/>
  <c r="Q11" i="6" s="1"/>
  <c r="R11" i="6" s="1"/>
  <c r="S11" i="6" s="1"/>
  <c r="T11" i="6" s="1"/>
  <c r="U11" i="6" s="1"/>
  <c r="P19" i="6"/>
  <c r="Q19" i="6" s="1"/>
  <c r="R19" i="6" s="1"/>
  <c r="S19" i="6" s="1"/>
  <c r="T19" i="6" s="1"/>
  <c r="U19" i="6" s="1"/>
  <c r="P104" i="6"/>
  <c r="Q104" i="6" s="1"/>
  <c r="R104" i="6" s="1"/>
  <c r="S104" i="6" s="1"/>
  <c r="T104" i="6" s="1"/>
  <c r="U104" i="6" s="1"/>
  <c r="P156" i="6"/>
  <c r="Q156" i="6" s="1"/>
  <c r="R156" i="6" s="1"/>
  <c r="S156" i="6" s="1"/>
  <c r="T156" i="6" s="1"/>
  <c r="U156" i="6" s="1"/>
  <c r="P237" i="6"/>
  <c r="Q237" i="6" s="1"/>
  <c r="R237" i="6" s="1"/>
  <c r="S237" i="6" s="1"/>
  <c r="T237" i="6" s="1"/>
  <c r="U237" i="6" s="1"/>
  <c r="V237" i="6" s="1"/>
  <c r="W237" i="6" s="1"/>
  <c r="X237" i="6" s="1"/>
  <c r="Y237" i="6" s="1"/>
  <c r="P49" i="6"/>
  <c r="Q49" i="6" s="1"/>
  <c r="R49" i="6" s="1"/>
  <c r="S49" i="6" s="1"/>
  <c r="T49" i="6" s="1"/>
  <c r="U49" i="6" s="1"/>
  <c r="P217" i="6"/>
  <c r="Q217" i="6" s="1"/>
  <c r="R217" i="6" s="1"/>
  <c r="S217" i="6" s="1"/>
  <c r="T217" i="6" s="1"/>
  <c r="U217" i="6" s="1"/>
  <c r="V217" i="6" s="1"/>
  <c r="W217" i="6" s="1"/>
  <c r="X217" i="6" s="1"/>
  <c r="Y217" i="6" s="1"/>
  <c r="P59" i="6"/>
  <c r="Q59" i="6" s="1"/>
  <c r="R59" i="6" s="1"/>
  <c r="S59" i="6" s="1"/>
  <c r="T59" i="6" s="1"/>
  <c r="U59" i="6" s="1"/>
  <c r="P65" i="6"/>
  <c r="Q65" i="6" s="1"/>
  <c r="R65" i="6" s="1"/>
  <c r="S65" i="6" s="1"/>
  <c r="T65" i="6" s="1"/>
  <c r="U65" i="6" s="1"/>
  <c r="P124" i="6"/>
  <c r="Q124" i="6" s="1"/>
  <c r="R124" i="6" s="1"/>
  <c r="S124" i="6" s="1"/>
  <c r="T124" i="6" s="1"/>
  <c r="U124" i="6" s="1"/>
  <c r="P227" i="6"/>
  <c r="Q227" i="6" s="1"/>
  <c r="R227" i="6" s="1"/>
  <c r="S227" i="6" s="1"/>
  <c r="T227" i="6" s="1"/>
  <c r="U227" i="6" s="1"/>
  <c r="P51" i="6"/>
  <c r="Q51" i="6" s="1"/>
  <c r="R51" i="6" s="1"/>
  <c r="S51" i="6" s="1"/>
  <c r="T51" i="6" s="1"/>
  <c r="U51" i="6" s="1"/>
  <c r="P134" i="6"/>
  <c r="Q134" i="6" s="1"/>
  <c r="R134" i="6" s="1"/>
  <c r="S134" i="6" s="1"/>
  <c r="T134" i="6" s="1"/>
  <c r="U134" i="6" s="1"/>
  <c r="P303" i="6"/>
  <c r="Q303" i="6" s="1"/>
  <c r="R303" i="6" s="1"/>
  <c r="S303" i="6" s="1"/>
  <c r="T303" i="6" s="1"/>
  <c r="U303" i="6" s="1"/>
  <c r="P17" i="6"/>
  <c r="Q17" i="6" s="1"/>
  <c r="R17" i="6" s="1"/>
  <c r="S17" i="6" s="1"/>
  <c r="T17" i="6" s="1"/>
  <c r="U17" i="6" s="1"/>
  <c r="P98" i="6"/>
  <c r="Q98" i="6" s="1"/>
  <c r="R98" i="6" s="1"/>
  <c r="S98" i="6" s="1"/>
  <c r="T98" i="6" s="1"/>
  <c r="U98" i="6" s="1"/>
  <c r="P150" i="6"/>
  <c r="Q150" i="6" s="1"/>
  <c r="R150" i="6" s="1"/>
  <c r="S150" i="6" s="1"/>
  <c r="T150" i="6" s="1"/>
  <c r="U150" i="6" s="1"/>
  <c r="P160" i="6"/>
  <c r="Q160" i="6" s="1"/>
  <c r="R160" i="6" s="1"/>
  <c r="S160" i="6" s="1"/>
  <c r="T160" i="6" s="1"/>
  <c r="U160" i="6" s="1"/>
  <c r="P213" i="6"/>
  <c r="Q213" i="6" s="1"/>
  <c r="R213" i="6" s="1"/>
  <c r="S213" i="6" s="1"/>
  <c r="T213" i="6" s="1"/>
  <c r="U213" i="6" s="1"/>
  <c r="P225" i="6"/>
  <c r="Q225" i="6" s="1"/>
  <c r="R225" i="6" s="1"/>
  <c r="S225" i="6" s="1"/>
  <c r="T225" i="6" s="1"/>
  <c r="U225" i="6" s="1"/>
  <c r="P239" i="6"/>
  <c r="Q239" i="6" s="1"/>
  <c r="R239" i="6" s="1"/>
  <c r="S239" i="6" s="1"/>
  <c r="T239" i="6" s="1"/>
  <c r="U239" i="6" s="1"/>
  <c r="V239" i="6" s="1"/>
  <c r="W239" i="6" s="1"/>
  <c r="X239" i="6" s="1"/>
  <c r="Y239" i="6" s="1"/>
  <c r="P360" i="6"/>
  <c r="Q360" i="6" s="1"/>
  <c r="R360" i="6" s="1"/>
  <c r="S360" i="6" s="1"/>
  <c r="T360" i="6" s="1"/>
  <c r="U360" i="6" s="1"/>
  <c r="V360" i="6" s="1"/>
  <c r="W360" i="6" s="1"/>
  <c r="X360" i="6" s="1"/>
  <c r="Y360" i="6" s="1"/>
  <c r="P9" i="6"/>
  <c r="Q9" i="6" s="1"/>
  <c r="R9" i="6" s="1"/>
  <c r="S9" i="6" s="1"/>
  <c r="T9" i="6" s="1"/>
  <c r="U9" i="6" s="1"/>
  <c r="P116" i="6"/>
  <c r="Q116" i="6" s="1"/>
  <c r="R116" i="6" s="1"/>
  <c r="S116" i="6" s="1"/>
  <c r="T116" i="6" s="1"/>
  <c r="U116" i="6" s="1"/>
  <c r="V116" i="6" s="1"/>
  <c r="W116" i="6" s="1"/>
  <c r="X116" i="6" s="1"/>
  <c r="Y116" i="6" s="1"/>
  <c r="P301" i="6"/>
  <c r="Q301" i="6" s="1"/>
  <c r="R301" i="6" s="1"/>
  <c r="S301" i="6" s="1"/>
  <c r="T301" i="6" s="1"/>
  <c r="U301" i="6" s="1"/>
  <c r="P142" i="6"/>
  <c r="Q142" i="6" s="1"/>
  <c r="R142" i="6" s="1"/>
  <c r="S142" i="6" s="1"/>
  <c r="T142" i="6" s="1"/>
  <c r="U142" i="6" s="1"/>
  <c r="V142" i="6" s="1"/>
  <c r="W142" i="6" s="1"/>
  <c r="X142" i="6" s="1"/>
  <c r="Y142" i="6" s="1"/>
  <c r="Z142" i="6" s="1"/>
  <c r="AA142" i="6" s="1"/>
  <c r="AB142" i="6" s="1"/>
  <c r="AC142" i="6" s="1"/>
  <c r="AD142" i="6" s="1"/>
  <c r="AE142" i="6" s="1"/>
  <c r="AF142" i="6" s="1"/>
  <c r="AG142" i="6" s="1"/>
  <c r="AH142" i="6" s="1"/>
  <c r="AI142" i="6" s="1"/>
  <c r="P243" i="6"/>
  <c r="Q243" i="6" s="1"/>
  <c r="R243" i="6" s="1"/>
  <c r="S243" i="6" s="1"/>
  <c r="T243" i="6" s="1"/>
  <c r="U243" i="6" s="1"/>
  <c r="P120" i="6"/>
  <c r="Q120" i="6" s="1"/>
  <c r="R120" i="6" s="1"/>
  <c r="S120" i="6" s="1"/>
  <c r="T120" i="6" s="1"/>
  <c r="U120" i="6" s="1"/>
  <c r="P285" i="6"/>
  <c r="Q285" i="6" s="1"/>
  <c r="R285" i="6" s="1"/>
  <c r="S285" i="6" s="1"/>
  <c r="T285" i="6" s="1"/>
  <c r="U285" i="6" s="1"/>
  <c r="P35" i="6"/>
  <c r="Q35" i="6" s="1"/>
  <c r="R35" i="6" s="1"/>
  <c r="S35" i="6" s="1"/>
  <c r="T35" i="6" s="1"/>
  <c r="U35" i="6" s="1"/>
  <c r="P126" i="6"/>
  <c r="Q126" i="6" s="1"/>
  <c r="R126" i="6" s="1"/>
  <c r="S126" i="6" s="1"/>
  <c r="T126" i="6" s="1"/>
  <c r="U126" i="6" s="1"/>
  <c r="P346" i="6"/>
  <c r="Q346" i="6" s="1"/>
  <c r="R346" i="6" s="1"/>
  <c r="S346" i="6" s="1"/>
  <c r="T346" i="6" s="1"/>
  <c r="U346" i="6" s="1"/>
  <c r="P15" i="6"/>
  <c r="Q15" i="6" s="1"/>
  <c r="R15" i="6" s="1"/>
  <c r="S15" i="6" s="1"/>
  <c r="T15" i="6" s="1"/>
  <c r="U15" i="6" s="1"/>
  <c r="P152" i="6"/>
  <c r="Q152" i="6" s="1"/>
  <c r="R152" i="6" s="1"/>
  <c r="S152" i="6" s="1"/>
  <c r="T152" i="6" s="1"/>
  <c r="U152" i="6" s="1"/>
  <c r="P229" i="6"/>
  <c r="Q229" i="6" s="1"/>
  <c r="R229" i="6" s="1"/>
  <c r="S229" i="6" s="1"/>
  <c r="T229" i="6" s="1"/>
  <c r="U229" i="6" s="1"/>
  <c r="V229" i="6" s="1"/>
  <c r="W229" i="6" s="1"/>
  <c r="X229" i="6" s="1"/>
  <c r="Y229" i="6" s="1"/>
  <c r="Z229" i="6" s="1"/>
  <c r="AA229" i="6" s="1"/>
  <c r="AB229" i="6" s="1"/>
  <c r="AC229" i="6" s="1"/>
  <c r="AD229" i="6" s="1"/>
  <c r="AE229" i="6" s="1"/>
  <c r="P273" i="6"/>
  <c r="Q273" i="6" s="1"/>
  <c r="R273" i="6" s="1"/>
  <c r="S273" i="6" s="1"/>
  <c r="T273" i="6" s="1"/>
  <c r="U273" i="6" s="1"/>
  <c r="V273" i="6" s="1"/>
  <c r="W273" i="6" s="1"/>
  <c r="X273" i="6" s="1"/>
  <c r="Y273" i="6" s="1"/>
  <c r="P55" i="6"/>
  <c r="Q55" i="6" s="1"/>
  <c r="R55" i="6" s="1"/>
  <c r="S55" i="6" s="1"/>
  <c r="T55" i="6" s="1"/>
  <c r="U55" i="6" s="1"/>
  <c r="P138" i="6"/>
  <c r="Q138" i="6" s="1"/>
  <c r="R138" i="6" s="1"/>
  <c r="S138" i="6" s="1"/>
  <c r="T138" i="6" s="1"/>
  <c r="U138" i="6" s="1"/>
  <c r="V138" i="6" s="1"/>
  <c r="W138" i="6" s="1"/>
  <c r="X138" i="6" s="1"/>
  <c r="Y138" i="6" s="1"/>
  <c r="Z271" i="6"/>
  <c r="AA271" i="6" s="1"/>
  <c r="AB271" i="6" s="1"/>
  <c r="AC271" i="6" s="1"/>
  <c r="AD271" i="6" s="1"/>
  <c r="AE271" i="6" s="1"/>
  <c r="AF271" i="6" s="1"/>
  <c r="AG271" i="6" s="1"/>
  <c r="AH271" i="6" s="1"/>
  <c r="AI271" i="6" s="1"/>
  <c r="AJ271" i="6" s="1"/>
  <c r="AK271" i="6" s="1"/>
  <c r="AL271" i="6" s="1"/>
  <c r="AM271" i="6" s="1"/>
  <c r="AN271" i="6" s="1"/>
  <c r="AO271" i="6" s="1"/>
  <c r="AP271" i="6" s="1"/>
  <c r="AQ271" i="6" s="1"/>
  <c r="AR271" i="6" s="1"/>
  <c r="AS271" i="6" s="1"/>
  <c r="AT271" i="6" s="1"/>
  <c r="AU271" i="6" s="1"/>
  <c r="AV271" i="6" s="1"/>
  <c r="AW271" i="6" s="1"/>
  <c r="AX271" i="6" s="1"/>
  <c r="AY271" i="6" s="1"/>
  <c r="AZ271" i="6" s="1"/>
  <c r="BA271" i="6" s="1"/>
  <c r="BB271" i="6" s="1"/>
  <c r="Z267" i="6"/>
  <c r="AA267" i="6" s="1"/>
  <c r="AB267" i="6" s="1"/>
  <c r="AC267" i="6" s="1"/>
  <c r="AD267" i="6" s="1"/>
  <c r="AE267" i="6" s="1"/>
  <c r="AF267" i="6" s="1"/>
  <c r="AG267" i="6" s="1"/>
  <c r="AH267" i="6" s="1"/>
  <c r="AI267" i="6" s="1"/>
  <c r="AJ267" i="6" s="1"/>
  <c r="AK267" i="6" s="1"/>
  <c r="AL267" i="6" s="1"/>
  <c r="AM267" i="6" s="1"/>
  <c r="AN267" i="6" s="1"/>
  <c r="AO267" i="6" s="1"/>
  <c r="AP267" i="6" s="1"/>
  <c r="AQ267" i="6" s="1"/>
  <c r="AR267" i="6" s="1"/>
  <c r="AS267" i="6" s="1"/>
  <c r="AT267" i="6" s="1"/>
  <c r="AU267" i="6" s="1"/>
  <c r="AV267" i="6" s="1"/>
  <c r="AW267" i="6" s="1"/>
  <c r="AX267" i="6" s="1"/>
  <c r="AY267" i="6" s="1"/>
  <c r="AZ267" i="6" s="1"/>
  <c r="BA267" i="6" s="1"/>
  <c r="BB267" i="6" s="1"/>
  <c r="Z364" i="6"/>
  <c r="AA364" i="6" s="1"/>
  <c r="AB364" i="6" s="1"/>
  <c r="AC364" i="6" s="1"/>
  <c r="AD364" i="6" s="1"/>
  <c r="AE364" i="6" s="1"/>
  <c r="AF364" i="6" s="1"/>
  <c r="AG364" i="6" s="1"/>
  <c r="AH364" i="6" s="1"/>
  <c r="AI364" i="6" s="1"/>
  <c r="AJ364" i="6" s="1"/>
  <c r="AK364" i="6" s="1"/>
  <c r="AL364" i="6" s="1"/>
  <c r="AM364" i="6" s="1"/>
  <c r="AN364" i="6" s="1"/>
  <c r="AO364" i="6" s="1"/>
  <c r="AP364" i="6" s="1"/>
  <c r="AQ364" i="6" s="1"/>
  <c r="AR364" i="6" s="1"/>
  <c r="AS364" i="6" s="1"/>
  <c r="AT364" i="6" s="1"/>
  <c r="AU364" i="6" s="1"/>
  <c r="AV364" i="6" s="1"/>
  <c r="AW364" i="6" s="1"/>
  <c r="AX364" i="6" s="1"/>
  <c r="AY364" i="6" s="1"/>
  <c r="AZ364" i="6" s="1"/>
  <c r="BA364" i="6" s="1"/>
  <c r="BB364" i="6" s="1"/>
  <c r="AP348" i="6"/>
  <c r="AQ348" i="6" s="1"/>
  <c r="AR348" i="6" s="1"/>
  <c r="AS348" i="6" s="1"/>
  <c r="AH358" i="6"/>
  <c r="AI358" i="6" s="1"/>
  <c r="AJ358" i="6" s="1"/>
  <c r="AK358" i="6" s="1"/>
  <c r="AL358" i="6" s="1"/>
  <c r="AM358" i="6" s="1"/>
  <c r="AN358" i="6" s="1"/>
  <c r="AO358" i="6" s="1"/>
  <c r="AP358" i="6" s="1"/>
  <c r="AQ358" i="6" s="1"/>
  <c r="AR358" i="6" s="1"/>
  <c r="AS358" i="6" s="1"/>
  <c r="AT358" i="6" s="1"/>
  <c r="AU358" i="6" s="1"/>
  <c r="AV358" i="6" s="1"/>
  <c r="AW358" i="6" s="1"/>
  <c r="AX358" i="6" s="1"/>
  <c r="AY358" i="6" s="1"/>
  <c r="AZ358" i="6" s="1"/>
  <c r="BA358" i="6" s="1"/>
  <c r="BB358" i="6" s="1"/>
  <c r="V350" i="6"/>
  <c r="W350" i="6" s="1"/>
  <c r="X350" i="6" s="1"/>
  <c r="Y350" i="6" s="1"/>
  <c r="Q33" i="6"/>
  <c r="R33" i="6" s="1"/>
  <c r="S33" i="6" s="1"/>
  <c r="T33" i="6" s="1"/>
  <c r="U33" i="6" s="1"/>
  <c r="V33" i="6" s="1"/>
  <c r="W33" i="6" s="1"/>
  <c r="X33" i="6" s="1"/>
  <c r="Y33" i="6" s="1"/>
  <c r="Z33" i="6" s="1"/>
  <c r="AA33" i="6" s="1"/>
  <c r="AB33" i="6" s="1"/>
  <c r="AC33" i="6" s="1"/>
  <c r="AD33" i="6" s="1"/>
  <c r="AE33" i="6" s="1"/>
  <c r="AF33" i="6" s="1"/>
  <c r="AG33" i="6" s="1"/>
  <c r="AH33" i="6" s="1"/>
  <c r="AI33" i="6" s="1"/>
  <c r="AJ33" i="6" s="1"/>
  <c r="AK33" i="6" s="1"/>
  <c r="AL33" i="6" s="1"/>
  <c r="AM33" i="6" s="1"/>
  <c r="AN33" i="6" s="1"/>
  <c r="AO33" i="6" s="1"/>
  <c r="AP33" i="6" s="1"/>
  <c r="AQ33" i="6" s="1"/>
  <c r="AR33" i="6" s="1"/>
  <c r="AS33" i="6" s="1"/>
  <c r="AT33" i="6" s="1"/>
  <c r="AU33" i="6" s="1"/>
  <c r="AV33" i="6" s="1"/>
  <c r="AW33" i="6" s="1"/>
  <c r="AX33" i="6" s="1"/>
  <c r="AY33" i="6" s="1"/>
  <c r="AZ33" i="6" s="1"/>
  <c r="BA33" i="6" s="1"/>
  <c r="BB33" i="6" s="1"/>
  <c r="T29" i="4"/>
  <c r="U29" i="4" s="1"/>
  <c r="V29" i="4" s="1"/>
  <c r="W29" i="4" s="1"/>
  <c r="X29" i="4" s="1"/>
  <c r="Y29" i="4" s="1"/>
  <c r="Z29" i="4" s="1"/>
  <c r="AA29" i="4" s="1"/>
  <c r="AB29" i="4" s="1"/>
  <c r="AC29" i="4" s="1"/>
  <c r="AD29" i="4" s="1"/>
  <c r="AE29" i="4" s="1"/>
  <c r="AF29" i="4" s="1"/>
  <c r="AG29" i="4" s="1"/>
  <c r="AH29" i="4" s="1"/>
  <c r="AI29" i="4" s="1"/>
  <c r="AJ29" i="4" s="1"/>
  <c r="AK29" i="4" s="1"/>
  <c r="AL29" i="4" s="1"/>
  <c r="AM29" i="4" s="1"/>
  <c r="AN29" i="4" s="1"/>
  <c r="AO29" i="4" s="1"/>
  <c r="AP29" i="4" s="1"/>
  <c r="AQ29" i="4" s="1"/>
  <c r="AR29" i="4" s="1"/>
  <c r="AS29" i="4" s="1"/>
  <c r="AT29" i="4" s="1"/>
  <c r="AU29" i="4" s="1"/>
  <c r="AV29" i="4" s="1"/>
  <c r="AW29" i="4" s="1"/>
  <c r="AX29" i="4" s="1"/>
  <c r="AY29" i="4" s="1"/>
  <c r="AZ29" i="4" s="1"/>
  <c r="BA29" i="4" s="1"/>
  <c r="BB29" i="4" s="1"/>
  <c r="BC29" i="4" s="1"/>
  <c r="BD29" i="4" s="1"/>
  <c r="BE29" i="4" s="1"/>
  <c r="BF29" i="4" s="1"/>
  <c r="BG29" i="4" s="1"/>
  <c r="BH29" i="4" s="1"/>
  <c r="BI29" i="4" s="1"/>
  <c r="BJ29" i="4" s="1"/>
  <c r="BK29" i="4" s="1"/>
  <c r="BL29" i="4" s="1"/>
  <c r="BM29" i="4" s="1"/>
  <c r="BN29" i="4" s="1"/>
  <c r="BO29" i="4" s="1"/>
  <c r="BP29" i="4" s="1"/>
  <c r="BQ29" i="4" s="1"/>
  <c r="BR29" i="4" s="1"/>
  <c r="BS29" i="4" s="1"/>
  <c r="BT29" i="4" s="1"/>
  <c r="BU29" i="4" s="1"/>
  <c r="BV29" i="4" s="1"/>
  <c r="BW29" i="4" s="1"/>
  <c r="BX29" i="4" s="1"/>
  <c r="BY29" i="4" s="1"/>
  <c r="BZ29" i="4" s="1"/>
  <c r="CA29" i="4" s="1"/>
  <c r="CB29" i="4" s="1"/>
  <c r="CC29" i="4" s="1"/>
  <c r="CD29" i="4" s="1"/>
  <c r="CE29" i="4" s="1"/>
  <c r="CF29" i="4" s="1"/>
  <c r="CG29" i="4" s="1"/>
  <c r="CH29" i="4" s="1"/>
  <c r="CI29" i="4" s="1"/>
  <c r="CJ29" i="4" s="1"/>
  <c r="CK29" i="4" s="1"/>
  <c r="CL29" i="4" s="1"/>
  <c r="CM29" i="4" s="1"/>
  <c r="CN29" i="4" s="1"/>
  <c r="CO29" i="4" s="1"/>
  <c r="V43" i="4"/>
  <c r="W43" i="4" s="1"/>
  <c r="X43" i="4" s="1"/>
  <c r="Y43" i="4" s="1"/>
  <c r="Z63" i="4"/>
  <c r="AA63" i="4" s="1"/>
  <c r="AB63" i="4" s="1"/>
  <c r="AC63" i="4" s="1"/>
  <c r="AD63" i="4" s="1"/>
  <c r="AE63" i="4" s="1"/>
  <c r="AF63" i="4" s="1"/>
  <c r="AG63" i="4" s="1"/>
  <c r="AH63" i="4" s="1"/>
  <c r="AI63" i="4" s="1"/>
  <c r="AJ63" i="4" s="1"/>
  <c r="AK63" i="4" s="1"/>
  <c r="AL63" i="4" s="1"/>
  <c r="AM63" i="4" s="1"/>
  <c r="AN63" i="4" s="1"/>
  <c r="AO63" i="4" s="1"/>
  <c r="AP63" i="4" s="1"/>
  <c r="AQ63" i="4" s="1"/>
  <c r="AR63" i="4" s="1"/>
  <c r="AS63" i="4" s="1"/>
  <c r="AT63" i="4" s="1"/>
  <c r="AU63" i="4" s="1"/>
  <c r="AV63" i="4" s="1"/>
  <c r="AW63" i="4" s="1"/>
  <c r="AX63" i="4" s="1"/>
  <c r="AY63" i="4" s="1"/>
  <c r="AZ63" i="4" s="1"/>
  <c r="BA63" i="4" s="1"/>
  <c r="BB63" i="4" s="1"/>
  <c r="BC63" i="4" s="1"/>
  <c r="BD63" i="4" s="1"/>
  <c r="BE63" i="4" s="1"/>
  <c r="BF63" i="4" s="1"/>
  <c r="BG63" i="4" s="1"/>
  <c r="BH63" i="4" s="1"/>
  <c r="BI63" i="4" s="1"/>
  <c r="BJ63" i="4" s="1"/>
  <c r="BK63" i="4" s="1"/>
  <c r="BL63" i="4" s="1"/>
  <c r="BM63" i="4" s="1"/>
  <c r="BN63" i="4" s="1"/>
  <c r="BO63" i="4" s="1"/>
  <c r="BP63" i="4" s="1"/>
  <c r="BQ63" i="4" s="1"/>
  <c r="BR63" i="4" s="1"/>
  <c r="BS63" i="4" s="1"/>
  <c r="BT63" i="4" s="1"/>
  <c r="BU63" i="4" s="1"/>
  <c r="BV63" i="4" s="1"/>
  <c r="BW63" i="4" s="1"/>
  <c r="BX63" i="4" s="1"/>
  <c r="BY63" i="4" s="1"/>
  <c r="BZ63" i="4" s="1"/>
  <c r="CA63" i="4" s="1"/>
  <c r="CB63" i="4" s="1"/>
  <c r="CC63" i="4" s="1"/>
  <c r="CD63" i="4" s="1"/>
  <c r="CE63" i="4" s="1"/>
  <c r="CF63" i="4" s="1"/>
  <c r="CG63" i="4" s="1"/>
  <c r="CH63" i="4" s="1"/>
  <c r="CI63" i="4" s="1"/>
  <c r="CJ63" i="4" s="1"/>
  <c r="CK63" i="4" s="1"/>
  <c r="CL63" i="4" s="1"/>
  <c r="CM63" i="4" s="1"/>
  <c r="CN63" i="4" s="1"/>
  <c r="CO63" i="4" s="1"/>
  <c r="V77" i="4"/>
  <c r="W77" i="4" s="1"/>
  <c r="V80" i="4"/>
  <c r="W80" i="4" s="1"/>
  <c r="X80" i="4" s="1"/>
  <c r="Y80" i="4" s="1"/>
  <c r="Z80" i="4" s="1"/>
  <c r="AA80" i="4" s="1"/>
  <c r="AB80" i="4" s="1"/>
  <c r="AC80" i="4" s="1"/>
  <c r="AD80" i="4" s="1"/>
  <c r="AE80" i="4" s="1"/>
  <c r="AF80" i="4" s="1"/>
  <c r="AG80" i="4" s="1"/>
  <c r="AH80" i="4" s="1"/>
  <c r="AI80" i="4" s="1"/>
  <c r="AJ80" i="4" s="1"/>
  <c r="AK80" i="4" s="1"/>
  <c r="AL80" i="4" s="1"/>
  <c r="AM80" i="4" s="1"/>
  <c r="AN80" i="4" s="1"/>
  <c r="AO80" i="4" s="1"/>
  <c r="AP80" i="4" s="1"/>
  <c r="AQ80" i="4" s="1"/>
  <c r="AR80" i="4" s="1"/>
  <c r="AS80" i="4" s="1"/>
  <c r="AT80" i="4" s="1"/>
  <c r="AU80" i="4" s="1"/>
  <c r="AV80" i="4" s="1"/>
  <c r="AW80" i="4" s="1"/>
  <c r="AX80" i="4" s="1"/>
  <c r="AY80" i="4" s="1"/>
  <c r="AZ80" i="4" s="1"/>
  <c r="BA80" i="4" s="1"/>
  <c r="BB80" i="4" s="1"/>
  <c r="BC80" i="4" s="1"/>
  <c r="BD80" i="4" s="1"/>
  <c r="BE80" i="4" s="1"/>
  <c r="BF80" i="4" s="1"/>
  <c r="BG80" i="4" s="1"/>
  <c r="BH80" i="4" s="1"/>
  <c r="BI80" i="4" s="1"/>
  <c r="BJ80" i="4" s="1"/>
  <c r="BK80" i="4" s="1"/>
  <c r="BL80" i="4" s="1"/>
  <c r="BM80" i="4" s="1"/>
  <c r="BN80" i="4" s="1"/>
  <c r="BO80" i="4" s="1"/>
  <c r="BP80" i="4" s="1"/>
  <c r="BQ80" i="4" s="1"/>
  <c r="BR80" i="4" s="1"/>
  <c r="BS80" i="4" s="1"/>
  <c r="BT80" i="4" s="1"/>
  <c r="BU80" i="4" s="1"/>
  <c r="BV80" i="4" s="1"/>
  <c r="BW80" i="4" s="1"/>
  <c r="BX80" i="4" s="1"/>
  <c r="BY80" i="4" s="1"/>
  <c r="BZ80" i="4" s="1"/>
  <c r="CA80" i="4" s="1"/>
  <c r="CB80" i="4" s="1"/>
  <c r="CC80" i="4" s="1"/>
  <c r="CD80" i="4" s="1"/>
  <c r="CE80" i="4" s="1"/>
  <c r="CF80" i="4" s="1"/>
  <c r="CG80" i="4" s="1"/>
  <c r="CH80" i="4" s="1"/>
  <c r="CI80" i="4" s="1"/>
  <c r="CJ80" i="4" s="1"/>
  <c r="CK80" i="4" s="1"/>
  <c r="CL80" i="4" s="1"/>
  <c r="CM80" i="4" s="1"/>
  <c r="CN80" i="4" s="1"/>
  <c r="CO80" i="4" s="1"/>
  <c r="T31" i="4"/>
  <c r="U31" i="4" s="1"/>
  <c r="V31" i="4" s="1"/>
  <c r="W31" i="4" s="1"/>
  <c r="X31" i="4" s="1"/>
  <c r="Y31" i="4" s="1"/>
  <c r="Z31" i="4" s="1"/>
  <c r="AA31" i="4" s="1"/>
  <c r="AB31" i="4" s="1"/>
  <c r="AC31" i="4" s="1"/>
  <c r="AD31" i="4" s="1"/>
  <c r="AE31" i="4" s="1"/>
  <c r="AF31" i="4" s="1"/>
  <c r="AG31" i="4" s="1"/>
  <c r="AH31" i="4" s="1"/>
  <c r="AI31" i="4" s="1"/>
  <c r="AJ31" i="4" s="1"/>
  <c r="AK31" i="4" s="1"/>
  <c r="AL31" i="4" s="1"/>
  <c r="AM31" i="4" s="1"/>
  <c r="AN31" i="4" s="1"/>
  <c r="AO31" i="4" s="1"/>
  <c r="AP31" i="4" s="1"/>
  <c r="AQ31" i="4" s="1"/>
  <c r="AR31" i="4" s="1"/>
  <c r="AS31" i="4" s="1"/>
  <c r="AT31" i="4" s="1"/>
  <c r="AU31" i="4" s="1"/>
  <c r="AV31" i="4" s="1"/>
  <c r="AW31" i="4" s="1"/>
  <c r="AX31" i="4" s="1"/>
  <c r="AY31" i="4" s="1"/>
  <c r="AZ31" i="4" s="1"/>
  <c r="BA31" i="4" s="1"/>
  <c r="BB31" i="4" s="1"/>
  <c r="BC31" i="4" s="1"/>
  <c r="BD31" i="4" s="1"/>
  <c r="BE31" i="4" s="1"/>
  <c r="BF31" i="4" s="1"/>
  <c r="BG31" i="4" s="1"/>
  <c r="BH31" i="4" s="1"/>
  <c r="BI31" i="4" s="1"/>
  <c r="BJ31" i="4" s="1"/>
  <c r="BK31" i="4" s="1"/>
  <c r="BL31" i="4" s="1"/>
  <c r="BM31" i="4" s="1"/>
  <c r="BN31" i="4" s="1"/>
  <c r="BO31" i="4" s="1"/>
  <c r="BP31" i="4" s="1"/>
  <c r="BQ31" i="4" s="1"/>
  <c r="BR31" i="4" s="1"/>
  <c r="BS31" i="4" s="1"/>
  <c r="BT31" i="4" s="1"/>
  <c r="BU31" i="4" s="1"/>
  <c r="BV31" i="4" s="1"/>
  <c r="BW31" i="4" s="1"/>
  <c r="BX31" i="4" s="1"/>
  <c r="BY31" i="4" s="1"/>
  <c r="BZ31" i="4" s="1"/>
  <c r="CA31" i="4" s="1"/>
  <c r="CB31" i="4" s="1"/>
  <c r="CC31" i="4" s="1"/>
  <c r="CD31" i="4" s="1"/>
  <c r="CE31" i="4" s="1"/>
  <c r="CF31" i="4" s="1"/>
  <c r="CG31" i="4" s="1"/>
  <c r="CH31" i="4" s="1"/>
  <c r="CI31" i="4" s="1"/>
  <c r="CJ31" i="4" s="1"/>
  <c r="CK31" i="4" s="1"/>
  <c r="CL31" i="4" s="1"/>
  <c r="CM31" i="4" s="1"/>
  <c r="CN31" i="4" s="1"/>
  <c r="CO31" i="4" s="1"/>
  <c r="V41" i="4"/>
  <c r="W41" i="4" s="1"/>
  <c r="X41" i="4" s="1"/>
  <c r="Y41" i="4" s="1"/>
  <c r="Z41" i="4" s="1"/>
  <c r="AA41" i="4" s="1"/>
  <c r="AB41" i="4" s="1"/>
  <c r="AC41" i="4" s="1"/>
  <c r="AD41" i="4" s="1"/>
  <c r="AE41" i="4" s="1"/>
  <c r="AF41" i="4" s="1"/>
  <c r="AG41" i="4" s="1"/>
  <c r="AH41" i="4" s="1"/>
  <c r="AI41" i="4" s="1"/>
  <c r="AJ41" i="4" s="1"/>
  <c r="AK41" i="4" s="1"/>
  <c r="AL41" i="4" s="1"/>
  <c r="AM41" i="4" s="1"/>
  <c r="AN41" i="4" s="1"/>
  <c r="AO41" i="4" s="1"/>
  <c r="AP41" i="4" s="1"/>
  <c r="AQ41" i="4" s="1"/>
  <c r="AR41" i="4" s="1"/>
  <c r="AS41" i="4" s="1"/>
  <c r="AT41" i="4" s="1"/>
  <c r="AU41" i="4" s="1"/>
  <c r="AV41" i="4" s="1"/>
  <c r="AW41" i="4" s="1"/>
  <c r="AX41" i="4" s="1"/>
  <c r="AY41" i="4" s="1"/>
  <c r="AZ41" i="4" s="1"/>
  <c r="BA41" i="4" s="1"/>
  <c r="BB41" i="4" s="1"/>
  <c r="BC41" i="4" s="1"/>
  <c r="BD41" i="4" s="1"/>
  <c r="BE41" i="4" s="1"/>
  <c r="BF41" i="4" s="1"/>
  <c r="BG41" i="4" s="1"/>
  <c r="BH41" i="4" s="1"/>
  <c r="BI41" i="4" s="1"/>
  <c r="BJ41" i="4" s="1"/>
  <c r="BK41" i="4" s="1"/>
  <c r="BL41" i="4" s="1"/>
  <c r="BM41" i="4" s="1"/>
  <c r="BN41" i="4" s="1"/>
  <c r="BO41" i="4" s="1"/>
  <c r="BP41" i="4" s="1"/>
  <c r="BQ41" i="4" s="1"/>
  <c r="BR41" i="4" s="1"/>
  <c r="BS41" i="4" s="1"/>
  <c r="BT41" i="4" s="1"/>
  <c r="BU41" i="4" s="1"/>
  <c r="BV41" i="4" s="1"/>
  <c r="BW41" i="4" s="1"/>
  <c r="BX41" i="4" s="1"/>
  <c r="BY41" i="4" s="1"/>
  <c r="BZ41" i="4" s="1"/>
  <c r="CA41" i="4" s="1"/>
  <c r="CB41" i="4" s="1"/>
  <c r="CC41" i="4" s="1"/>
  <c r="CD41" i="4" s="1"/>
  <c r="CE41" i="4" s="1"/>
  <c r="CF41" i="4" s="1"/>
  <c r="CG41" i="4" s="1"/>
  <c r="CH41" i="4" s="1"/>
  <c r="CI41" i="4" s="1"/>
  <c r="CJ41" i="4" s="1"/>
  <c r="CK41" i="4" s="1"/>
  <c r="CL41" i="4" s="1"/>
  <c r="CM41" i="4" s="1"/>
  <c r="CN41" i="4" s="1"/>
  <c r="CO41" i="4" s="1"/>
  <c r="V65" i="4"/>
  <c r="W65" i="4" s="1"/>
  <c r="X65" i="4" s="1"/>
  <c r="Y65" i="4" s="1"/>
  <c r="Z65" i="4" s="1"/>
  <c r="AA65" i="4" s="1"/>
  <c r="AB65" i="4" s="1"/>
  <c r="AC65" i="4" s="1"/>
  <c r="AD65" i="4" s="1"/>
  <c r="AE65" i="4" s="1"/>
  <c r="AF65" i="4" s="1"/>
  <c r="AG65" i="4" s="1"/>
  <c r="AH65" i="4" s="1"/>
  <c r="AI65" i="4" s="1"/>
  <c r="AJ65" i="4" s="1"/>
  <c r="AK65" i="4" s="1"/>
  <c r="AL65" i="4" s="1"/>
  <c r="AM65" i="4" s="1"/>
  <c r="AN65" i="4" s="1"/>
  <c r="AO65" i="4" s="1"/>
  <c r="AP65" i="4" s="1"/>
  <c r="AQ65" i="4" s="1"/>
  <c r="AR65" i="4" s="1"/>
  <c r="AS65" i="4" s="1"/>
  <c r="AT65" i="4" s="1"/>
  <c r="AU65" i="4" s="1"/>
  <c r="AV65" i="4" s="1"/>
  <c r="AW65" i="4" s="1"/>
  <c r="AX65" i="4" s="1"/>
  <c r="AY65" i="4" s="1"/>
  <c r="AZ65" i="4" s="1"/>
  <c r="BA65" i="4" s="1"/>
  <c r="BB65" i="4" s="1"/>
  <c r="BC65" i="4" s="1"/>
  <c r="BD65" i="4" s="1"/>
  <c r="BE65" i="4" s="1"/>
  <c r="BF65" i="4" s="1"/>
  <c r="BG65" i="4" s="1"/>
  <c r="BH65" i="4" s="1"/>
  <c r="BI65" i="4" s="1"/>
  <c r="BJ65" i="4" s="1"/>
  <c r="BK65" i="4" s="1"/>
  <c r="BL65" i="4" s="1"/>
  <c r="BM65" i="4" s="1"/>
  <c r="BN65" i="4" s="1"/>
  <c r="BO65" i="4" s="1"/>
  <c r="BP65" i="4" s="1"/>
  <c r="BQ65" i="4" s="1"/>
  <c r="BR65" i="4" s="1"/>
  <c r="BS65" i="4" s="1"/>
  <c r="BT65" i="4" s="1"/>
  <c r="BU65" i="4" s="1"/>
  <c r="BV65" i="4" s="1"/>
  <c r="BW65" i="4" s="1"/>
  <c r="BX65" i="4" s="1"/>
  <c r="BY65" i="4" s="1"/>
  <c r="BZ65" i="4" s="1"/>
  <c r="CA65" i="4" s="1"/>
  <c r="CB65" i="4" s="1"/>
  <c r="CC65" i="4" s="1"/>
  <c r="CD65" i="4" s="1"/>
  <c r="CE65" i="4" s="1"/>
  <c r="CF65" i="4" s="1"/>
  <c r="CG65" i="4" s="1"/>
  <c r="CH65" i="4" s="1"/>
  <c r="CI65" i="4" s="1"/>
  <c r="CJ65" i="4" s="1"/>
  <c r="CK65" i="4" s="1"/>
  <c r="CL65" i="4" s="1"/>
  <c r="CM65" i="4" s="1"/>
  <c r="CN65" i="4" s="1"/>
  <c r="CO65" i="4" s="1"/>
  <c r="V73" i="4"/>
  <c r="W73" i="4" s="1"/>
  <c r="X73" i="4" s="1"/>
  <c r="Y73" i="4" s="1"/>
  <c r="Z73" i="4" s="1"/>
  <c r="AA73" i="4" s="1"/>
  <c r="AB73" i="4" s="1"/>
  <c r="AC73" i="4" s="1"/>
  <c r="AD73" i="4" s="1"/>
  <c r="AE73" i="4" s="1"/>
  <c r="AF73" i="4" s="1"/>
  <c r="AG73" i="4" s="1"/>
  <c r="AH73" i="4" s="1"/>
  <c r="AI73" i="4" s="1"/>
  <c r="AJ73" i="4" s="1"/>
  <c r="AK73" i="4" s="1"/>
  <c r="AL73" i="4" s="1"/>
  <c r="AM73" i="4" s="1"/>
  <c r="AN73" i="4" s="1"/>
  <c r="AO73" i="4" s="1"/>
  <c r="AP73" i="4" s="1"/>
  <c r="AQ73" i="4" s="1"/>
  <c r="AR73" i="4" s="1"/>
  <c r="AS73" i="4" s="1"/>
  <c r="AT73" i="4" s="1"/>
  <c r="AU73" i="4" s="1"/>
  <c r="AV73" i="4" s="1"/>
  <c r="AW73" i="4" s="1"/>
  <c r="AX73" i="4" s="1"/>
  <c r="AY73" i="4" s="1"/>
  <c r="AZ73" i="4" s="1"/>
  <c r="BA73" i="4" s="1"/>
  <c r="BB73" i="4" s="1"/>
  <c r="BC73" i="4" s="1"/>
  <c r="BD73" i="4" s="1"/>
  <c r="BE73" i="4" s="1"/>
  <c r="BF73" i="4" s="1"/>
  <c r="BG73" i="4" s="1"/>
  <c r="BH73" i="4" s="1"/>
  <c r="BI73" i="4" s="1"/>
  <c r="BJ73" i="4" s="1"/>
  <c r="BK73" i="4" s="1"/>
  <c r="BL73" i="4" s="1"/>
  <c r="BM73" i="4" s="1"/>
  <c r="BN73" i="4" s="1"/>
  <c r="BO73" i="4" s="1"/>
  <c r="BP73" i="4" s="1"/>
  <c r="BQ73" i="4" s="1"/>
  <c r="BR73" i="4" s="1"/>
  <c r="BS73" i="4" s="1"/>
  <c r="BT73" i="4" s="1"/>
  <c r="BU73" i="4" s="1"/>
  <c r="BV73" i="4" s="1"/>
  <c r="BW73" i="4" s="1"/>
  <c r="BX73" i="4" s="1"/>
  <c r="BY73" i="4" s="1"/>
  <c r="BZ73" i="4" s="1"/>
  <c r="CA73" i="4" s="1"/>
  <c r="CB73" i="4" s="1"/>
  <c r="CC73" i="4" s="1"/>
  <c r="CD73" i="4" s="1"/>
  <c r="CE73" i="4" s="1"/>
  <c r="CF73" i="4" s="1"/>
  <c r="CG73" i="4" s="1"/>
  <c r="CH73" i="4" s="1"/>
  <c r="CI73" i="4" s="1"/>
  <c r="CJ73" i="4" s="1"/>
  <c r="CK73" i="4" s="1"/>
  <c r="CL73" i="4" s="1"/>
  <c r="CM73" i="4" s="1"/>
  <c r="CN73" i="4" s="1"/>
  <c r="CO73" i="4" s="1"/>
  <c r="AF19" i="4"/>
  <c r="AG19" i="4" s="1"/>
  <c r="AH19" i="4" s="1"/>
  <c r="AI19" i="4" s="1"/>
  <c r="AJ19" i="4" s="1"/>
  <c r="AK19" i="4" s="1"/>
  <c r="AL19" i="4" s="1"/>
  <c r="AM19" i="4" s="1"/>
  <c r="AN19" i="4" s="1"/>
  <c r="AO19" i="4" s="1"/>
  <c r="AP19" i="4" s="1"/>
  <c r="AQ19" i="4" s="1"/>
  <c r="AR19" i="4" s="1"/>
  <c r="AS19" i="4" s="1"/>
  <c r="AT19" i="4" s="1"/>
  <c r="AU19" i="4" s="1"/>
  <c r="AV19" i="4" s="1"/>
  <c r="AW19" i="4" s="1"/>
  <c r="AX19" i="4" s="1"/>
  <c r="AY19" i="4" s="1"/>
  <c r="AZ19" i="4" s="1"/>
  <c r="BA19" i="4" s="1"/>
  <c r="BB19" i="4" s="1"/>
  <c r="BC19" i="4" s="1"/>
  <c r="BD19" i="4" s="1"/>
  <c r="BE19" i="4" s="1"/>
  <c r="BF19" i="4" s="1"/>
  <c r="BG19" i="4" s="1"/>
  <c r="BH19" i="4" s="1"/>
  <c r="BI19" i="4" s="1"/>
  <c r="BJ19" i="4" s="1"/>
  <c r="BK19" i="4" s="1"/>
  <c r="BL19" i="4" s="1"/>
  <c r="BM19" i="4" s="1"/>
  <c r="BN19" i="4" s="1"/>
  <c r="BO19" i="4" s="1"/>
  <c r="BP19" i="4" s="1"/>
  <c r="BQ19" i="4" s="1"/>
  <c r="BR19" i="4" s="1"/>
  <c r="BS19" i="4" s="1"/>
  <c r="BT19" i="4" s="1"/>
  <c r="BU19" i="4" s="1"/>
  <c r="BV19" i="4" s="1"/>
  <c r="BW19" i="4" s="1"/>
  <c r="BX19" i="4" s="1"/>
  <c r="BY19" i="4" s="1"/>
  <c r="BZ19" i="4" s="1"/>
  <c r="CA19" i="4" s="1"/>
  <c r="CB19" i="4" s="1"/>
  <c r="CC19" i="4" s="1"/>
  <c r="CD19" i="4" s="1"/>
  <c r="CE19" i="4" s="1"/>
  <c r="CF19" i="4" s="1"/>
  <c r="CG19" i="4" s="1"/>
  <c r="CH19" i="4" s="1"/>
  <c r="CI19" i="4" s="1"/>
  <c r="CJ19" i="4" s="1"/>
  <c r="CK19" i="4" s="1"/>
  <c r="CL19" i="4" s="1"/>
  <c r="CM19" i="4" s="1"/>
  <c r="CN19" i="4" s="1"/>
  <c r="CO19" i="4" s="1"/>
  <c r="V57" i="4"/>
  <c r="W57" i="4" s="1"/>
  <c r="X57" i="4" s="1"/>
  <c r="Y57" i="4" s="1"/>
  <c r="Z57" i="4" s="1"/>
  <c r="AA57" i="4" s="1"/>
  <c r="AB57" i="4" s="1"/>
  <c r="AC57" i="4" s="1"/>
  <c r="AD57" i="4" s="1"/>
  <c r="AE57" i="4" s="1"/>
  <c r="AF57" i="4" s="1"/>
  <c r="AG57" i="4" s="1"/>
  <c r="AH57" i="4" s="1"/>
  <c r="AI57" i="4" s="1"/>
  <c r="AJ57" i="4" s="1"/>
  <c r="AK57" i="4" s="1"/>
  <c r="AL57" i="4" s="1"/>
  <c r="AM57" i="4" s="1"/>
  <c r="AN57" i="4" s="1"/>
  <c r="AO57" i="4" s="1"/>
  <c r="AP57" i="4" s="1"/>
  <c r="AQ57" i="4" s="1"/>
  <c r="AR57" i="4" s="1"/>
  <c r="AS57" i="4" s="1"/>
  <c r="AT57" i="4" s="1"/>
  <c r="AU57" i="4" s="1"/>
  <c r="AV57" i="4" s="1"/>
  <c r="AW57" i="4" s="1"/>
  <c r="AX57" i="4" s="1"/>
  <c r="AY57" i="4" s="1"/>
  <c r="AZ57" i="4" s="1"/>
  <c r="BA57" i="4" s="1"/>
  <c r="BB57" i="4" s="1"/>
  <c r="BC57" i="4" s="1"/>
  <c r="BD57" i="4" s="1"/>
  <c r="BE57" i="4" s="1"/>
  <c r="BF57" i="4" s="1"/>
  <c r="BG57" i="4" s="1"/>
  <c r="BH57" i="4" s="1"/>
  <c r="BI57" i="4" s="1"/>
  <c r="BJ57" i="4" s="1"/>
  <c r="BK57" i="4" s="1"/>
  <c r="BL57" i="4" s="1"/>
  <c r="BM57" i="4" s="1"/>
  <c r="BN57" i="4" s="1"/>
  <c r="BO57" i="4" s="1"/>
  <c r="BP57" i="4" s="1"/>
  <c r="BQ57" i="4" s="1"/>
  <c r="BR57" i="4" s="1"/>
  <c r="BS57" i="4" s="1"/>
  <c r="BT57" i="4" s="1"/>
  <c r="BU57" i="4" s="1"/>
  <c r="BV57" i="4" s="1"/>
  <c r="BW57" i="4" s="1"/>
  <c r="BX57" i="4" s="1"/>
  <c r="BY57" i="4" s="1"/>
  <c r="BZ57" i="4" s="1"/>
  <c r="CA57" i="4" s="1"/>
  <c r="CB57" i="4" s="1"/>
  <c r="CC57" i="4" s="1"/>
  <c r="CD57" i="4" s="1"/>
  <c r="CE57" i="4" s="1"/>
  <c r="CF57" i="4" s="1"/>
  <c r="CG57" i="4" s="1"/>
  <c r="CH57" i="4" s="1"/>
  <c r="CI57" i="4" s="1"/>
  <c r="CJ57" i="4" s="1"/>
  <c r="CK57" i="4" s="1"/>
  <c r="CL57" i="4" s="1"/>
  <c r="CM57" i="4" s="1"/>
  <c r="CN57" i="4" s="1"/>
  <c r="CO57" i="4" s="1"/>
  <c r="V67" i="4"/>
  <c r="W67" i="4" s="1"/>
  <c r="X67" i="4" s="1"/>
  <c r="Y67" i="4" s="1"/>
  <c r="Z67" i="4" s="1"/>
  <c r="AA67" i="4" s="1"/>
  <c r="AB67" i="4" s="1"/>
  <c r="AC67" i="4" s="1"/>
  <c r="AD67" i="4" s="1"/>
  <c r="AE67" i="4" s="1"/>
  <c r="AF67" i="4" s="1"/>
  <c r="AG67" i="4" s="1"/>
  <c r="AH67" i="4" s="1"/>
  <c r="AI67" i="4" s="1"/>
  <c r="AJ67" i="4" s="1"/>
  <c r="AK67" i="4" s="1"/>
  <c r="AL67" i="4" s="1"/>
  <c r="AM67" i="4" s="1"/>
  <c r="AN67" i="4" s="1"/>
  <c r="AO67" i="4" s="1"/>
  <c r="AP67" i="4" s="1"/>
  <c r="AQ67" i="4" s="1"/>
  <c r="AR67" i="4" s="1"/>
  <c r="AS67" i="4" s="1"/>
  <c r="AT67" i="4" s="1"/>
  <c r="AU67" i="4" s="1"/>
  <c r="AV67" i="4" s="1"/>
  <c r="AW67" i="4" s="1"/>
  <c r="AX67" i="4" s="1"/>
  <c r="AY67" i="4" s="1"/>
  <c r="AZ67" i="4" s="1"/>
  <c r="BA67" i="4" s="1"/>
  <c r="BB67" i="4" s="1"/>
  <c r="BC67" i="4" s="1"/>
  <c r="BD67" i="4" s="1"/>
  <c r="BE67" i="4" s="1"/>
  <c r="BF67" i="4" s="1"/>
  <c r="BG67" i="4" s="1"/>
  <c r="BH67" i="4" s="1"/>
  <c r="BI67" i="4" s="1"/>
  <c r="BJ67" i="4" s="1"/>
  <c r="BK67" i="4" s="1"/>
  <c r="BL67" i="4" s="1"/>
  <c r="BM67" i="4" s="1"/>
  <c r="BN67" i="4" s="1"/>
  <c r="BO67" i="4" s="1"/>
  <c r="BP67" i="4" s="1"/>
  <c r="BQ67" i="4" s="1"/>
  <c r="BR67" i="4" s="1"/>
  <c r="BS67" i="4" s="1"/>
  <c r="BT67" i="4" s="1"/>
  <c r="BU67" i="4" s="1"/>
  <c r="BV67" i="4" s="1"/>
  <c r="BW67" i="4" s="1"/>
  <c r="BX67" i="4" s="1"/>
  <c r="BY67" i="4" s="1"/>
  <c r="BZ67" i="4" s="1"/>
  <c r="CA67" i="4" s="1"/>
  <c r="CB67" i="4" s="1"/>
  <c r="CC67" i="4" s="1"/>
  <c r="CD67" i="4" s="1"/>
  <c r="CE67" i="4" s="1"/>
  <c r="CF67" i="4" s="1"/>
  <c r="CG67" i="4" s="1"/>
  <c r="CH67" i="4" s="1"/>
  <c r="CI67" i="4" s="1"/>
  <c r="CJ67" i="4" s="1"/>
  <c r="CK67" i="4" s="1"/>
  <c r="CL67" i="4" s="1"/>
  <c r="CM67" i="4" s="1"/>
  <c r="CN67" i="4" s="1"/>
  <c r="CO67" i="4" s="1"/>
  <c r="V7" i="4"/>
  <c r="W7" i="4" s="1"/>
  <c r="X7" i="4" s="1"/>
  <c r="Y7" i="4" s="1"/>
  <c r="Z7" i="4" s="1"/>
  <c r="AA7" i="4" s="1"/>
  <c r="AB7" i="4" s="1"/>
  <c r="AC7" i="4" s="1"/>
  <c r="AD7" i="4" s="1"/>
  <c r="AE7" i="4" s="1"/>
  <c r="AF7" i="4" s="1"/>
  <c r="AG7" i="4" s="1"/>
  <c r="AH7" i="4" s="1"/>
  <c r="AI7" i="4" s="1"/>
  <c r="AJ7" i="4" s="1"/>
  <c r="AK7" i="4" s="1"/>
  <c r="AL7" i="4" s="1"/>
  <c r="AM7" i="4" s="1"/>
  <c r="AN7" i="4" s="1"/>
  <c r="AO7" i="4" s="1"/>
  <c r="AP7" i="4" s="1"/>
  <c r="AQ7" i="4" s="1"/>
  <c r="AR7" i="4" s="1"/>
  <c r="AS7" i="4" s="1"/>
  <c r="AT7" i="4" s="1"/>
  <c r="AU7" i="4" s="1"/>
  <c r="AV7" i="4" s="1"/>
  <c r="AW7" i="4" s="1"/>
  <c r="AX7" i="4" s="1"/>
  <c r="AY7" i="4" s="1"/>
  <c r="AZ7" i="4" s="1"/>
  <c r="BA7" i="4" s="1"/>
  <c r="BB7" i="4" s="1"/>
  <c r="BC7" i="4" s="1"/>
  <c r="BD7" i="4" s="1"/>
  <c r="BE7" i="4" s="1"/>
  <c r="BF7" i="4" s="1"/>
  <c r="BG7" i="4" s="1"/>
  <c r="BH7" i="4" s="1"/>
  <c r="BI7" i="4" s="1"/>
  <c r="BJ7" i="4" s="1"/>
  <c r="BK7" i="4" s="1"/>
  <c r="BL7" i="4" s="1"/>
  <c r="BM7" i="4" s="1"/>
  <c r="BN7" i="4" s="1"/>
  <c r="BO7" i="4" s="1"/>
  <c r="BP7" i="4" s="1"/>
  <c r="BQ7" i="4" s="1"/>
  <c r="BR7" i="4" s="1"/>
  <c r="BS7" i="4" s="1"/>
  <c r="BT7" i="4" s="1"/>
  <c r="BU7" i="4" s="1"/>
  <c r="BV7" i="4" s="1"/>
  <c r="BW7" i="4" s="1"/>
  <c r="BX7" i="4" s="1"/>
  <c r="BY7" i="4" s="1"/>
  <c r="BZ7" i="4" s="1"/>
  <c r="CA7" i="4" s="1"/>
  <c r="CB7" i="4" s="1"/>
  <c r="CC7" i="4" s="1"/>
  <c r="CD7" i="4" s="1"/>
  <c r="CE7" i="4" s="1"/>
  <c r="CF7" i="4" s="1"/>
  <c r="CG7" i="4" s="1"/>
  <c r="CH7" i="4" s="1"/>
  <c r="CI7" i="4" s="1"/>
  <c r="CJ7" i="4" s="1"/>
  <c r="CK7" i="4" s="1"/>
  <c r="CL7" i="4" s="1"/>
  <c r="CM7" i="4" s="1"/>
  <c r="CN7" i="4" s="1"/>
  <c r="CO7" i="4" s="1"/>
  <c r="V61" i="4"/>
  <c r="W61" i="4" s="1"/>
  <c r="X61" i="4" s="1"/>
  <c r="Y61" i="4" s="1"/>
  <c r="Z61" i="4" s="1"/>
  <c r="AA61" i="4" s="1"/>
  <c r="AB61" i="4" s="1"/>
  <c r="AC61" i="4" s="1"/>
  <c r="AD61" i="4" s="1"/>
  <c r="AE61" i="4" s="1"/>
  <c r="AF61" i="4" s="1"/>
  <c r="AG61" i="4" s="1"/>
  <c r="AH61" i="4" s="1"/>
  <c r="AI61" i="4" s="1"/>
  <c r="AJ61" i="4" s="1"/>
  <c r="AK61" i="4" s="1"/>
  <c r="AL61" i="4" s="1"/>
  <c r="AM61" i="4" s="1"/>
  <c r="AN61" i="4" s="1"/>
  <c r="AO61" i="4" s="1"/>
  <c r="AP61" i="4" s="1"/>
  <c r="AQ61" i="4" s="1"/>
  <c r="AR61" i="4" s="1"/>
  <c r="AS61" i="4" s="1"/>
  <c r="AT61" i="4" s="1"/>
  <c r="AU61" i="4" s="1"/>
  <c r="AV61" i="4" s="1"/>
  <c r="AW61" i="4" s="1"/>
  <c r="AX61" i="4" s="1"/>
  <c r="AY61" i="4" s="1"/>
  <c r="AZ61" i="4" s="1"/>
  <c r="BA61" i="4" s="1"/>
  <c r="BB61" i="4" s="1"/>
  <c r="BC61" i="4" s="1"/>
  <c r="BD61" i="4" s="1"/>
  <c r="BE61" i="4" s="1"/>
  <c r="BF61" i="4" s="1"/>
  <c r="BG61" i="4" s="1"/>
  <c r="BH61" i="4" s="1"/>
  <c r="BI61" i="4" s="1"/>
  <c r="BJ61" i="4" s="1"/>
  <c r="BK61" i="4" s="1"/>
  <c r="BL61" i="4" s="1"/>
  <c r="BM61" i="4" s="1"/>
  <c r="BN61" i="4" s="1"/>
  <c r="BO61" i="4" s="1"/>
  <c r="BP61" i="4" s="1"/>
  <c r="BQ61" i="4" s="1"/>
  <c r="BR61" i="4" s="1"/>
  <c r="BS61" i="4" s="1"/>
  <c r="BT61" i="4" s="1"/>
  <c r="BU61" i="4" s="1"/>
  <c r="BV61" i="4" s="1"/>
  <c r="BW61" i="4" s="1"/>
  <c r="BX61" i="4" s="1"/>
  <c r="BY61" i="4" s="1"/>
  <c r="BZ61" i="4" s="1"/>
  <c r="CA61" i="4" s="1"/>
  <c r="CB61" i="4" s="1"/>
  <c r="CC61" i="4" s="1"/>
  <c r="CD61" i="4" s="1"/>
  <c r="CE61" i="4" s="1"/>
  <c r="CF61" i="4" s="1"/>
  <c r="CG61" i="4" s="1"/>
  <c r="CH61" i="4" s="1"/>
  <c r="CI61" i="4" s="1"/>
  <c r="CJ61" i="4" s="1"/>
  <c r="CK61" i="4" s="1"/>
  <c r="CL61" i="4" s="1"/>
  <c r="CM61" i="4" s="1"/>
  <c r="CN61" i="4" s="1"/>
  <c r="CO61" i="4" s="1"/>
  <c r="Z45" i="4"/>
  <c r="AA45" i="4" s="1"/>
  <c r="AB45" i="4" s="1"/>
  <c r="AC45" i="4" s="1"/>
  <c r="AD45" i="4" s="1"/>
  <c r="AE45" i="4" s="1"/>
  <c r="AF45" i="4" s="1"/>
  <c r="AG45" i="4" s="1"/>
  <c r="AH45" i="4" s="1"/>
  <c r="AI45" i="4" s="1"/>
  <c r="AJ45" i="4" s="1"/>
  <c r="AK45" i="4" s="1"/>
  <c r="AL45" i="4" s="1"/>
  <c r="AM45" i="4" s="1"/>
  <c r="AN45" i="4" s="1"/>
  <c r="AO45" i="4" s="1"/>
  <c r="AP45" i="4" s="1"/>
  <c r="AQ45" i="4" s="1"/>
  <c r="AR45" i="4" s="1"/>
  <c r="AS45" i="4" s="1"/>
  <c r="AT45" i="4" s="1"/>
  <c r="AU45" i="4" s="1"/>
  <c r="AV45" i="4" s="1"/>
  <c r="AW45" i="4" s="1"/>
  <c r="AX45" i="4" s="1"/>
  <c r="AY45" i="4" s="1"/>
  <c r="AZ45" i="4" s="1"/>
  <c r="BA45" i="4" s="1"/>
  <c r="BB45" i="4" s="1"/>
  <c r="BC45" i="4" s="1"/>
  <c r="BD45" i="4" s="1"/>
  <c r="BE45" i="4" s="1"/>
  <c r="BF45" i="4" s="1"/>
  <c r="BG45" i="4" s="1"/>
  <c r="BH45" i="4" s="1"/>
  <c r="BI45" i="4" s="1"/>
  <c r="BJ45" i="4" s="1"/>
  <c r="BK45" i="4" s="1"/>
  <c r="BL45" i="4" s="1"/>
  <c r="BM45" i="4" s="1"/>
  <c r="BN45" i="4" s="1"/>
  <c r="BO45" i="4" s="1"/>
  <c r="BP45" i="4" s="1"/>
  <c r="BQ45" i="4" s="1"/>
  <c r="BR45" i="4" s="1"/>
  <c r="BS45" i="4" s="1"/>
  <c r="BT45" i="4" s="1"/>
  <c r="BU45" i="4" s="1"/>
  <c r="BV45" i="4" s="1"/>
  <c r="BW45" i="4" s="1"/>
  <c r="BX45" i="4" s="1"/>
  <c r="BY45" i="4" s="1"/>
  <c r="BZ45" i="4" s="1"/>
  <c r="CA45" i="4" s="1"/>
  <c r="CB45" i="4" s="1"/>
  <c r="CC45" i="4" s="1"/>
  <c r="CD45" i="4" s="1"/>
  <c r="CE45" i="4" s="1"/>
  <c r="CF45" i="4" s="1"/>
  <c r="CG45" i="4" s="1"/>
  <c r="CH45" i="4" s="1"/>
  <c r="CI45" i="4" s="1"/>
  <c r="CJ45" i="4" s="1"/>
  <c r="CK45" i="4" s="1"/>
  <c r="CL45" i="4" s="1"/>
  <c r="CM45" i="4" s="1"/>
  <c r="CN45" i="4" s="1"/>
  <c r="CO45" i="4" s="1"/>
  <c r="V69" i="4"/>
  <c r="W69" i="4" s="1"/>
  <c r="V79" i="4"/>
  <c r="W79" i="4" s="1"/>
  <c r="X79" i="4" s="1"/>
  <c r="Y79" i="4" s="1"/>
  <c r="Z79" i="4" s="1"/>
  <c r="AA79" i="4" s="1"/>
  <c r="AB79" i="4" s="1"/>
  <c r="AC79" i="4" s="1"/>
  <c r="AD79" i="4" s="1"/>
  <c r="AE79" i="4" s="1"/>
  <c r="AF79" i="4" s="1"/>
  <c r="AG79" i="4" s="1"/>
  <c r="AH79" i="4" s="1"/>
  <c r="AI79" i="4" s="1"/>
  <c r="AJ79" i="4" s="1"/>
  <c r="AK79" i="4" s="1"/>
  <c r="AL79" i="4" s="1"/>
  <c r="AM79" i="4" s="1"/>
  <c r="AN79" i="4" s="1"/>
  <c r="AO79" i="4" s="1"/>
  <c r="AP79" i="4" s="1"/>
  <c r="AQ79" i="4" s="1"/>
  <c r="AR79" i="4" s="1"/>
  <c r="AS79" i="4" s="1"/>
  <c r="AT79" i="4" s="1"/>
  <c r="AU79" i="4" s="1"/>
  <c r="AV79" i="4" s="1"/>
  <c r="AW79" i="4" s="1"/>
  <c r="AX79" i="4" s="1"/>
  <c r="AY79" i="4" s="1"/>
  <c r="AZ79" i="4" s="1"/>
  <c r="BA79" i="4" s="1"/>
  <c r="BB79" i="4" s="1"/>
  <c r="BC79" i="4" s="1"/>
  <c r="BD79" i="4" s="1"/>
  <c r="BE79" i="4" s="1"/>
  <c r="BF79" i="4" s="1"/>
  <c r="BG79" i="4" s="1"/>
  <c r="BH79" i="4" s="1"/>
  <c r="BI79" i="4" s="1"/>
  <c r="BJ79" i="4" s="1"/>
  <c r="BK79" i="4" s="1"/>
  <c r="BL79" i="4" s="1"/>
  <c r="BM79" i="4" s="1"/>
  <c r="BN79" i="4" s="1"/>
  <c r="BO79" i="4" s="1"/>
  <c r="BP79" i="4" s="1"/>
  <c r="BQ79" i="4" s="1"/>
  <c r="BR79" i="4" s="1"/>
  <c r="BS79" i="4" s="1"/>
  <c r="BT79" i="4" s="1"/>
  <c r="BU79" i="4" s="1"/>
  <c r="BV79" i="4" s="1"/>
  <c r="BW79" i="4" s="1"/>
  <c r="BX79" i="4" s="1"/>
  <c r="BY79" i="4" s="1"/>
  <c r="BZ79" i="4" s="1"/>
  <c r="CA79" i="4" s="1"/>
  <c r="CB79" i="4" s="1"/>
  <c r="CC79" i="4" s="1"/>
  <c r="CD79" i="4" s="1"/>
  <c r="CE79" i="4" s="1"/>
  <c r="CF79" i="4" s="1"/>
  <c r="CG79" i="4" s="1"/>
  <c r="CH79" i="4" s="1"/>
  <c r="CI79" i="4" s="1"/>
  <c r="CJ79" i="4" s="1"/>
  <c r="CK79" i="4" s="1"/>
  <c r="CL79" i="4" s="1"/>
  <c r="CM79" i="4" s="1"/>
  <c r="CN79" i="4" s="1"/>
  <c r="CO79" i="4" s="1"/>
  <c r="V75" i="4"/>
  <c r="W75" i="4" s="1"/>
  <c r="X75" i="4" s="1"/>
  <c r="Y75" i="4" s="1"/>
  <c r="Z75" i="4" s="1"/>
  <c r="AA75" i="4" s="1"/>
  <c r="AB75" i="4" s="1"/>
  <c r="AC75" i="4" s="1"/>
  <c r="AD75" i="4" s="1"/>
  <c r="AE75" i="4" s="1"/>
  <c r="AF75" i="4" s="1"/>
  <c r="AG75" i="4" s="1"/>
  <c r="AH75" i="4" s="1"/>
  <c r="AI75" i="4" s="1"/>
  <c r="AJ75" i="4" s="1"/>
  <c r="AK75" i="4" s="1"/>
  <c r="AL75" i="4" s="1"/>
  <c r="AM75" i="4" s="1"/>
  <c r="AN75" i="4" s="1"/>
  <c r="AO75" i="4" s="1"/>
  <c r="AP75" i="4" s="1"/>
  <c r="AQ75" i="4" s="1"/>
  <c r="AR75" i="4" s="1"/>
  <c r="AS75" i="4" s="1"/>
  <c r="AT75" i="4" s="1"/>
  <c r="AU75" i="4" s="1"/>
  <c r="AV75" i="4" s="1"/>
  <c r="AW75" i="4" s="1"/>
  <c r="AX75" i="4" s="1"/>
  <c r="AY75" i="4" s="1"/>
  <c r="AZ75" i="4" s="1"/>
  <c r="BA75" i="4" s="1"/>
  <c r="BB75" i="4" s="1"/>
  <c r="BC75" i="4" s="1"/>
  <c r="BD75" i="4" s="1"/>
  <c r="BE75" i="4" s="1"/>
  <c r="BF75" i="4" s="1"/>
  <c r="BG75" i="4" s="1"/>
  <c r="BH75" i="4" s="1"/>
  <c r="BI75" i="4" s="1"/>
  <c r="BJ75" i="4" s="1"/>
  <c r="BK75" i="4" s="1"/>
  <c r="BL75" i="4" s="1"/>
  <c r="BM75" i="4" s="1"/>
  <c r="BN75" i="4" s="1"/>
  <c r="BO75" i="4" s="1"/>
  <c r="BP75" i="4" s="1"/>
  <c r="BQ75" i="4" s="1"/>
  <c r="BR75" i="4" s="1"/>
  <c r="BS75" i="4" s="1"/>
  <c r="BT75" i="4" s="1"/>
  <c r="BU75" i="4" s="1"/>
  <c r="BV75" i="4" s="1"/>
  <c r="BW75" i="4" s="1"/>
  <c r="BX75" i="4" s="1"/>
  <c r="BY75" i="4" s="1"/>
  <c r="BZ75" i="4" s="1"/>
  <c r="CA75" i="4" s="1"/>
  <c r="CB75" i="4" s="1"/>
  <c r="CC75" i="4" s="1"/>
  <c r="CD75" i="4" s="1"/>
  <c r="CE75" i="4" s="1"/>
  <c r="CF75" i="4" s="1"/>
  <c r="CG75" i="4" s="1"/>
  <c r="CH75" i="4" s="1"/>
  <c r="CI75" i="4" s="1"/>
  <c r="CJ75" i="4" s="1"/>
  <c r="CK75" i="4" s="1"/>
  <c r="CL75" i="4" s="1"/>
  <c r="CM75" i="4" s="1"/>
  <c r="CN75" i="4" s="1"/>
  <c r="CO75" i="4" s="1"/>
  <c r="AB39" i="4"/>
  <c r="AC39" i="4" s="1"/>
  <c r="AD39" i="4" s="1"/>
  <c r="AE39" i="4" s="1"/>
  <c r="AF39" i="4" s="1"/>
  <c r="AG39" i="4" s="1"/>
  <c r="AH39" i="4" s="1"/>
  <c r="AI39" i="4" s="1"/>
  <c r="AJ39" i="4" s="1"/>
  <c r="AK39" i="4" s="1"/>
  <c r="AL39" i="4" s="1"/>
  <c r="AM39" i="4" s="1"/>
  <c r="AN39" i="4" s="1"/>
  <c r="AO39" i="4" s="1"/>
  <c r="AP39" i="4" s="1"/>
  <c r="AQ39" i="4" s="1"/>
  <c r="AR39" i="4" s="1"/>
  <c r="AS39" i="4" s="1"/>
  <c r="AT39" i="4" s="1"/>
  <c r="AU39" i="4" s="1"/>
  <c r="AV39" i="4" s="1"/>
  <c r="AW39" i="4" s="1"/>
  <c r="AX39" i="4" s="1"/>
  <c r="AY39" i="4" s="1"/>
  <c r="AZ39" i="4" s="1"/>
  <c r="BA39" i="4" s="1"/>
  <c r="BB39" i="4" s="1"/>
  <c r="BC39" i="4" s="1"/>
  <c r="BD39" i="4" s="1"/>
  <c r="BE39" i="4" s="1"/>
  <c r="BF39" i="4" s="1"/>
  <c r="BG39" i="4" s="1"/>
  <c r="BH39" i="4" s="1"/>
  <c r="BI39" i="4" s="1"/>
  <c r="BJ39" i="4" s="1"/>
  <c r="BK39" i="4" s="1"/>
  <c r="BL39" i="4" s="1"/>
  <c r="BM39" i="4" s="1"/>
  <c r="BN39" i="4" s="1"/>
  <c r="BO39" i="4" s="1"/>
  <c r="BP39" i="4" s="1"/>
  <c r="BQ39" i="4" s="1"/>
  <c r="BR39" i="4" s="1"/>
  <c r="BS39" i="4" s="1"/>
  <c r="BT39" i="4" s="1"/>
  <c r="BU39" i="4" s="1"/>
  <c r="BV39" i="4" s="1"/>
  <c r="BW39" i="4" s="1"/>
  <c r="BX39" i="4" s="1"/>
  <c r="BY39" i="4" s="1"/>
  <c r="BZ39" i="4" s="1"/>
  <c r="CA39" i="4" s="1"/>
  <c r="CB39" i="4" s="1"/>
  <c r="CC39" i="4" s="1"/>
  <c r="CD39" i="4" s="1"/>
  <c r="CE39" i="4" s="1"/>
  <c r="CF39" i="4" s="1"/>
  <c r="CG39" i="4" s="1"/>
  <c r="CH39" i="4" s="1"/>
  <c r="CI39" i="4" s="1"/>
  <c r="CJ39" i="4" s="1"/>
  <c r="CK39" i="4" s="1"/>
  <c r="CL39" i="4" s="1"/>
  <c r="CM39" i="4" s="1"/>
  <c r="CN39" i="4" s="1"/>
  <c r="CO39" i="4" s="1"/>
  <c r="R37" i="4"/>
  <c r="S37" i="4" s="1"/>
  <c r="T37" i="4" s="1"/>
  <c r="U37" i="4" s="1"/>
  <c r="V37" i="4" s="1"/>
  <c r="W37" i="4" s="1"/>
  <c r="X37" i="4" s="1"/>
  <c r="Y37" i="4" s="1"/>
  <c r="Z37" i="4" s="1"/>
  <c r="AA37" i="4" s="1"/>
  <c r="AB37" i="4" s="1"/>
  <c r="AC37" i="4" s="1"/>
  <c r="AD37" i="4" s="1"/>
  <c r="AE37" i="4" s="1"/>
  <c r="AF37" i="4" s="1"/>
  <c r="AG37" i="4" s="1"/>
  <c r="AH37" i="4" s="1"/>
  <c r="AI37" i="4" s="1"/>
  <c r="AJ37" i="4" s="1"/>
  <c r="AK37" i="4" s="1"/>
  <c r="AL37" i="4" s="1"/>
  <c r="AM37" i="4" s="1"/>
  <c r="AN37" i="4" s="1"/>
  <c r="AO37" i="4" s="1"/>
  <c r="AP37" i="4" s="1"/>
  <c r="AQ37" i="4" s="1"/>
  <c r="AR37" i="4" s="1"/>
  <c r="AS37" i="4" s="1"/>
  <c r="AT37" i="4" s="1"/>
  <c r="AU37" i="4" s="1"/>
  <c r="AV37" i="4" s="1"/>
  <c r="AW37" i="4" s="1"/>
  <c r="AX37" i="4" s="1"/>
  <c r="AY37" i="4" s="1"/>
  <c r="AZ37" i="4" s="1"/>
  <c r="BA37" i="4" s="1"/>
  <c r="BB37" i="4" s="1"/>
  <c r="BC37" i="4" s="1"/>
  <c r="BD37" i="4" s="1"/>
  <c r="BE37" i="4" s="1"/>
  <c r="BF37" i="4" s="1"/>
  <c r="BG37" i="4" s="1"/>
  <c r="BH37" i="4" s="1"/>
  <c r="BI37" i="4" s="1"/>
  <c r="BJ37" i="4" s="1"/>
  <c r="BK37" i="4" s="1"/>
  <c r="BL37" i="4" s="1"/>
  <c r="BM37" i="4" s="1"/>
  <c r="BN37" i="4" s="1"/>
  <c r="BO37" i="4" s="1"/>
  <c r="BP37" i="4" s="1"/>
  <c r="BQ37" i="4" s="1"/>
  <c r="BR37" i="4" s="1"/>
  <c r="BS37" i="4" s="1"/>
  <c r="BT37" i="4" s="1"/>
  <c r="BU37" i="4" s="1"/>
  <c r="BV37" i="4" s="1"/>
  <c r="BW37" i="4" s="1"/>
  <c r="BX37" i="4" s="1"/>
  <c r="BY37" i="4" s="1"/>
  <c r="BZ37" i="4" s="1"/>
  <c r="CA37" i="4" s="1"/>
  <c r="CB37" i="4" s="1"/>
  <c r="CC37" i="4" s="1"/>
  <c r="CD37" i="4" s="1"/>
  <c r="CE37" i="4" s="1"/>
  <c r="CF37" i="4" s="1"/>
  <c r="CG37" i="4" s="1"/>
  <c r="CH37" i="4" s="1"/>
  <c r="CI37" i="4" s="1"/>
  <c r="CJ37" i="4" s="1"/>
  <c r="CK37" i="4" s="1"/>
  <c r="CL37" i="4" s="1"/>
  <c r="CM37" i="4" s="1"/>
  <c r="CN37" i="4" s="1"/>
  <c r="CO37" i="4" s="1"/>
  <c r="R59" i="4"/>
  <c r="S59" i="4" s="1"/>
  <c r="T59" i="4" s="1"/>
  <c r="U59" i="4" s="1"/>
  <c r="R49" i="4"/>
  <c r="S49" i="4" s="1"/>
  <c r="T49" i="4" s="1"/>
  <c r="U49" i="4" s="1"/>
  <c r="V49" i="4" s="1"/>
  <c r="W49" i="4" s="1"/>
  <c r="X49" i="4" s="1"/>
  <c r="Y49" i="4" s="1"/>
  <c r="Z49" i="4" s="1"/>
  <c r="AA49" i="4" s="1"/>
  <c r="AB49" i="4" s="1"/>
  <c r="AC49" i="4" s="1"/>
  <c r="AD49" i="4" s="1"/>
  <c r="AE49" i="4" s="1"/>
  <c r="AF49" i="4" s="1"/>
  <c r="AG49" i="4" s="1"/>
  <c r="AH49" i="4" s="1"/>
  <c r="AI49" i="4" s="1"/>
  <c r="AJ49" i="4" s="1"/>
  <c r="AK49" i="4" s="1"/>
  <c r="AL49" i="4" s="1"/>
  <c r="AM49" i="4" s="1"/>
  <c r="AN49" i="4" s="1"/>
  <c r="AO49" i="4" s="1"/>
  <c r="AP49" i="4" s="1"/>
  <c r="AQ49" i="4" s="1"/>
  <c r="AR49" i="4" s="1"/>
  <c r="AS49" i="4" s="1"/>
  <c r="AT49" i="4" s="1"/>
  <c r="AU49" i="4" s="1"/>
  <c r="AV49" i="4" s="1"/>
  <c r="AW49" i="4" s="1"/>
  <c r="AX49" i="4" s="1"/>
  <c r="AY49" i="4" s="1"/>
  <c r="AZ49" i="4" s="1"/>
  <c r="BA49" i="4" s="1"/>
  <c r="BB49" i="4" s="1"/>
  <c r="BC49" i="4" s="1"/>
  <c r="BD49" i="4" s="1"/>
  <c r="BE49" i="4" s="1"/>
  <c r="BF49" i="4" s="1"/>
  <c r="BG49" i="4" s="1"/>
  <c r="BH49" i="4" s="1"/>
  <c r="BI49" i="4" s="1"/>
  <c r="BJ49" i="4" s="1"/>
  <c r="BK49" i="4" s="1"/>
  <c r="BL49" i="4" s="1"/>
  <c r="BM49" i="4" s="1"/>
  <c r="BN49" i="4" s="1"/>
  <c r="BO49" i="4" s="1"/>
  <c r="BP49" i="4" s="1"/>
  <c r="BQ49" i="4" s="1"/>
  <c r="BR49" i="4" s="1"/>
  <c r="BS49" i="4" s="1"/>
  <c r="BT49" i="4" s="1"/>
  <c r="BU49" i="4" s="1"/>
  <c r="BV49" i="4" s="1"/>
  <c r="BW49" i="4" s="1"/>
  <c r="BX49" i="4" s="1"/>
  <c r="BY49" i="4" s="1"/>
  <c r="BZ49" i="4" s="1"/>
  <c r="CA49" i="4" s="1"/>
  <c r="CB49" i="4" s="1"/>
  <c r="CC49" i="4" s="1"/>
  <c r="CD49" i="4" s="1"/>
  <c r="CE49" i="4" s="1"/>
  <c r="CF49" i="4" s="1"/>
  <c r="CG49" i="4" s="1"/>
  <c r="CH49" i="4" s="1"/>
  <c r="CI49" i="4" s="1"/>
  <c r="CJ49" i="4" s="1"/>
  <c r="CK49" i="4" s="1"/>
  <c r="CL49" i="4" s="1"/>
  <c r="CM49" i="4" s="1"/>
  <c r="CN49" i="4" s="1"/>
  <c r="CO49" i="4" s="1"/>
  <c r="R71" i="4"/>
  <c r="S71" i="4" s="1"/>
  <c r="AD21" i="4"/>
  <c r="AE21" i="4" s="1"/>
  <c r="AF21" i="4" s="1"/>
  <c r="AG21" i="4" s="1"/>
  <c r="AH21" i="4" s="1"/>
  <c r="AI21" i="4" s="1"/>
  <c r="AJ21" i="4" s="1"/>
  <c r="AK21" i="4" s="1"/>
  <c r="AL21" i="4" s="1"/>
  <c r="AM21" i="4" s="1"/>
  <c r="AN21" i="4" s="1"/>
  <c r="AO21" i="4" s="1"/>
  <c r="AP21" i="4" s="1"/>
  <c r="AQ21" i="4" s="1"/>
  <c r="AR21" i="4" s="1"/>
  <c r="AS21" i="4" s="1"/>
  <c r="AT21" i="4" s="1"/>
  <c r="AU21" i="4" s="1"/>
  <c r="AV21" i="4" s="1"/>
  <c r="AW21" i="4" s="1"/>
  <c r="AX21" i="4" s="1"/>
  <c r="AY21" i="4" s="1"/>
  <c r="AZ21" i="4" s="1"/>
  <c r="BA21" i="4" s="1"/>
  <c r="BB21" i="4" s="1"/>
  <c r="BC21" i="4" s="1"/>
  <c r="BD21" i="4" s="1"/>
  <c r="BE21" i="4" s="1"/>
  <c r="BF21" i="4" s="1"/>
  <c r="BG21" i="4" s="1"/>
  <c r="BH21" i="4" s="1"/>
  <c r="BI21" i="4" s="1"/>
  <c r="BJ21" i="4" s="1"/>
  <c r="BK21" i="4" s="1"/>
  <c r="BL21" i="4" s="1"/>
  <c r="BM21" i="4" s="1"/>
  <c r="BN21" i="4" s="1"/>
  <c r="BO21" i="4" s="1"/>
  <c r="BP21" i="4" s="1"/>
  <c r="BQ21" i="4" s="1"/>
  <c r="BR21" i="4" s="1"/>
  <c r="BS21" i="4" s="1"/>
  <c r="BT21" i="4" s="1"/>
  <c r="BU21" i="4" s="1"/>
  <c r="BV21" i="4" s="1"/>
  <c r="BW21" i="4" s="1"/>
  <c r="BX21" i="4" s="1"/>
  <c r="BY21" i="4" s="1"/>
  <c r="BZ21" i="4" s="1"/>
  <c r="CA21" i="4" s="1"/>
  <c r="CB21" i="4" s="1"/>
  <c r="CC21" i="4" s="1"/>
  <c r="CD21" i="4" s="1"/>
  <c r="CE21" i="4" s="1"/>
  <c r="CF21" i="4" s="1"/>
  <c r="CG21" i="4" s="1"/>
  <c r="CH21" i="4" s="1"/>
  <c r="CI21" i="4" s="1"/>
  <c r="CJ21" i="4" s="1"/>
  <c r="CK21" i="4" s="1"/>
  <c r="CL21" i="4" s="1"/>
  <c r="CM21" i="4" s="1"/>
  <c r="CN21" i="4" s="1"/>
  <c r="CO21" i="4" s="1"/>
  <c r="CP17" i="4"/>
  <c r="L8" i="5"/>
  <c r="AF29" i="6"/>
  <c r="AG29" i="6" s="1"/>
  <c r="V92" i="6"/>
  <c r="W92" i="6" s="1"/>
  <c r="AF45" i="6"/>
  <c r="AG45" i="6" s="1"/>
  <c r="V191" i="6"/>
  <c r="W191" i="6" s="1"/>
  <c r="X191" i="6" s="1"/>
  <c r="Y191" i="6" s="1"/>
  <c r="V207" i="6"/>
  <c r="W207" i="6" s="1"/>
  <c r="X207" i="6" s="1"/>
  <c r="Y207" i="6" s="1"/>
  <c r="Z148" i="6"/>
  <c r="AA148" i="6" s="1"/>
  <c r="AB148" i="6" s="1"/>
  <c r="AC148" i="6" s="1"/>
  <c r="AD148" i="6" s="1"/>
  <c r="AE148" i="6" s="1"/>
  <c r="AD205" i="6"/>
  <c r="AE205" i="6" s="1"/>
  <c r="V31" i="6"/>
  <c r="W31" i="6" s="1"/>
  <c r="X31" i="6" s="1"/>
  <c r="Y31" i="6" s="1"/>
  <c r="Z31" i="6" s="1"/>
  <c r="AA31" i="6" s="1"/>
  <c r="AB31" i="6" s="1"/>
  <c r="AC31" i="6" s="1"/>
  <c r="AD31" i="6" s="1"/>
  <c r="AE31" i="6" s="1"/>
  <c r="AF31" i="6" s="1"/>
  <c r="AG31" i="6" s="1"/>
  <c r="AH31" i="6" s="1"/>
  <c r="AI31" i="6" s="1"/>
  <c r="AJ31" i="6" s="1"/>
  <c r="AK31" i="6" s="1"/>
  <c r="AL31" i="6" s="1"/>
  <c r="AM31" i="6" s="1"/>
  <c r="AN31" i="6" s="1"/>
  <c r="AO31" i="6" s="1"/>
  <c r="AP31" i="6" s="1"/>
  <c r="AQ31" i="6" s="1"/>
  <c r="AR31" i="6" s="1"/>
  <c r="AS31" i="6" s="1"/>
  <c r="AT31" i="6" s="1"/>
  <c r="AU31" i="6" s="1"/>
  <c r="AV31" i="6" s="1"/>
  <c r="AW31" i="6" s="1"/>
  <c r="AX31" i="6" s="1"/>
  <c r="AY31" i="6" s="1"/>
  <c r="AZ31" i="6" s="1"/>
  <c r="BA31" i="6" s="1"/>
  <c r="BB31" i="6" s="1"/>
  <c r="Z185" i="6"/>
  <c r="AA185" i="6" s="1"/>
  <c r="AB185" i="6" s="1"/>
  <c r="AC185" i="6" s="1"/>
  <c r="AD185" i="6" s="1"/>
  <c r="AE185" i="6" s="1"/>
  <c r="Z189" i="6"/>
  <c r="AA189" i="6" s="1"/>
  <c r="AB189" i="6" s="1"/>
  <c r="AC189" i="6" s="1"/>
  <c r="AD189" i="6" s="1"/>
  <c r="AE189" i="6" s="1"/>
  <c r="Z146" i="6"/>
  <c r="AA146" i="6" s="1"/>
  <c r="AB146" i="6" s="1"/>
  <c r="AC146" i="6" s="1"/>
  <c r="AD146" i="6" s="1"/>
  <c r="AE146" i="6" s="1"/>
  <c r="V211" i="6"/>
  <c r="W211" i="6" s="1"/>
  <c r="X211" i="6" s="1"/>
  <c r="Y211" i="6" s="1"/>
  <c r="Z183" i="6"/>
  <c r="AA183" i="6" s="1"/>
  <c r="AB183" i="6" s="1"/>
  <c r="AC183" i="6" s="1"/>
  <c r="AD183" i="6" s="1"/>
  <c r="AE183" i="6" s="1"/>
  <c r="AF183" i="6" s="1"/>
  <c r="AG183" i="6" s="1"/>
  <c r="AH183" i="6" s="1"/>
  <c r="AI183" i="6" s="1"/>
  <c r="AJ183" i="6" s="1"/>
  <c r="AK183" i="6" s="1"/>
  <c r="AL183" i="6" s="1"/>
  <c r="AM183" i="6" s="1"/>
  <c r="AN183" i="6" s="1"/>
  <c r="AO183" i="6" s="1"/>
  <c r="AP183" i="6" s="1"/>
  <c r="AQ183" i="6" s="1"/>
  <c r="AR183" i="6" s="1"/>
  <c r="AS183" i="6" s="1"/>
  <c r="AT183" i="6" s="1"/>
  <c r="AU183" i="6" s="1"/>
  <c r="AV183" i="6" s="1"/>
  <c r="AW183" i="6" s="1"/>
  <c r="AX183" i="6" s="1"/>
  <c r="AY183" i="6" s="1"/>
  <c r="AZ183" i="6" s="1"/>
  <c r="BA183" i="6" s="1"/>
  <c r="BB183" i="6" s="1"/>
  <c r="Z187" i="6"/>
  <c r="AA187" i="6" s="1"/>
  <c r="AB187" i="6" s="1"/>
  <c r="AC187" i="6" s="1"/>
  <c r="AD187" i="6" s="1"/>
  <c r="AE187" i="6" s="1"/>
  <c r="V195" i="6"/>
  <c r="W195" i="6" s="1"/>
  <c r="X195" i="6" s="1"/>
  <c r="Y195" i="6" s="1"/>
  <c r="CP265" i="6"/>
  <c r="AJ144" i="6"/>
  <c r="AK144" i="6" s="1"/>
  <c r="AL144" i="6" s="1"/>
  <c r="AM144" i="6" s="1"/>
  <c r="AN144" i="6" s="1"/>
  <c r="AO144" i="6" s="1"/>
  <c r="AP144" i="6" s="1"/>
  <c r="AQ144" i="6" s="1"/>
  <c r="AR144" i="6" s="1"/>
  <c r="AS144" i="6" s="1"/>
  <c r="AT144" i="6" s="1"/>
  <c r="AU144" i="6" s="1"/>
  <c r="AV144" i="6" s="1"/>
  <c r="AW144" i="6" s="1"/>
  <c r="AX144" i="6" s="1"/>
  <c r="AY144" i="6" s="1"/>
  <c r="AZ144" i="6" s="1"/>
  <c r="BA144" i="6" s="1"/>
  <c r="BB144" i="6" s="1"/>
  <c r="CP53" i="4"/>
  <c r="CP35" i="4"/>
  <c r="CP27" i="4"/>
  <c r="CP13" i="4"/>
  <c r="G397" i="6"/>
  <c r="M122" i="6"/>
  <c r="N122" i="6" s="1"/>
  <c r="O122" i="6" s="1"/>
  <c r="N362" i="6"/>
  <c r="O362" i="6" s="1"/>
  <c r="Q287" i="6"/>
  <c r="I403" i="6"/>
  <c r="J403" i="6" s="1"/>
  <c r="K403" i="6" s="1"/>
  <c r="L403" i="6" s="1"/>
  <c r="M403" i="6" s="1"/>
  <c r="N403" i="6" s="1"/>
  <c r="O403" i="6" s="1"/>
  <c r="M199" i="6"/>
  <c r="N199" i="6" s="1"/>
  <c r="O199" i="6" s="1"/>
  <c r="Q132" i="6"/>
  <c r="Q299" i="6"/>
  <c r="Q223" i="6"/>
  <c r="Q102" i="6"/>
  <c r="Q233" i="6"/>
  <c r="Q39" i="6"/>
  <c r="M110" i="6"/>
  <c r="N110" i="6" s="1"/>
  <c r="O110" i="6" s="1"/>
  <c r="M215" i="6"/>
  <c r="N215" i="6" s="1"/>
  <c r="O215" i="6" s="1"/>
  <c r="M354" i="6"/>
  <c r="N354" i="6" s="1"/>
  <c r="O354" i="6" s="1"/>
  <c r="Q158" i="6"/>
  <c r="Q219" i="6"/>
  <c r="Q7" i="6"/>
  <c r="Q43" i="6"/>
  <c r="M209" i="6"/>
  <c r="N209" i="6" s="1"/>
  <c r="O209" i="6" s="1"/>
  <c r="Q47" i="6"/>
  <c r="M114" i="6"/>
  <c r="N114" i="6" s="1"/>
  <c r="O114" i="6" s="1"/>
  <c r="M203" i="6"/>
  <c r="N203" i="6" s="1"/>
  <c r="O203" i="6" s="1"/>
  <c r="Q128" i="6"/>
  <c r="M136" i="6"/>
  <c r="N136" i="6" s="1"/>
  <c r="O136" i="6" s="1"/>
  <c r="Q295" i="6"/>
  <c r="Q275" i="6"/>
  <c r="F88" i="4"/>
  <c r="G88" i="4" s="1"/>
  <c r="H88" i="4" s="1"/>
  <c r="I88" i="4" s="1"/>
  <c r="J88" i="4" s="1"/>
  <c r="K88" i="4" s="1"/>
  <c r="L88" i="4" s="1"/>
  <c r="M88" i="4" s="1"/>
  <c r="N88" i="4" s="1"/>
  <c r="O88" i="4" s="1"/>
  <c r="P88" i="4" s="1"/>
  <c r="Q88" i="4" s="1"/>
  <c r="R88" i="4" s="1"/>
  <c r="S88" i="4" s="1"/>
  <c r="T88" i="4" s="1"/>
  <c r="U88" i="4" s="1"/>
  <c r="V88" i="4" s="1"/>
  <c r="W88" i="4" s="1"/>
  <c r="X88" i="4" s="1"/>
  <c r="Y88" i="4" s="1"/>
  <c r="Z88" i="4" s="1"/>
  <c r="AA88" i="4" s="1"/>
  <c r="AB88" i="4" s="1"/>
  <c r="AC88" i="4" s="1"/>
  <c r="AD88" i="4" s="1"/>
  <c r="AE88" i="4" s="1"/>
  <c r="AF88" i="4" s="1"/>
  <c r="AG88" i="4" s="1"/>
  <c r="AH88" i="4" s="1"/>
  <c r="AI88" i="4" s="1"/>
  <c r="AJ88" i="4" s="1"/>
  <c r="AK88" i="4" s="1"/>
  <c r="AL88" i="4" s="1"/>
  <c r="AM88" i="4" s="1"/>
  <c r="AN88" i="4" s="1"/>
  <c r="AO88" i="4" s="1"/>
  <c r="AP88" i="4" s="1"/>
  <c r="AQ88" i="4" s="1"/>
  <c r="AR88" i="4" s="1"/>
  <c r="AS88" i="4" s="1"/>
  <c r="AT88" i="4" s="1"/>
  <c r="AU88" i="4" s="1"/>
  <c r="AV88" i="4" s="1"/>
  <c r="AW88" i="4" s="1"/>
  <c r="AX88" i="4" s="1"/>
  <c r="AY88" i="4" s="1"/>
  <c r="AZ88" i="4" s="1"/>
  <c r="BA88" i="4" s="1"/>
  <c r="BB88" i="4" s="1"/>
  <c r="BC88" i="4" s="1"/>
  <c r="BD88" i="4" s="1"/>
  <c r="BE88" i="4" s="1"/>
  <c r="BF88" i="4" s="1"/>
  <c r="BG88" i="4" s="1"/>
  <c r="BH88" i="4" s="1"/>
  <c r="BI88" i="4" s="1"/>
  <c r="BJ88" i="4" s="1"/>
  <c r="BK88" i="4" s="1"/>
  <c r="BL88" i="4" s="1"/>
  <c r="BM88" i="4" s="1"/>
  <c r="BN88" i="4" s="1"/>
  <c r="BO88" i="4" s="1"/>
  <c r="BP88" i="4" s="1"/>
  <c r="BQ88" i="4" s="1"/>
  <c r="BR88" i="4" s="1"/>
  <c r="BS88" i="4" s="1"/>
  <c r="BT88" i="4" s="1"/>
  <c r="BU88" i="4" s="1"/>
  <c r="BV88" i="4" s="1"/>
  <c r="BW88" i="4" s="1"/>
  <c r="BX88" i="4" s="1"/>
  <c r="BY88" i="4" s="1"/>
  <c r="BZ88" i="4" s="1"/>
  <c r="CA88" i="4" s="1"/>
  <c r="CB88" i="4" s="1"/>
  <c r="CC88" i="4" s="1"/>
  <c r="CD88" i="4" s="1"/>
  <c r="CE88" i="4" s="1"/>
  <c r="CF88" i="4" s="1"/>
  <c r="CG88" i="4" s="1"/>
  <c r="CH88" i="4" s="1"/>
  <c r="CI88" i="4" s="1"/>
  <c r="CJ88" i="4" s="1"/>
  <c r="O291" i="6"/>
  <c r="P291" i="6" s="1"/>
  <c r="O112" i="6"/>
  <c r="P112" i="6" s="1"/>
  <c r="O69" i="6"/>
  <c r="O249" i="6"/>
  <c r="O106" i="6"/>
  <c r="P106" i="6" s="1"/>
  <c r="O25" i="6"/>
  <c r="O94" i="6"/>
  <c r="O108" i="6"/>
  <c r="O247" i="6"/>
  <c r="O263" i="6"/>
  <c r="O289" i="6"/>
  <c r="O245" i="6"/>
  <c r="K82" i="4"/>
  <c r="F87" i="4" s="1"/>
  <c r="Q82" i="4"/>
  <c r="L87" i="4" s="1"/>
  <c r="P82" i="4"/>
  <c r="K87" i="4" s="1"/>
  <c r="K397" i="6"/>
  <c r="F402" i="6" s="1"/>
  <c r="M3" i="6"/>
  <c r="L277" i="6"/>
  <c r="M277" i="6" s="1"/>
  <c r="N277" i="6" s="1"/>
  <c r="L235" i="6"/>
  <c r="L57" i="6"/>
  <c r="M3" i="5"/>
  <c r="M3" i="4"/>
  <c r="L82" i="4"/>
  <c r="G87" i="4" s="1"/>
  <c r="S3" i="4"/>
  <c r="K62" i="1"/>
  <c r="L62" i="1" s="1"/>
  <c r="M62" i="1" s="1"/>
  <c r="N62" i="1" s="1"/>
  <c r="O62" i="1" s="1"/>
  <c r="P62" i="1" s="1"/>
  <c r="Q62" i="1" s="1"/>
  <c r="K66" i="1"/>
  <c r="L66" i="1" s="1"/>
  <c r="M66" i="1" s="1"/>
  <c r="N66" i="1" s="1"/>
  <c r="O66" i="1" s="1"/>
  <c r="P66" i="1" s="1"/>
  <c r="Q66" i="1" s="1"/>
  <c r="K70" i="1"/>
  <c r="L70" i="1" s="1"/>
  <c r="M70" i="1" s="1"/>
  <c r="N70" i="1" s="1"/>
  <c r="O70" i="1" s="1"/>
  <c r="P70" i="1" s="1"/>
  <c r="Q70" i="1" s="1"/>
  <c r="R70" i="1" s="1"/>
  <c r="K64" i="1"/>
  <c r="L64" i="1" s="1"/>
  <c r="M64" i="1" s="1"/>
  <c r="N64" i="1" s="1"/>
  <c r="O64" i="1" s="1"/>
  <c r="P64" i="1" s="1"/>
  <c r="Q64" i="1" s="1"/>
  <c r="K68" i="1"/>
  <c r="L68" i="1" s="1"/>
  <c r="M68" i="1" s="1"/>
  <c r="N68" i="1" s="1"/>
  <c r="O68" i="1" s="1"/>
  <c r="P68" i="1" s="1"/>
  <c r="Q68" i="1" s="1"/>
  <c r="J51" i="1"/>
  <c r="K51" i="1" s="1"/>
  <c r="L51" i="1" s="1"/>
  <c r="M51" i="1" s="1"/>
  <c r="N51" i="1" s="1"/>
  <c r="O51" i="1" s="1"/>
  <c r="P51" i="1" s="1"/>
  <c r="Q51" i="1" s="1"/>
  <c r="CP356" i="6" l="1"/>
  <c r="BC31" i="6"/>
  <c r="BD31" i="6" s="1"/>
  <c r="BE31" i="6" s="1"/>
  <c r="BF31" i="6" s="1"/>
  <c r="BG31" i="6" s="1"/>
  <c r="BH31" i="6" s="1"/>
  <c r="BI31" i="6" s="1"/>
  <c r="BJ31" i="6" s="1"/>
  <c r="BK31" i="6" s="1"/>
  <c r="BL31" i="6" s="1"/>
  <c r="BM31" i="6" s="1"/>
  <c r="BN31" i="6" s="1"/>
  <c r="BO31" i="6" s="1"/>
  <c r="BP31" i="6" s="1"/>
  <c r="BQ31" i="6" s="1"/>
  <c r="BR31" i="6" s="1"/>
  <c r="BS31" i="6" s="1"/>
  <c r="BT31" i="6" s="1"/>
  <c r="BU31" i="6" s="1"/>
  <c r="BV31" i="6" s="1"/>
  <c r="BW31" i="6" s="1"/>
  <c r="BX31" i="6" s="1"/>
  <c r="BY31" i="6" s="1"/>
  <c r="BZ31" i="6" s="1"/>
  <c r="CA31" i="6" s="1"/>
  <c r="CB31" i="6" s="1"/>
  <c r="CC31" i="6" s="1"/>
  <c r="CD31" i="6" s="1"/>
  <c r="CE31" i="6" s="1"/>
  <c r="CF31" i="6" s="1"/>
  <c r="CG31" i="6" s="1"/>
  <c r="CH31" i="6" s="1"/>
  <c r="CI31" i="6" s="1"/>
  <c r="CJ31" i="6" s="1"/>
  <c r="CK31" i="6" s="1"/>
  <c r="CL31" i="6" s="1"/>
  <c r="CM31" i="6" s="1"/>
  <c r="CN31" i="6" s="1"/>
  <c r="CO31" i="6" s="1"/>
  <c r="BC33" i="6"/>
  <c r="BD33" i="6" s="1"/>
  <c r="BE33" i="6" s="1"/>
  <c r="BF33" i="6" s="1"/>
  <c r="BG33" i="6" s="1"/>
  <c r="BH33" i="6" s="1"/>
  <c r="BI33" i="6" s="1"/>
  <c r="BJ33" i="6" s="1"/>
  <c r="BK33" i="6" s="1"/>
  <c r="BL33" i="6" s="1"/>
  <c r="BM33" i="6" s="1"/>
  <c r="BN33" i="6" s="1"/>
  <c r="BO33" i="6" s="1"/>
  <c r="BP33" i="6" s="1"/>
  <c r="BQ33" i="6" s="1"/>
  <c r="BR33" i="6" s="1"/>
  <c r="BS33" i="6" s="1"/>
  <c r="BT33" i="6" s="1"/>
  <c r="BU33" i="6" s="1"/>
  <c r="BV33" i="6" s="1"/>
  <c r="BW33" i="6" s="1"/>
  <c r="BX33" i="6" s="1"/>
  <c r="BY33" i="6" s="1"/>
  <c r="BZ33" i="6" s="1"/>
  <c r="CA33" i="6" s="1"/>
  <c r="CB33" i="6" s="1"/>
  <c r="CC33" i="6" s="1"/>
  <c r="CD33" i="6" s="1"/>
  <c r="CE33" i="6" s="1"/>
  <c r="CF33" i="6" s="1"/>
  <c r="CG33" i="6" s="1"/>
  <c r="CH33" i="6" s="1"/>
  <c r="CI33" i="6" s="1"/>
  <c r="CJ33" i="6" s="1"/>
  <c r="CK33" i="6" s="1"/>
  <c r="CL33" i="6" s="1"/>
  <c r="CM33" i="6" s="1"/>
  <c r="CN33" i="6" s="1"/>
  <c r="CO33" i="6" s="1"/>
  <c r="BC358" i="6"/>
  <c r="BD358" i="6" s="1"/>
  <c r="BE358" i="6" s="1"/>
  <c r="BF358" i="6" s="1"/>
  <c r="BG358" i="6" s="1"/>
  <c r="BH358" i="6" s="1"/>
  <c r="BI358" i="6" s="1"/>
  <c r="BJ358" i="6" s="1"/>
  <c r="BK358" i="6" s="1"/>
  <c r="BL358" i="6" s="1"/>
  <c r="BM358" i="6" s="1"/>
  <c r="BN358" i="6" s="1"/>
  <c r="BO358" i="6" s="1"/>
  <c r="BP358" i="6" s="1"/>
  <c r="BQ358" i="6" s="1"/>
  <c r="BR358" i="6" s="1"/>
  <c r="BS358" i="6" s="1"/>
  <c r="BT358" i="6" s="1"/>
  <c r="BU358" i="6" s="1"/>
  <c r="BV358" i="6" s="1"/>
  <c r="BW358" i="6" s="1"/>
  <c r="BX358" i="6" s="1"/>
  <c r="BY358" i="6" s="1"/>
  <c r="BZ358" i="6" s="1"/>
  <c r="CA358" i="6" s="1"/>
  <c r="CB358" i="6" s="1"/>
  <c r="CC358" i="6" s="1"/>
  <c r="CD358" i="6" s="1"/>
  <c r="CE358" i="6" s="1"/>
  <c r="CF358" i="6" s="1"/>
  <c r="CG358" i="6" s="1"/>
  <c r="CH358" i="6" s="1"/>
  <c r="CI358" i="6" s="1"/>
  <c r="CJ358" i="6" s="1"/>
  <c r="CK358" i="6" s="1"/>
  <c r="CL358" i="6" s="1"/>
  <c r="CM358" i="6" s="1"/>
  <c r="CN358" i="6" s="1"/>
  <c r="CO358" i="6" s="1"/>
  <c r="BC364" i="6"/>
  <c r="BD364" i="6" s="1"/>
  <c r="BE364" i="6" s="1"/>
  <c r="BF364" i="6" s="1"/>
  <c r="BG364" i="6" s="1"/>
  <c r="BH364" i="6" s="1"/>
  <c r="BI364" i="6" s="1"/>
  <c r="BJ364" i="6" s="1"/>
  <c r="BK364" i="6" s="1"/>
  <c r="BL364" i="6" s="1"/>
  <c r="BM364" i="6" s="1"/>
  <c r="BN364" i="6" s="1"/>
  <c r="BO364" i="6" s="1"/>
  <c r="BP364" i="6" s="1"/>
  <c r="BQ364" i="6" s="1"/>
  <c r="BR364" i="6" s="1"/>
  <c r="BS364" i="6" s="1"/>
  <c r="BT364" i="6" s="1"/>
  <c r="BU364" i="6" s="1"/>
  <c r="BV364" i="6" s="1"/>
  <c r="BW364" i="6" s="1"/>
  <c r="BX364" i="6" s="1"/>
  <c r="BY364" i="6" s="1"/>
  <c r="BZ364" i="6" s="1"/>
  <c r="CA364" i="6" s="1"/>
  <c r="CB364" i="6" s="1"/>
  <c r="CC364" i="6" s="1"/>
  <c r="CD364" i="6" s="1"/>
  <c r="CE364" i="6" s="1"/>
  <c r="CF364" i="6" s="1"/>
  <c r="CG364" i="6" s="1"/>
  <c r="CH364" i="6" s="1"/>
  <c r="CI364" i="6" s="1"/>
  <c r="CJ364" i="6" s="1"/>
  <c r="CK364" i="6" s="1"/>
  <c r="CL364" i="6" s="1"/>
  <c r="CM364" i="6" s="1"/>
  <c r="CN364" i="6" s="1"/>
  <c r="CO364" i="6" s="1"/>
  <c r="BC271" i="6"/>
  <c r="BD271" i="6" s="1"/>
  <c r="BE271" i="6" s="1"/>
  <c r="BF271" i="6" s="1"/>
  <c r="BG271" i="6" s="1"/>
  <c r="BH271" i="6" s="1"/>
  <c r="BI271" i="6" s="1"/>
  <c r="BJ271" i="6" s="1"/>
  <c r="BK271" i="6" s="1"/>
  <c r="BL271" i="6" s="1"/>
  <c r="BM271" i="6" s="1"/>
  <c r="BN271" i="6" s="1"/>
  <c r="BO271" i="6" s="1"/>
  <c r="BP271" i="6" s="1"/>
  <c r="BQ271" i="6" s="1"/>
  <c r="BR271" i="6" s="1"/>
  <c r="BS271" i="6" s="1"/>
  <c r="BT271" i="6" s="1"/>
  <c r="BU271" i="6" s="1"/>
  <c r="BV271" i="6" s="1"/>
  <c r="BW271" i="6" s="1"/>
  <c r="BX271" i="6" s="1"/>
  <c r="BY271" i="6" s="1"/>
  <c r="BZ271" i="6" s="1"/>
  <c r="CA271" i="6" s="1"/>
  <c r="CB271" i="6" s="1"/>
  <c r="CC271" i="6" s="1"/>
  <c r="CD271" i="6" s="1"/>
  <c r="CE271" i="6" s="1"/>
  <c r="CF271" i="6" s="1"/>
  <c r="CG271" i="6" s="1"/>
  <c r="CH271" i="6" s="1"/>
  <c r="CI271" i="6" s="1"/>
  <c r="CJ271" i="6" s="1"/>
  <c r="CK271" i="6" s="1"/>
  <c r="CL271" i="6" s="1"/>
  <c r="CM271" i="6" s="1"/>
  <c r="CN271" i="6" s="1"/>
  <c r="CO271" i="6" s="1"/>
  <c r="BC144" i="6"/>
  <c r="BD144" i="6" s="1"/>
  <c r="BE144" i="6" s="1"/>
  <c r="BF144" i="6" s="1"/>
  <c r="BG144" i="6" s="1"/>
  <c r="BH144" i="6" s="1"/>
  <c r="BI144" i="6" s="1"/>
  <c r="BJ144" i="6" s="1"/>
  <c r="BK144" i="6" s="1"/>
  <c r="BL144" i="6" s="1"/>
  <c r="BM144" i="6" s="1"/>
  <c r="BN144" i="6" s="1"/>
  <c r="BO144" i="6" s="1"/>
  <c r="BP144" i="6" s="1"/>
  <c r="BQ144" i="6" s="1"/>
  <c r="BR144" i="6" s="1"/>
  <c r="BS144" i="6" s="1"/>
  <c r="BT144" i="6" s="1"/>
  <c r="BU144" i="6" s="1"/>
  <c r="BV144" i="6" s="1"/>
  <c r="BW144" i="6" s="1"/>
  <c r="BX144" i="6" s="1"/>
  <c r="BY144" i="6" s="1"/>
  <c r="BZ144" i="6" s="1"/>
  <c r="CA144" i="6" s="1"/>
  <c r="CB144" i="6" s="1"/>
  <c r="CC144" i="6" s="1"/>
  <c r="CD144" i="6" s="1"/>
  <c r="CE144" i="6" s="1"/>
  <c r="CF144" i="6" s="1"/>
  <c r="CG144" i="6" s="1"/>
  <c r="CH144" i="6" s="1"/>
  <c r="CI144" i="6" s="1"/>
  <c r="CJ144" i="6" s="1"/>
  <c r="CK144" i="6" s="1"/>
  <c r="CL144" i="6" s="1"/>
  <c r="CM144" i="6" s="1"/>
  <c r="CN144" i="6" s="1"/>
  <c r="CO144" i="6" s="1"/>
  <c r="BC183" i="6"/>
  <c r="BD183" i="6" s="1"/>
  <c r="BE183" i="6" s="1"/>
  <c r="BF183" i="6" s="1"/>
  <c r="BG183" i="6" s="1"/>
  <c r="BH183" i="6" s="1"/>
  <c r="BI183" i="6" s="1"/>
  <c r="BJ183" i="6" s="1"/>
  <c r="BK183" i="6" s="1"/>
  <c r="BL183" i="6" s="1"/>
  <c r="BM183" i="6" s="1"/>
  <c r="BN183" i="6" s="1"/>
  <c r="BO183" i="6" s="1"/>
  <c r="BP183" i="6" s="1"/>
  <c r="BQ183" i="6" s="1"/>
  <c r="BR183" i="6" s="1"/>
  <c r="BS183" i="6" s="1"/>
  <c r="BT183" i="6" s="1"/>
  <c r="BU183" i="6" s="1"/>
  <c r="BV183" i="6" s="1"/>
  <c r="BW183" i="6" s="1"/>
  <c r="BX183" i="6" s="1"/>
  <c r="BY183" i="6" s="1"/>
  <c r="BZ183" i="6" s="1"/>
  <c r="CA183" i="6" s="1"/>
  <c r="CB183" i="6" s="1"/>
  <c r="CC183" i="6" s="1"/>
  <c r="CD183" i="6" s="1"/>
  <c r="CE183" i="6" s="1"/>
  <c r="CF183" i="6" s="1"/>
  <c r="CG183" i="6" s="1"/>
  <c r="CH183" i="6" s="1"/>
  <c r="CI183" i="6" s="1"/>
  <c r="CJ183" i="6" s="1"/>
  <c r="CK183" i="6" s="1"/>
  <c r="CL183" i="6" s="1"/>
  <c r="CM183" i="6" s="1"/>
  <c r="CN183" i="6" s="1"/>
  <c r="CO183" i="6" s="1"/>
  <c r="BC267" i="6"/>
  <c r="BD267" i="6" s="1"/>
  <c r="BE267" i="6" s="1"/>
  <c r="BF267" i="6" s="1"/>
  <c r="BG267" i="6" s="1"/>
  <c r="BH267" i="6" s="1"/>
  <c r="BI267" i="6" s="1"/>
  <c r="BJ267" i="6" s="1"/>
  <c r="BK267" i="6" s="1"/>
  <c r="BL267" i="6" s="1"/>
  <c r="BM267" i="6" s="1"/>
  <c r="BN267" i="6" s="1"/>
  <c r="BO267" i="6" s="1"/>
  <c r="BP267" i="6" s="1"/>
  <c r="BQ267" i="6" s="1"/>
  <c r="BR267" i="6" s="1"/>
  <c r="BS267" i="6" s="1"/>
  <c r="BT267" i="6" s="1"/>
  <c r="BU267" i="6" s="1"/>
  <c r="BV267" i="6" s="1"/>
  <c r="BW267" i="6" s="1"/>
  <c r="BX267" i="6" s="1"/>
  <c r="BY267" i="6" s="1"/>
  <c r="BZ267" i="6" s="1"/>
  <c r="CA267" i="6" s="1"/>
  <c r="CB267" i="6" s="1"/>
  <c r="CC267" i="6" s="1"/>
  <c r="CD267" i="6" s="1"/>
  <c r="CE267" i="6" s="1"/>
  <c r="CF267" i="6" s="1"/>
  <c r="CG267" i="6" s="1"/>
  <c r="CH267" i="6" s="1"/>
  <c r="CI267" i="6" s="1"/>
  <c r="CJ267" i="6" s="1"/>
  <c r="CK267" i="6" s="1"/>
  <c r="CL267" i="6" s="1"/>
  <c r="CM267" i="6" s="1"/>
  <c r="CN267" i="6" s="1"/>
  <c r="CO267" i="6" s="1"/>
  <c r="BC221" i="6"/>
  <c r="BD221" i="6" s="1"/>
  <c r="BE221" i="6" s="1"/>
  <c r="BF221" i="6" s="1"/>
  <c r="BG221" i="6" s="1"/>
  <c r="BH221" i="6" s="1"/>
  <c r="BI221" i="6" s="1"/>
  <c r="BJ221" i="6" s="1"/>
  <c r="BK221" i="6" s="1"/>
  <c r="BL221" i="6" s="1"/>
  <c r="BM221" i="6" s="1"/>
  <c r="BN221" i="6" s="1"/>
  <c r="BO221" i="6" s="1"/>
  <c r="BP221" i="6" s="1"/>
  <c r="BQ221" i="6" s="1"/>
  <c r="BR221" i="6" s="1"/>
  <c r="BS221" i="6" s="1"/>
  <c r="BT221" i="6" s="1"/>
  <c r="BU221" i="6" s="1"/>
  <c r="BV221" i="6" s="1"/>
  <c r="BW221" i="6" s="1"/>
  <c r="BX221" i="6" s="1"/>
  <c r="BY221" i="6" s="1"/>
  <c r="BZ221" i="6" s="1"/>
  <c r="CA221" i="6" s="1"/>
  <c r="CB221" i="6" s="1"/>
  <c r="CC221" i="6" s="1"/>
  <c r="CD221" i="6" s="1"/>
  <c r="CE221" i="6" s="1"/>
  <c r="CF221" i="6" s="1"/>
  <c r="CG221" i="6" s="1"/>
  <c r="CH221" i="6" s="1"/>
  <c r="CI221" i="6" s="1"/>
  <c r="CJ221" i="6" s="1"/>
  <c r="CK221" i="6" s="1"/>
  <c r="CL221" i="6" s="1"/>
  <c r="CM221" i="6" s="1"/>
  <c r="CN221" i="6" s="1"/>
  <c r="CO221" i="6" s="1"/>
  <c r="R82" i="4"/>
  <c r="M87" i="4" s="1"/>
  <c r="P289" i="6"/>
  <c r="Q289" i="6" s="1"/>
  <c r="R289" i="6" s="1"/>
  <c r="S289" i="6" s="1"/>
  <c r="T289" i="6" s="1"/>
  <c r="U289" i="6" s="1"/>
  <c r="P247" i="6"/>
  <c r="Q247" i="6" s="1"/>
  <c r="R247" i="6" s="1"/>
  <c r="S247" i="6" s="1"/>
  <c r="T247" i="6" s="1"/>
  <c r="U247" i="6" s="1"/>
  <c r="P94" i="6"/>
  <c r="Q94" i="6" s="1"/>
  <c r="R94" i="6" s="1"/>
  <c r="S94" i="6" s="1"/>
  <c r="T94" i="6" s="1"/>
  <c r="U94" i="6" s="1"/>
  <c r="P69" i="6"/>
  <c r="Q69" i="6" s="1"/>
  <c r="R69" i="6" s="1"/>
  <c r="S69" i="6" s="1"/>
  <c r="T69" i="6" s="1"/>
  <c r="U69" i="6" s="1"/>
  <c r="V69" i="6" s="1"/>
  <c r="W69" i="6" s="1"/>
  <c r="P136" i="6"/>
  <c r="Q136" i="6" s="1"/>
  <c r="R136" i="6" s="1"/>
  <c r="S136" i="6" s="1"/>
  <c r="T136" i="6" s="1"/>
  <c r="U136" i="6" s="1"/>
  <c r="V136" i="6" s="1"/>
  <c r="W136" i="6" s="1"/>
  <c r="X136" i="6" s="1"/>
  <c r="Y136" i="6" s="1"/>
  <c r="P203" i="6"/>
  <c r="Q203" i="6" s="1"/>
  <c r="R203" i="6" s="1"/>
  <c r="S203" i="6" s="1"/>
  <c r="T203" i="6" s="1"/>
  <c r="U203" i="6" s="1"/>
  <c r="V203" i="6" s="1"/>
  <c r="W203" i="6" s="1"/>
  <c r="X203" i="6" s="1"/>
  <c r="Y203" i="6" s="1"/>
  <c r="P354" i="6"/>
  <c r="Q354" i="6" s="1"/>
  <c r="R354" i="6" s="1"/>
  <c r="S354" i="6" s="1"/>
  <c r="T354" i="6" s="1"/>
  <c r="U354" i="6" s="1"/>
  <c r="V354" i="6" s="1"/>
  <c r="W354" i="6" s="1"/>
  <c r="X354" i="6" s="1"/>
  <c r="Y354" i="6" s="1"/>
  <c r="Z354" i="6" s="1"/>
  <c r="AA354" i="6" s="1"/>
  <c r="AB354" i="6" s="1"/>
  <c r="AC354" i="6" s="1"/>
  <c r="AD354" i="6" s="1"/>
  <c r="AE354" i="6" s="1"/>
  <c r="AF354" i="6" s="1"/>
  <c r="AG354" i="6" s="1"/>
  <c r="AH354" i="6" s="1"/>
  <c r="AI354" i="6" s="1"/>
  <c r="AJ354" i="6" s="1"/>
  <c r="AK354" i="6" s="1"/>
  <c r="AL354" i="6" s="1"/>
  <c r="AM354" i="6" s="1"/>
  <c r="AN354" i="6" s="1"/>
  <c r="AO354" i="6" s="1"/>
  <c r="AP354" i="6" s="1"/>
  <c r="AQ354" i="6" s="1"/>
  <c r="AR354" i="6" s="1"/>
  <c r="AS354" i="6" s="1"/>
  <c r="AT354" i="6" s="1"/>
  <c r="AU354" i="6" s="1"/>
  <c r="AV354" i="6" s="1"/>
  <c r="AW354" i="6" s="1"/>
  <c r="P110" i="6"/>
  <c r="Q110" i="6" s="1"/>
  <c r="R110" i="6" s="1"/>
  <c r="S110" i="6" s="1"/>
  <c r="T110" i="6" s="1"/>
  <c r="U110" i="6" s="1"/>
  <c r="P403" i="6"/>
  <c r="Q403" i="6" s="1"/>
  <c r="R403" i="6" s="1"/>
  <c r="S403" i="6" s="1"/>
  <c r="T403" i="6" s="1"/>
  <c r="U403" i="6" s="1"/>
  <c r="V403" i="6" s="1"/>
  <c r="W403" i="6" s="1"/>
  <c r="X403" i="6" s="1"/>
  <c r="Y403" i="6" s="1"/>
  <c r="Z403" i="6" s="1"/>
  <c r="AA403" i="6" s="1"/>
  <c r="AB403" i="6" s="1"/>
  <c r="AC403" i="6" s="1"/>
  <c r="AD403" i="6" s="1"/>
  <c r="AE403" i="6" s="1"/>
  <c r="AF403" i="6" s="1"/>
  <c r="AG403" i="6" s="1"/>
  <c r="AH403" i="6" s="1"/>
  <c r="AI403" i="6" s="1"/>
  <c r="AJ403" i="6" s="1"/>
  <c r="AK403" i="6" s="1"/>
  <c r="AL403" i="6" s="1"/>
  <c r="AM403" i="6" s="1"/>
  <c r="AN403" i="6" s="1"/>
  <c r="AO403" i="6" s="1"/>
  <c r="AP403" i="6" s="1"/>
  <c r="AQ403" i="6" s="1"/>
  <c r="AR403" i="6" s="1"/>
  <c r="AS403" i="6" s="1"/>
  <c r="AT403" i="6" s="1"/>
  <c r="AU403" i="6" s="1"/>
  <c r="AV403" i="6" s="1"/>
  <c r="AW403" i="6" s="1"/>
  <c r="AX403" i="6" s="1"/>
  <c r="AY403" i="6" s="1"/>
  <c r="AZ403" i="6" s="1"/>
  <c r="BA403" i="6" s="1"/>
  <c r="BB403" i="6" s="1"/>
  <c r="BC403" i="6" s="1"/>
  <c r="BD403" i="6" s="1"/>
  <c r="BE403" i="6" s="1"/>
  <c r="BF403" i="6" s="1"/>
  <c r="BG403" i="6" s="1"/>
  <c r="BH403" i="6" s="1"/>
  <c r="BI403" i="6" s="1"/>
  <c r="BJ403" i="6" s="1"/>
  <c r="BK403" i="6" s="1"/>
  <c r="BL403" i="6" s="1"/>
  <c r="BM403" i="6" s="1"/>
  <c r="BN403" i="6" s="1"/>
  <c r="BO403" i="6" s="1"/>
  <c r="BP403" i="6" s="1"/>
  <c r="BQ403" i="6" s="1"/>
  <c r="BR403" i="6" s="1"/>
  <c r="BS403" i="6" s="1"/>
  <c r="BT403" i="6" s="1"/>
  <c r="BU403" i="6" s="1"/>
  <c r="BV403" i="6" s="1"/>
  <c r="BW403" i="6" s="1"/>
  <c r="BX403" i="6" s="1"/>
  <c r="BY403" i="6" s="1"/>
  <c r="BZ403" i="6" s="1"/>
  <c r="CA403" i="6" s="1"/>
  <c r="CB403" i="6" s="1"/>
  <c r="CC403" i="6" s="1"/>
  <c r="CD403" i="6" s="1"/>
  <c r="CE403" i="6" s="1"/>
  <c r="CF403" i="6" s="1"/>
  <c r="CG403" i="6" s="1"/>
  <c r="CH403" i="6" s="1"/>
  <c r="CI403" i="6" s="1"/>
  <c r="CJ403" i="6" s="1"/>
  <c r="P362" i="6"/>
  <c r="Q362" i="6" s="1"/>
  <c r="R362" i="6" s="1"/>
  <c r="S362" i="6" s="1"/>
  <c r="T362" i="6" s="1"/>
  <c r="U362" i="6" s="1"/>
  <c r="V362" i="6" s="1"/>
  <c r="W362" i="6" s="1"/>
  <c r="X362" i="6" s="1"/>
  <c r="Y362" i="6" s="1"/>
  <c r="Z362" i="6" s="1"/>
  <c r="AA362" i="6" s="1"/>
  <c r="AB362" i="6" s="1"/>
  <c r="AC362" i="6" s="1"/>
  <c r="AD362" i="6" s="1"/>
  <c r="AE362" i="6" s="1"/>
  <c r="AF362" i="6" s="1"/>
  <c r="AG362" i="6" s="1"/>
  <c r="AH362" i="6" s="1"/>
  <c r="AI362" i="6" s="1"/>
  <c r="AJ362" i="6" s="1"/>
  <c r="AK362" i="6" s="1"/>
  <c r="AL362" i="6" s="1"/>
  <c r="AM362" i="6" s="1"/>
  <c r="AN362" i="6" s="1"/>
  <c r="AO362" i="6" s="1"/>
  <c r="AP362" i="6" s="1"/>
  <c r="AQ362" i="6" s="1"/>
  <c r="AR362" i="6" s="1"/>
  <c r="AS362" i="6" s="1"/>
  <c r="P245" i="6"/>
  <c r="Q245" i="6" s="1"/>
  <c r="R245" i="6" s="1"/>
  <c r="S245" i="6" s="1"/>
  <c r="T245" i="6" s="1"/>
  <c r="U245" i="6" s="1"/>
  <c r="P263" i="6"/>
  <c r="Q263" i="6" s="1"/>
  <c r="R263" i="6" s="1"/>
  <c r="S263" i="6" s="1"/>
  <c r="T263" i="6" s="1"/>
  <c r="U263" i="6" s="1"/>
  <c r="P108" i="6"/>
  <c r="Q108" i="6" s="1"/>
  <c r="R108" i="6" s="1"/>
  <c r="S108" i="6" s="1"/>
  <c r="T108" i="6" s="1"/>
  <c r="U108" i="6" s="1"/>
  <c r="P25" i="6"/>
  <c r="Q25" i="6" s="1"/>
  <c r="R25" i="6" s="1"/>
  <c r="S25" i="6" s="1"/>
  <c r="T25" i="6" s="1"/>
  <c r="U25" i="6" s="1"/>
  <c r="P249" i="6"/>
  <c r="Q249" i="6" s="1"/>
  <c r="R249" i="6" s="1"/>
  <c r="S249" i="6" s="1"/>
  <c r="T249" i="6" s="1"/>
  <c r="U249" i="6" s="1"/>
  <c r="P114" i="6"/>
  <c r="Q114" i="6" s="1"/>
  <c r="R114" i="6" s="1"/>
  <c r="S114" i="6" s="1"/>
  <c r="T114" i="6" s="1"/>
  <c r="U114" i="6" s="1"/>
  <c r="V114" i="6" s="1"/>
  <c r="W114" i="6" s="1"/>
  <c r="X114" i="6" s="1"/>
  <c r="Y114" i="6" s="1"/>
  <c r="P209" i="6"/>
  <c r="Q209" i="6" s="1"/>
  <c r="R209" i="6" s="1"/>
  <c r="S209" i="6" s="1"/>
  <c r="T209" i="6" s="1"/>
  <c r="U209" i="6" s="1"/>
  <c r="V209" i="6" s="1"/>
  <c r="W209" i="6" s="1"/>
  <c r="X209" i="6" s="1"/>
  <c r="Y209" i="6" s="1"/>
  <c r="P215" i="6"/>
  <c r="Q215" i="6" s="1"/>
  <c r="R215" i="6" s="1"/>
  <c r="S215" i="6" s="1"/>
  <c r="T215" i="6" s="1"/>
  <c r="U215" i="6" s="1"/>
  <c r="P199" i="6"/>
  <c r="Q199" i="6" s="1"/>
  <c r="R199" i="6" s="1"/>
  <c r="S199" i="6" s="1"/>
  <c r="T199" i="6" s="1"/>
  <c r="U199" i="6" s="1"/>
  <c r="P122" i="6"/>
  <c r="Q122" i="6" s="1"/>
  <c r="R122" i="6" s="1"/>
  <c r="S122" i="6" s="1"/>
  <c r="T122" i="6" s="1"/>
  <c r="U122" i="6" s="1"/>
  <c r="V122" i="6" s="1"/>
  <c r="W122" i="6" s="1"/>
  <c r="X122" i="6" s="1"/>
  <c r="Y122" i="6" s="1"/>
  <c r="R68" i="1"/>
  <c r="S68" i="1" s="1"/>
  <c r="R62" i="1"/>
  <c r="S62" i="1" s="1"/>
  <c r="T62" i="1" s="1"/>
  <c r="U62" i="1" s="1"/>
  <c r="R51" i="1"/>
  <c r="S51" i="1" s="1"/>
  <c r="T51" i="1" s="1"/>
  <c r="U51" i="1" s="1"/>
  <c r="R64" i="1"/>
  <c r="S64" i="1" s="1"/>
  <c r="R66" i="1"/>
  <c r="S66" i="1" s="1"/>
  <c r="U71" i="4"/>
  <c r="V71" i="4" s="1"/>
  <c r="W71" i="4" s="1"/>
  <c r="T71" i="4"/>
  <c r="V303" i="6"/>
  <c r="W303" i="6" s="1"/>
  <c r="X303" i="6" s="1"/>
  <c r="Y303" i="6" s="1"/>
  <c r="Z303" i="6" s="1"/>
  <c r="AA303" i="6" s="1"/>
  <c r="AB303" i="6" s="1"/>
  <c r="AC303" i="6" s="1"/>
  <c r="AD303" i="6" s="1"/>
  <c r="AE303" i="6" s="1"/>
  <c r="AF303" i="6" s="1"/>
  <c r="AG303" i="6" s="1"/>
  <c r="AH303" i="6" s="1"/>
  <c r="AI303" i="6" s="1"/>
  <c r="AJ303" i="6" s="1"/>
  <c r="AK303" i="6" s="1"/>
  <c r="AL303" i="6" s="1"/>
  <c r="AM303" i="6" s="1"/>
  <c r="AN303" i="6" s="1"/>
  <c r="AO303" i="6" s="1"/>
  <c r="AP303" i="6" s="1"/>
  <c r="AQ303" i="6" s="1"/>
  <c r="AR303" i="6" s="1"/>
  <c r="AS303" i="6" s="1"/>
  <c r="AT303" i="6" s="1"/>
  <c r="AU303" i="6" s="1"/>
  <c r="AV303" i="6" s="1"/>
  <c r="AW303" i="6" s="1"/>
  <c r="AX303" i="6" s="1"/>
  <c r="AY303" i="6" s="1"/>
  <c r="AZ303" i="6" s="1"/>
  <c r="BA303" i="6" s="1"/>
  <c r="BB303" i="6" s="1"/>
  <c r="R295" i="6"/>
  <c r="S295" i="6" s="1"/>
  <c r="T295" i="6" s="1"/>
  <c r="U295" i="6" s="1"/>
  <c r="R299" i="6"/>
  <c r="S299" i="6" s="1"/>
  <c r="T299" i="6" s="1"/>
  <c r="U299" i="6" s="1"/>
  <c r="R287" i="6"/>
  <c r="S287" i="6" s="1"/>
  <c r="T287" i="6" s="1"/>
  <c r="U287" i="6" s="1"/>
  <c r="Z350" i="6"/>
  <c r="AA350" i="6" s="1"/>
  <c r="V281" i="6"/>
  <c r="W281" i="6" s="1"/>
  <c r="X281" i="6" s="1"/>
  <c r="Y281" i="6" s="1"/>
  <c r="Z281" i="6" s="1"/>
  <c r="AA281" i="6" s="1"/>
  <c r="AB281" i="6" s="1"/>
  <c r="AC281" i="6" s="1"/>
  <c r="AD281" i="6" s="1"/>
  <c r="AE281" i="6" s="1"/>
  <c r="AF281" i="6" s="1"/>
  <c r="AG281" i="6" s="1"/>
  <c r="AH281" i="6" s="1"/>
  <c r="AI281" i="6" s="1"/>
  <c r="AJ281" i="6" s="1"/>
  <c r="AK281" i="6" s="1"/>
  <c r="AL281" i="6" s="1"/>
  <c r="AM281" i="6" s="1"/>
  <c r="AN281" i="6" s="1"/>
  <c r="AO281" i="6" s="1"/>
  <c r="AP281" i="6" s="1"/>
  <c r="AQ281" i="6" s="1"/>
  <c r="AR281" i="6" s="1"/>
  <c r="AS281" i="6" s="1"/>
  <c r="AT281" i="6" s="1"/>
  <c r="AU281" i="6" s="1"/>
  <c r="AV281" i="6" s="1"/>
  <c r="AW281" i="6" s="1"/>
  <c r="AX281" i="6" s="1"/>
  <c r="AY281" i="6" s="1"/>
  <c r="AZ281" i="6" s="1"/>
  <c r="BA281" i="6" s="1"/>
  <c r="BB281" i="6" s="1"/>
  <c r="V279" i="6"/>
  <c r="W279" i="6" s="1"/>
  <c r="X279" i="6" s="1"/>
  <c r="Y279" i="6" s="1"/>
  <c r="Z279" i="6" s="1"/>
  <c r="AA279" i="6" s="1"/>
  <c r="AB279" i="6" s="1"/>
  <c r="AC279" i="6" s="1"/>
  <c r="AD279" i="6" s="1"/>
  <c r="AE279" i="6" s="1"/>
  <c r="AF279" i="6" s="1"/>
  <c r="AG279" i="6" s="1"/>
  <c r="AH279" i="6" s="1"/>
  <c r="AI279" i="6" s="1"/>
  <c r="AJ279" i="6" s="1"/>
  <c r="AK279" i="6" s="1"/>
  <c r="AL279" i="6" s="1"/>
  <c r="AM279" i="6" s="1"/>
  <c r="AN279" i="6" s="1"/>
  <c r="AO279" i="6" s="1"/>
  <c r="AP279" i="6" s="1"/>
  <c r="AQ279" i="6" s="1"/>
  <c r="AR279" i="6" s="1"/>
  <c r="AS279" i="6" s="1"/>
  <c r="AT279" i="6" s="1"/>
  <c r="AU279" i="6" s="1"/>
  <c r="AV279" i="6" s="1"/>
  <c r="AW279" i="6" s="1"/>
  <c r="AX279" i="6" s="1"/>
  <c r="AY279" i="6" s="1"/>
  <c r="AZ279" i="6" s="1"/>
  <c r="BA279" i="6" s="1"/>
  <c r="BB279" i="6" s="1"/>
  <c r="V283" i="6"/>
  <c r="W283" i="6" s="1"/>
  <c r="AT348" i="6"/>
  <c r="AU348" i="6" s="1"/>
  <c r="AV348" i="6" s="1"/>
  <c r="AW348" i="6" s="1"/>
  <c r="AX348" i="6" s="1"/>
  <c r="AY348" i="6" s="1"/>
  <c r="AZ348" i="6" s="1"/>
  <c r="BA348" i="6" s="1"/>
  <c r="BB348" i="6" s="1"/>
  <c r="Z273" i="6"/>
  <c r="AA273" i="6" s="1"/>
  <c r="AB273" i="6" s="1"/>
  <c r="AC273" i="6" s="1"/>
  <c r="AD273" i="6" s="1"/>
  <c r="AE273" i="6" s="1"/>
  <c r="AF273" i="6" s="1"/>
  <c r="AG273" i="6" s="1"/>
  <c r="AH273" i="6" s="1"/>
  <c r="AI273" i="6" s="1"/>
  <c r="AJ273" i="6" s="1"/>
  <c r="AK273" i="6" s="1"/>
  <c r="AL273" i="6" s="1"/>
  <c r="AM273" i="6" s="1"/>
  <c r="AN273" i="6" s="1"/>
  <c r="AO273" i="6" s="1"/>
  <c r="AP273" i="6" s="1"/>
  <c r="AQ273" i="6" s="1"/>
  <c r="AR273" i="6" s="1"/>
  <c r="AS273" i="6" s="1"/>
  <c r="AT273" i="6" s="1"/>
  <c r="AU273" i="6" s="1"/>
  <c r="AV273" i="6" s="1"/>
  <c r="AW273" i="6" s="1"/>
  <c r="AX273" i="6" s="1"/>
  <c r="AY273" i="6" s="1"/>
  <c r="AZ273" i="6" s="1"/>
  <c r="BA273" i="6" s="1"/>
  <c r="BB273" i="6" s="1"/>
  <c r="V346" i="6"/>
  <c r="W346" i="6" s="1"/>
  <c r="V285" i="6"/>
  <c r="W285" i="6" s="1"/>
  <c r="V301" i="6"/>
  <c r="W301" i="6" s="1"/>
  <c r="X301" i="6" s="1"/>
  <c r="Y301" i="6" s="1"/>
  <c r="Z301" i="6" s="1"/>
  <c r="AA301" i="6" s="1"/>
  <c r="AB301" i="6" s="1"/>
  <c r="AC301" i="6" s="1"/>
  <c r="AD301" i="6" s="1"/>
  <c r="AE301" i="6" s="1"/>
  <c r="AF301" i="6" s="1"/>
  <c r="AG301" i="6" s="1"/>
  <c r="AH301" i="6" s="1"/>
  <c r="AI301" i="6" s="1"/>
  <c r="AJ301" i="6" s="1"/>
  <c r="AK301" i="6" s="1"/>
  <c r="AL301" i="6" s="1"/>
  <c r="AM301" i="6" s="1"/>
  <c r="AN301" i="6" s="1"/>
  <c r="AO301" i="6" s="1"/>
  <c r="AP301" i="6" s="1"/>
  <c r="AQ301" i="6" s="1"/>
  <c r="AR301" i="6" s="1"/>
  <c r="AS301" i="6" s="1"/>
  <c r="AT301" i="6" s="1"/>
  <c r="AU301" i="6" s="1"/>
  <c r="AV301" i="6" s="1"/>
  <c r="AW301" i="6" s="1"/>
  <c r="AX301" i="6" s="1"/>
  <c r="AY301" i="6" s="1"/>
  <c r="AZ301" i="6" s="1"/>
  <c r="BA301" i="6" s="1"/>
  <c r="BB301" i="6" s="1"/>
  <c r="Z360" i="6"/>
  <c r="AA360" i="6" s="1"/>
  <c r="AB360" i="6" s="1"/>
  <c r="AC360" i="6" s="1"/>
  <c r="AD360" i="6" s="1"/>
  <c r="AE360" i="6" s="1"/>
  <c r="AF360" i="6" s="1"/>
  <c r="AG360" i="6" s="1"/>
  <c r="AH360" i="6" s="1"/>
  <c r="AI360" i="6" s="1"/>
  <c r="AJ360" i="6" s="1"/>
  <c r="AK360" i="6" s="1"/>
  <c r="AL360" i="6" s="1"/>
  <c r="AM360" i="6" s="1"/>
  <c r="AN360" i="6" s="1"/>
  <c r="AO360" i="6" s="1"/>
  <c r="AP360" i="6" s="1"/>
  <c r="AQ360" i="6" s="1"/>
  <c r="AR360" i="6" s="1"/>
  <c r="AS360" i="6" s="1"/>
  <c r="AT360" i="6" s="1"/>
  <c r="AU360" i="6" s="1"/>
  <c r="AV360" i="6" s="1"/>
  <c r="AW360" i="6" s="1"/>
  <c r="AX360" i="6" s="1"/>
  <c r="AY360" i="6" s="1"/>
  <c r="AZ360" i="6" s="1"/>
  <c r="BA360" i="6" s="1"/>
  <c r="BB360" i="6" s="1"/>
  <c r="R275" i="6"/>
  <c r="S275" i="6" s="1"/>
  <c r="T275" i="6" s="1"/>
  <c r="U275" i="6" s="1"/>
  <c r="X69" i="4"/>
  <c r="Y69" i="4" s="1"/>
  <c r="Z69" i="4" s="1"/>
  <c r="AA69" i="4" s="1"/>
  <c r="AB69" i="4" s="1"/>
  <c r="AC69" i="4" s="1"/>
  <c r="AD69" i="4" s="1"/>
  <c r="AE69" i="4" s="1"/>
  <c r="AF69" i="4" s="1"/>
  <c r="AG69" i="4" s="1"/>
  <c r="AH69" i="4" s="1"/>
  <c r="AI69" i="4" s="1"/>
  <c r="AJ69" i="4" s="1"/>
  <c r="AK69" i="4" s="1"/>
  <c r="AL69" i="4" s="1"/>
  <c r="AM69" i="4" s="1"/>
  <c r="AN69" i="4" s="1"/>
  <c r="AO69" i="4" s="1"/>
  <c r="AP69" i="4" s="1"/>
  <c r="AQ69" i="4" s="1"/>
  <c r="AR69" i="4" s="1"/>
  <c r="AS69" i="4" s="1"/>
  <c r="AT69" i="4" s="1"/>
  <c r="AU69" i="4" s="1"/>
  <c r="AV69" i="4" s="1"/>
  <c r="AW69" i="4" s="1"/>
  <c r="AX69" i="4" s="1"/>
  <c r="AY69" i="4" s="1"/>
  <c r="AZ69" i="4" s="1"/>
  <c r="BA69" i="4" s="1"/>
  <c r="BB69" i="4" s="1"/>
  <c r="BC69" i="4" s="1"/>
  <c r="BD69" i="4" s="1"/>
  <c r="BE69" i="4" s="1"/>
  <c r="BF69" i="4" s="1"/>
  <c r="BG69" i="4" s="1"/>
  <c r="BH69" i="4" s="1"/>
  <c r="BI69" i="4" s="1"/>
  <c r="BJ69" i="4" s="1"/>
  <c r="BK69" i="4" s="1"/>
  <c r="BL69" i="4" s="1"/>
  <c r="BM69" i="4" s="1"/>
  <c r="BN69" i="4" s="1"/>
  <c r="BO69" i="4" s="1"/>
  <c r="BP69" i="4" s="1"/>
  <c r="BQ69" i="4" s="1"/>
  <c r="BR69" i="4" s="1"/>
  <c r="BS69" i="4" s="1"/>
  <c r="BT69" i="4" s="1"/>
  <c r="BU69" i="4" s="1"/>
  <c r="BV69" i="4" s="1"/>
  <c r="BW69" i="4" s="1"/>
  <c r="BX69" i="4" s="1"/>
  <c r="BY69" i="4" s="1"/>
  <c r="BZ69" i="4" s="1"/>
  <c r="CA69" i="4" s="1"/>
  <c r="CB69" i="4" s="1"/>
  <c r="CC69" i="4" s="1"/>
  <c r="CD69" i="4" s="1"/>
  <c r="CE69" i="4" s="1"/>
  <c r="CF69" i="4" s="1"/>
  <c r="CG69" i="4" s="1"/>
  <c r="CH69" i="4" s="1"/>
  <c r="CI69" i="4" s="1"/>
  <c r="CJ69" i="4" s="1"/>
  <c r="CK69" i="4" s="1"/>
  <c r="CL69" i="4" s="1"/>
  <c r="CM69" i="4" s="1"/>
  <c r="CN69" i="4" s="1"/>
  <c r="CO69" i="4" s="1"/>
  <c r="X77" i="4"/>
  <c r="Y77" i="4" s="1"/>
  <c r="Z77" i="4" s="1"/>
  <c r="AA77" i="4" s="1"/>
  <c r="AB77" i="4" s="1"/>
  <c r="AC77" i="4" s="1"/>
  <c r="AD77" i="4" s="1"/>
  <c r="AE77" i="4" s="1"/>
  <c r="AF77" i="4" s="1"/>
  <c r="AG77" i="4" s="1"/>
  <c r="AH77" i="4" s="1"/>
  <c r="AI77" i="4" s="1"/>
  <c r="AJ77" i="4" s="1"/>
  <c r="AK77" i="4" s="1"/>
  <c r="AL77" i="4" s="1"/>
  <c r="AM77" i="4" s="1"/>
  <c r="AN77" i="4" s="1"/>
  <c r="AO77" i="4" s="1"/>
  <c r="AP77" i="4" s="1"/>
  <c r="AQ77" i="4" s="1"/>
  <c r="AR77" i="4" s="1"/>
  <c r="AS77" i="4" s="1"/>
  <c r="AT77" i="4" s="1"/>
  <c r="AU77" i="4" s="1"/>
  <c r="AV77" i="4" s="1"/>
  <c r="AW77" i="4" s="1"/>
  <c r="AX77" i="4" s="1"/>
  <c r="AY77" i="4" s="1"/>
  <c r="AZ77" i="4" s="1"/>
  <c r="BA77" i="4" s="1"/>
  <c r="BB77" i="4" s="1"/>
  <c r="BC77" i="4" s="1"/>
  <c r="BD77" i="4" s="1"/>
  <c r="BE77" i="4" s="1"/>
  <c r="BF77" i="4" s="1"/>
  <c r="BG77" i="4" s="1"/>
  <c r="BH77" i="4" s="1"/>
  <c r="BI77" i="4" s="1"/>
  <c r="BJ77" i="4" s="1"/>
  <c r="BK77" i="4" s="1"/>
  <c r="BL77" i="4" s="1"/>
  <c r="BM77" i="4" s="1"/>
  <c r="BN77" i="4" s="1"/>
  <c r="BO77" i="4" s="1"/>
  <c r="BP77" i="4" s="1"/>
  <c r="BQ77" i="4" s="1"/>
  <c r="BR77" i="4" s="1"/>
  <c r="BS77" i="4" s="1"/>
  <c r="BT77" i="4" s="1"/>
  <c r="BU77" i="4" s="1"/>
  <c r="BV77" i="4" s="1"/>
  <c r="BW77" i="4" s="1"/>
  <c r="BX77" i="4" s="1"/>
  <c r="BY77" i="4" s="1"/>
  <c r="BZ77" i="4" s="1"/>
  <c r="CA77" i="4" s="1"/>
  <c r="CB77" i="4" s="1"/>
  <c r="CC77" i="4" s="1"/>
  <c r="CD77" i="4" s="1"/>
  <c r="CE77" i="4" s="1"/>
  <c r="CF77" i="4" s="1"/>
  <c r="CG77" i="4" s="1"/>
  <c r="CH77" i="4" s="1"/>
  <c r="CI77" i="4" s="1"/>
  <c r="CJ77" i="4" s="1"/>
  <c r="CK77" i="4" s="1"/>
  <c r="CL77" i="4" s="1"/>
  <c r="CM77" i="4" s="1"/>
  <c r="CN77" i="4" s="1"/>
  <c r="CO77" i="4" s="1"/>
  <c r="CP21" i="4"/>
  <c r="CP7" i="4"/>
  <c r="CP65" i="4"/>
  <c r="CP73" i="4"/>
  <c r="HA73" i="4" s="1"/>
  <c r="CP80" i="4"/>
  <c r="CP39" i="4"/>
  <c r="CP19" i="4"/>
  <c r="CP31" i="4"/>
  <c r="CP29" i="4"/>
  <c r="V59" i="4"/>
  <c r="W59" i="4" s="1"/>
  <c r="X59" i="4" s="1"/>
  <c r="Y59" i="4" s="1"/>
  <c r="Z59" i="4" s="1"/>
  <c r="AA59" i="4" s="1"/>
  <c r="AB59" i="4" s="1"/>
  <c r="AC59" i="4" s="1"/>
  <c r="AD59" i="4" s="1"/>
  <c r="AE59" i="4" s="1"/>
  <c r="AF59" i="4" s="1"/>
  <c r="AG59" i="4" s="1"/>
  <c r="AH59" i="4" s="1"/>
  <c r="AI59" i="4" s="1"/>
  <c r="AJ59" i="4" s="1"/>
  <c r="AK59" i="4" s="1"/>
  <c r="AL59" i="4" s="1"/>
  <c r="AM59" i="4" s="1"/>
  <c r="AN59" i="4" s="1"/>
  <c r="AO59" i="4" s="1"/>
  <c r="AP59" i="4" s="1"/>
  <c r="AQ59" i="4" s="1"/>
  <c r="AR59" i="4" s="1"/>
  <c r="AS59" i="4" s="1"/>
  <c r="AT59" i="4" s="1"/>
  <c r="AU59" i="4" s="1"/>
  <c r="AV59" i="4" s="1"/>
  <c r="AW59" i="4" s="1"/>
  <c r="AX59" i="4" s="1"/>
  <c r="AY59" i="4" s="1"/>
  <c r="AZ59" i="4" s="1"/>
  <c r="BA59" i="4" s="1"/>
  <c r="BB59" i="4" s="1"/>
  <c r="BC59" i="4" s="1"/>
  <c r="BD59" i="4" s="1"/>
  <c r="BE59" i="4" s="1"/>
  <c r="BF59" i="4" s="1"/>
  <c r="BG59" i="4" s="1"/>
  <c r="BH59" i="4" s="1"/>
  <c r="BI59" i="4" s="1"/>
  <c r="BJ59" i="4" s="1"/>
  <c r="BK59" i="4" s="1"/>
  <c r="BL59" i="4" s="1"/>
  <c r="BM59" i="4" s="1"/>
  <c r="BN59" i="4" s="1"/>
  <c r="BO59" i="4" s="1"/>
  <c r="BP59" i="4" s="1"/>
  <c r="BQ59" i="4" s="1"/>
  <c r="BR59" i="4" s="1"/>
  <c r="BS59" i="4" s="1"/>
  <c r="BT59" i="4" s="1"/>
  <c r="BU59" i="4" s="1"/>
  <c r="BV59" i="4" s="1"/>
  <c r="BW59" i="4" s="1"/>
  <c r="BX59" i="4" s="1"/>
  <c r="BY59" i="4" s="1"/>
  <c r="BZ59" i="4" s="1"/>
  <c r="CA59" i="4" s="1"/>
  <c r="CB59" i="4" s="1"/>
  <c r="CC59" i="4" s="1"/>
  <c r="CD59" i="4" s="1"/>
  <c r="CE59" i="4" s="1"/>
  <c r="CF59" i="4" s="1"/>
  <c r="CG59" i="4" s="1"/>
  <c r="CH59" i="4" s="1"/>
  <c r="CI59" i="4" s="1"/>
  <c r="CJ59" i="4" s="1"/>
  <c r="CK59" i="4" s="1"/>
  <c r="CL59" i="4" s="1"/>
  <c r="CM59" i="4" s="1"/>
  <c r="CN59" i="4" s="1"/>
  <c r="CO59" i="4" s="1"/>
  <c r="Z43" i="4"/>
  <c r="Z195" i="6"/>
  <c r="AA195" i="6" s="1"/>
  <c r="AB195" i="6" s="1"/>
  <c r="AC195" i="6" s="1"/>
  <c r="AD195" i="6" s="1"/>
  <c r="AE195" i="6" s="1"/>
  <c r="AF195" i="6" s="1"/>
  <c r="AG195" i="6" s="1"/>
  <c r="AH195" i="6" s="1"/>
  <c r="AI195" i="6" s="1"/>
  <c r="AJ195" i="6" s="1"/>
  <c r="AK195" i="6" s="1"/>
  <c r="AL195" i="6" s="1"/>
  <c r="AM195" i="6" s="1"/>
  <c r="AN195" i="6" s="1"/>
  <c r="AO195" i="6" s="1"/>
  <c r="AP195" i="6" s="1"/>
  <c r="AQ195" i="6" s="1"/>
  <c r="AR195" i="6" s="1"/>
  <c r="AS195" i="6" s="1"/>
  <c r="AT195" i="6" s="1"/>
  <c r="AU195" i="6" s="1"/>
  <c r="AV195" i="6" s="1"/>
  <c r="AW195" i="6" s="1"/>
  <c r="AX195" i="6" s="1"/>
  <c r="AY195" i="6" s="1"/>
  <c r="AZ195" i="6" s="1"/>
  <c r="BA195" i="6" s="1"/>
  <c r="BB195" i="6" s="1"/>
  <c r="Z217" i="6"/>
  <c r="AA217" i="6" s="1"/>
  <c r="Z237" i="6"/>
  <c r="AA237" i="6" s="1"/>
  <c r="AB237" i="6" s="1"/>
  <c r="AC237" i="6" s="1"/>
  <c r="AD237" i="6" s="1"/>
  <c r="AE237" i="6" s="1"/>
  <c r="AF237" i="6" s="1"/>
  <c r="AG237" i="6" s="1"/>
  <c r="AH237" i="6" s="1"/>
  <c r="AI237" i="6" s="1"/>
  <c r="AJ237" i="6" s="1"/>
  <c r="AK237" i="6" s="1"/>
  <c r="AL237" i="6" s="1"/>
  <c r="AM237" i="6" s="1"/>
  <c r="AN237" i="6" s="1"/>
  <c r="AO237" i="6" s="1"/>
  <c r="AP237" i="6" s="1"/>
  <c r="AQ237" i="6" s="1"/>
  <c r="AR237" i="6" s="1"/>
  <c r="AS237" i="6" s="1"/>
  <c r="AT237" i="6" s="1"/>
  <c r="AU237" i="6" s="1"/>
  <c r="AV237" i="6" s="1"/>
  <c r="AW237" i="6" s="1"/>
  <c r="AX237" i="6" s="1"/>
  <c r="AY237" i="6" s="1"/>
  <c r="AZ237" i="6" s="1"/>
  <c r="BA237" i="6" s="1"/>
  <c r="BB237" i="6" s="1"/>
  <c r="V104" i="6"/>
  <c r="W104" i="6" s="1"/>
  <c r="X104" i="6" s="1"/>
  <c r="Y104" i="6" s="1"/>
  <c r="Z104" i="6" s="1"/>
  <c r="AA104" i="6" s="1"/>
  <c r="AB104" i="6" s="1"/>
  <c r="AC104" i="6" s="1"/>
  <c r="AD104" i="6" s="1"/>
  <c r="AE104" i="6" s="1"/>
  <c r="AF104" i="6" s="1"/>
  <c r="AG104" i="6" s="1"/>
  <c r="AH104" i="6" s="1"/>
  <c r="AI104" i="6" s="1"/>
  <c r="AJ104" i="6" s="1"/>
  <c r="AK104" i="6" s="1"/>
  <c r="AL104" i="6" s="1"/>
  <c r="AM104" i="6" s="1"/>
  <c r="AN104" i="6" s="1"/>
  <c r="AO104" i="6" s="1"/>
  <c r="AP104" i="6" s="1"/>
  <c r="AQ104" i="6" s="1"/>
  <c r="AR104" i="6" s="1"/>
  <c r="AS104" i="6" s="1"/>
  <c r="AT104" i="6" s="1"/>
  <c r="AU104" i="6" s="1"/>
  <c r="AV104" i="6" s="1"/>
  <c r="AW104" i="6" s="1"/>
  <c r="AX104" i="6" s="1"/>
  <c r="AY104" i="6" s="1"/>
  <c r="AZ104" i="6" s="1"/>
  <c r="BA104" i="6" s="1"/>
  <c r="BB104" i="6" s="1"/>
  <c r="V11" i="6"/>
  <c r="W11" i="6" s="1"/>
  <c r="V37" i="6"/>
  <c r="W37" i="6" s="1"/>
  <c r="V241" i="6"/>
  <c r="W241" i="6" s="1"/>
  <c r="V63" i="6"/>
  <c r="W63" i="6" s="1"/>
  <c r="X63" i="6" s="1"/>
  <c r="Y63" i="6" s="1"/>
  <c r="Z63" i="6" s="1"/>
  <c r="AA63" i="6" s="1"/>
  <c r="AB63" i="6" s="1"/>
  <c r="AC63" i="6" s="1"/>
  <c r="AD63" i="6" s="1"/>
  <c r="AE63" i="6" s="1"/>
  <c r="AF63" i="6" s="1"/>
  <c r="AG63" i="6" s="1"/>
  <c r="AH63" i="6" s="1"/>
  <c r="AI63" i="6" s="1"/>
  <c r="AJ63" i="6" s="1"/>
  <c r="AK63" i="6" s="1"/>
  <c r="AL63" i="6" s="1"/>
  <c r="AM63" i="6" s="1"/>
  <c r="AN63" i="6" s="1"/>
  <c r="AO63" i="6" s="1"/>
  <c r="AP63" i="6" s="1"/>
  <c r="AQ63" i="6" s="1"/>
  <c r="AR63" i="6" s="1"/>
  <c r="AS63" i="6" s="1"/>
  <c r="AT63" i="6" s="1"/>
  <c r="AU63" i="6" s="1"/>
  <c r="AV63" i="6" s="1"/>
  <c r="AW63" i="6" s="1"/>
  <c r="AX63" i="6" s="1"/>
  <c r="AY63" i="6" s="1"/>
  <c r="AZ63" i="6" s="1"/>
  <c r="BA63" i="6" s="1"/>
  <c r="BB63" i="6" s="1"/>
  <c r="AV67" i="6"/>
  <c r="AW67" i="6" s="1"/>
  <c r="V231" i="6"/>
  <c r="W231" i="6" s="1"/>
  <c r="X231" i="6" s="1"/>
  <c r="Y231" i="6" s="1"/>
  <c r="Z231" i="6" s="1"/>
  <c r="AA231" i="6" s="1"/>
  <c r="AB231" i="6" s="1"/>
  <c r="AC231" i="6" s="1"/>
  <c r="AD231" i="6" s="1"/>
  <c r="AE231" i="6" s="1"/>
  <c r="AF231" i="6" s="1"/>
  <c r="AG231" i="6" s="1"/>
  <c r="AH231" i="6" s="1"/>
  <c r="AI231" i="6" s="1"/>
  <c r="AJ231" i="6" s="1"/>
  <c r="AK231" i="6" s="1"/>
  <c r="AL231" i="6" s="1"/>
  <c r="AM231" i="6" s="1"/>
  <c r="AN231" i="6" s="1"/>
  <c r="AO231" i="6" s="1"/>
  <c r="AP231" i="6" s="1"/>
  <c r="AQ231" i="6" s="1"/>
  <c r="AR231" i="6" s="1"/>
  <c r="AS231" i="6" s="1"/>
  <c r="AT231" i="6" s="1"/>
  <c r="AU231" i="6" s="1"/>
  <c r="AV231" i="6" s="1"/>
  <c r="AW231" i="6" s="1"/>
  <c r="AX231" i="6" s="1"/>
  <c r="AY231" i="6" s="1"/>
  <c r="AZ231" i="6" s="1"/>
  <c r="BA231" i="6" s="1"/>
  <c r="BB231" i="6" s="1"/>
  <c r="Z201" i="6"/>
  <c r="AA201" i="6" s="1"/>
  <c r="AB201" i="6" s="1"/>
  <c r="AC201" i="6" s="1"/>
  <c r="AD201" i="6" s="1"/>
  <c r="AE201" i="6" s="1"/>
  <c r="AF201" i="6" s="1"/>
  <c r="AG201" i="6" s="1"/>
  <c r="AH201" i="6" s="1"/>
  <c r="AI201" i="6" s="1"/>
  <c r="AJ201" i="6" s="1"/>
  <c r="AK201" i="6" s="1"/>
  <c r="AL201" i="6" s="1"/>
  <c r="AM201" i="6" s="1"/>
  <c r="AN201" i="6" s="1"/>
  <c r="AO201" i="6" s="1"/>
  <c r="AP201" i="6" s="1"/>
  <c r="AQ201" i="6" s="1"/>
  <c r="AR201" i="6" s="1"/>
  <c r="AS201" i="6" s="1"/>
  <c r="AT201" i="6" s="1"/>
  <c r="AU201" i="6" s="1"/>
  <c r="AV201" i="6" s="1"/>
  <c r="AW201" i="6" s="1"/>
  <c r="AX201" i="6" s="1"/>
  <c r="AY201" i="6" s="1"/>
  <c r="AZ201" i="6" s="1"/>
  <c r="BA201" i="6" s="1"/>
  <c r="BB201" i="6" s="1"/>
  <c r="V118" i="6"/>
  <c r="W118" i="6" s="1"/>
  <c r="X118" i="6" s="1"/>
  <c r="Y118" i="6" s="1"/>
  <c r="Z118" i="6" s="1"/>
  <c r="AA118" i="6" s="1"/>
  <c r="AB118" i="6" s="1"/>
  <c r="AC118" i="6" s="1"/>
  <c r="AD118" i="6" s="1"/>
  <c r="AE118" i="6" s="1"/>
  <c r="AF118" i="6" s="1"/>
  <c r="AG118" i="6" s="1"/>
  <c r="AH118" i="6" s="1"/>
  <c r="AI118" i="6" s="1"/>
  <c r="AJ118" i="6" s="1"/>
  <c r="AK118" i="6" s="1"/>
  <c r="AL118" i="6" s="1"/>
  <c r="AM118" i="6" s="1"/>
  <c r="AN118" i="6" s="1"/>
  <c r="AO118" i="6" s="1"/>
  <c r="AP118" i="6" s="1"/>
  <c r="AQ118" i="6" s="1"/>
  <c r="AR118" i="6" s="1"/>
  <c r="AS118" i="6" s="1"/>
  <c r="AT118" i="6" s="1"/>
  <c r="AU118" i="6" s="1"/>
  <c r="AV118" i="6" s="1"/>
  <c r="AW118" i="6" s="1"/>
  <c r="AX118" i="6" s="1"/>
  <c r="AY118" i="6" s="1"/>
  <c r="AZ118" i="6" s="1"/>
  <c r="BA118" i="6" s="1"/>
  <c r="BB118" i="6" s="1"/>
  <c r="V13" i="6"/>
  <c r="W13" i="6" s="1"/>
  <c r="X13" i="6" s="1"/>
  <c r="Y13" i="6" s="1"/>
  <c r="Z13" i="6" s="1"/>
  <c r="AA13" i="6" s="1"/>
  <c r="AB13" i="6" s="1"/>
  <c r="AC13" i="6" s="1"/>
  <c r="AD13" i="6" s="1"/>
  <c r="AE13" i="6" s="1"/>
  <c r="AF13" i="6" s="1"/>
  <c r="AG13" i="6" s="1"/>
  <c r="AH13" i="6" s="1"/>
  <c r="AI13" i="6" s="1"/>
  <c r="AJ13" i="6" s="1"/>
  <c r="AK13" i="6" s="1"/>
  <c r="AL13" i="6" s="1"/>
  <c r="AM13" i="6" s="1"/>
  <c r="AN13" i="6" s="1"/>
  <c r="AO13" i="6" s="1"/>
  <c r="AP13" i="6" s="1"/>
  <c r="AQ13" i="6" s="1"/>
  <c r="AR13" i="6" s="1"/>
  <c r="AS13" i="6" s="1"/>
  <c r="AT13" i="6" s="1"/>
  <c r="AU13" i="6" s="1"/>
  <c r="AV13" i="6" s="1"/>
  <c r="AW13" i="6" s="1"/>
  <c r="AX13" i="6" s="1"/>
  <c r="AY13" i="6" s="1"/>
  <c r="AZ13" i="6" s="1"/>
  <c r="BA13" i="6" s="1"/>
  <c r="BB13" i="6" s="1"/>
  <c r="V41" i="6"/>
  <c r="W41" i="6" s="1"/>
  <c r="Z211" i="6"/>
  <c r="AA211" i="6" s="1"/>
  <c r="AB211" i="6" s="1"/>
  <c r="AC211" i="6" s="1"/>
  <c r="AD211" i="6" s="1"/>
  <c r="AE211" i="6" s="1"/>
  <c r="AF211" i="6" s="1"/>
  <c r="AG211" i="6" s="1"/>
  <c r="AH211" i="6" s="1"/>
  <c r="AI211" i="6" s="1"/>
  <c r="AJ211" i="6" s="1"/>
  <c r="AK211" i="6" s="1"/>
  <c r="AL211" i="6" s="1"/>
  <c r="AM211" i="6" s="1"/>
  <c r="AN211" i="6" s="1"/>
  <c r="AO211" i="6" s="1"/>
  <c r="AP211" i="6" s="1"/>
  <c r="AQ211" i="6" s="1"/>
  <c r="AR211" i="6" s="1"/>
  <c r="AS211" i="6" s="1"/>
  <c r="AT211" i="6" s="1"/>
  <c r="AU211" i="6" s="1"/>
  <c r="AV211" i="6" s="1"/>
  <c r="AW211" i="6" s="1"/>
  <c r="AX211" i="6" s="1"/>
  <c r="AY211" i="6" s="1"/>
  <c r="AZ211" i="6" s="1"/>
  <c r="BA211" i="6" s="1"/>
  <c r="BB211" i="6" s="1"/>
  <c r="V96" i="6"/>
  <c r="W96" i="6" s="1"/>
  <c r="X96" i="6" s="1"/>
  <c r="Y96" i="6" s="1"/>
  <c r="Z96" i="6" s="1"/>
  <c r="AA96" i="6" s="1"/>
  <c r="AB96" i="6" s="1"/>
  <c r="AC96" i="6" s="1"/>
  <c r="AD96" i="6" s="1"/>
  <c r="AE96" i="6" s="1"/>
  <c r="AF96" i="6" s="1"/>
  <c r="AG96" i="6" s="1"/>
  <c r="AH96" i="6" s="1"/>
  <c r="AI96" i="6" s="1"/>
  <c r="AJ96" i="6" s="1"/>
  <c r="AK96" i="6" s="1"/>
  <c r="AL96" i="6" s="1"/>
  <c r="AM96" i="6" s="1"/>
  <c r="AN96" i="6" s="1"/>
  <c r="AO96" i="6" s="1"/>
  <c r="AP96" i="6" s="1"/>
  <c r="AQ96" i="6" s="1"/>
  <c r="AR96" i="6" s="1"/>
  <c r="AS96" i="6" s="1"/>
  <c r="AT96" i="6" s="1"/>
  <c r="AU96" i="6" s="1"/>
  <c r="AV96" i="6" s="1"/>
  <c r="AW96" i="6" s="1"/>
  <c r="AX96" i="6" s="1"/>
  <c r="AY96" i="6" s="1"/>
  <c r="AZ96" i="6" s="1"/>
  <c r="BA96" i="6" s="1"/>
  <c r="BB96" i="6" s="1"/>
  <c r="V55" i="6"/>
  <c r="W55" i="6" s="1"/>
  <c r="V152" i="6"/>
  <c r="W152" i="6" s="1"/>
  <c r="X152" i="6" s="1"/>
  <c r="Y152" i="6" s="1"/>
  <c r="Z152" i="6" s="1"/>
  <c r="AA152" i="6" s="1"/>
  <c r="AB152" i="6" s="1"/>
  <c r="AC152" i="6" s="1"/>
  <c r="AD152" i="6" s="1"/>
  <c r="AE152" i="6" s="1"/>
  <c r="AF152" i="6" s="1"/>
  <c r="AG152" i="6" s="1"/>
  <c r="AH152" i="6" s="1"/>
  <c r="AI152" i="6" s="1"/>
  <c r="AJ152" i="6" s="1"/>
  <c r="AK152" i="6" s="1"/>
  <c r="AL152" i="6" s="1"/>
  <c r="AM152" i="6" s="1"/>
  <c r="AN152" i="6" s="1"/>
  <c r="AO152" i="6" s="1"/>
  <c r="AP152" i="6" s="1"/>
  <c r="AQ152" i="6" s="1"/>
  <c r="AR152" i="6" s="1"/>
  <c r="AS152" i="6" s="1"/>
  <c r="AT152" i="6" s="1"/>
  <c r="AU152" i="6" s="1"/>
  <c r="AV152" i="6" s="1"/>
  <c r="AW152" i="6" s="1"/>
  <c r="AX152" i="6" s="1"/>
  <c r="AY152" i="6" s="1"/>
  <c r="AZ152" i="6" s="1"/>
  <c r="BA152" i="6" s="1"/>
  <c r="BB152" i="6" s="1"/>
  <c r="V126" i="6"/>
  <c r="W126" i="6" s="1"/>
  <c r="X126" i="6" s="1"/>
  <c r="Y126" i="6" s="1"/>
  <c r="Z126" i="6" s="1"/>
  <c r="AA126" i="6" s="1"/>
  <c r="AB126" i="6" s="1"/>
  <c r="AC126" i="6" s="1"/>
  <c r="AD126" i="6" s="1"/>
  <c r="AE126" i="6" s="1"/>
  <c r="AF126" i="6" s="1"/>
  <c r="AG126" i="6" s="1"/>
  <c r="AH126" i="6" s="1"/>
  <c r="AI126" i="6" s="1"/>
  <c r="AJ126" i="6" s="1"/>
  <c r="AK126" i="6" s="1"/>
  <c r="AL126" i="6" s="1"/>
  <c r="AM126" i="6" s="1"/>
  <c r="AN126" i="6" s="1"/>
  <c r="AO126" i="6" s="1"/>
  <c r="AP126" i="6" s="1"/>
  <c r="AQ126" i="6" s="1"/>
  <c r="AR126" i="6" s="1"/>
  <c r="AS126" i="6" s="1"/>
  <c r="AT126" i="6" s="1"/>
  <c r="AU126" i="6" s="1"/>
  <c r="AV126" i="6" s="1"/>
  <c r="AW126" i="6" s="1"/>
  <c r="AX126" i="6" s="1"/>
  <c r="AY126" i="6" s="1"/>
  <c r="AZ126" i="6" s="1"/>
  <c r="BA126" i="6" s="1"/>
  <c r="BB126" i="6" s="1"/>
  <c r="V120" i="6"/>
  <c r="W120" i="6" s="1"/>
  <c r="AJ142" i="6"/>
  <c r="AK142" i="6" s="1"/>
  <c r="V9" i="6"/>
  <c r="W9" i="6" s="1"/>
  <c r="X9" i="6" s="1"/>
  <c r="Y9" i="6" s="1"/>
  <c r="Z9" i="6" s="1"/>
  <c r="AA9" i="6" s="1"/>
  <c r="AB9" i="6" s="1"/>
  <c r="AC9" i="6" s="1"/>
  <c r="AD9" i="6" s="1"/>
  <c r="AE9" i="6" s="1"/>
  <c r="AF9" i="6" s="1"/>
  <c r="AG9" i="6" s="1"/>
  <c r="AH9" i="6" s="1"/>
  <c r="AI9" i="6" s="1"/>
  <c r="AJ9" i="6" s="1"/>
  <c r="AK9" i="6" s="1"/>
  <c r="AL9" i="6" s="1"/>
  <c r="AM9" i="6" s="1"/>
  <c r="AN9" i="6" s="1"/>
  <c r="AO9" i="6" s="1"/>
  <c r="AP9" i="6" s="1"/>
  <c r="AQ9" i="6" s="1"/>
  <c r="AR9" i="6" s="1"/>
  <c r="AS9" i="6" s="1"/>
  <c r="AT9" i="6" s="1"/>
  <c r="AU9" i="6" s="1"/>
  <c r="AV9" i="6" s="1"/>
  <c r="AW9" i="6" s="1"/>
  <c r="AX9" i="6" s="1"/>
  <c r="AY9" i="6" s="1"/>
  <c r="AZ9" i="6" s="1"/>
  <c r="BA9" i="6" s="1"/>
  <c r="BB9" i="6" s="1"/>
  <c r="V225" i="6"/>
  <c r="W225" i="6" s="1"/>
  <c r="V160" i="6"/>
  <c r="W160" i="6" s="1"/>
  <c r="X160" i="6" s="1"/>
  <c r="Y160" i="6" s="1"/>
  <c r="Z160" i="6" s="1"/>
  <c r="AA160" i="6" s="1"/>
  <c r="AB160" i="6" s="1"/>
  <c r="AC160" i="6" s="1"/>
  <c r="AD160" i="6" s="1"/>
  <c r="AE160" i="6" s="1"/>
  <c r="AF160" i="6" s="1"/>
  <c r="AG160" i="6" s="1"/>
  <c r="AH160" i="6" s="1"/>
  <c r="AI160" i="6" s="1"/>
  <c r="AJ160" i="6" s="1"/>
  <c r="AK160" i="6" s="1"/>
  <c r="AL160" i="6" s="1"/>
  <c r="AM160" i="6" s="1"/>
  <c r="AN160" i="6" s="1"/>
  <c r="AO160" i="6" s="1"/>
  <c r="AP160" i="6" s="1"/>
  <c r="AQ160" i="6" s="1"/>
  <c r="AR160" i="6" s="1"/>
  <c r="AS160" i="6" s="1"/>
  <c r="AT160" i="6" s="1"/>
  <c r="AU160" i="6" s="1"/>
  <c r="AV160" i="6" s="1"/>
  <c r="AW160" i="6" s="1"/>
  <c r="AX160" i="6" s="1"/>
  <c r="AY160" i="6" s="1"/>
  <c r="AZ160" i="6" s="1"/>
  <c r="BA160" i="6" s="1"/>
  <c r="BB160" i="6" s="1"/>
  <c r="V98" i="6"/>
  <c r="W98" i="6" s="1"/>
  <c r="V134" i="6"/>
  <c r="W134" i="6" s="1"/>
  <c r="X134" i="6" s="1"/>
  <c r="Y134" i="6" s="1"/>
  <c r="AF205" i="6"/>
  <c r="AG205" i="6" s="1"/>
  <c r="V124" i="6"/>
  <c r="W124" i="6" s="1"/>
  <c r="Z191" i="6"/>
  <c r="AA191" i="6" s="1"/>
  <c r="V59" i="6"/>
  <c r="W59" i="6" s="1"/>
  <c r="X59" i="6" s="1"/>
  <c r="Y59" i="6" s="1"/>
  <c r="Z59" i="6" s="1"/>
  <c r="AA59" i="6" s="1"/>
  <c r="AB59" i="6" s="1"/>
  <c r="AC59" i="6" s="1"/>
  <c r="AD59" i="6" s="1"/>
  <c r="AE59" i="6" s="1"/>
  <c r="AF59" i="6" s="1"/>
  <c r="AG59" i="6" s="1"/>
  <c r="AH59" i="6" s="1"/>
  <c r="AI59" i="6" s="1"/>
  <c r="AJ59" i="6" s="1"/>
  <c r="AK59" i="6" s="1"/>
  <c r="AL59" i="6" s="1"/>
  <c r="AM59" i="6" s="1"/>
  <c r="AN59" i="6" s="1"/>
  <c r="AO59" i="6" s="1"/>
  <c r="AP59" i="6" s="1"/>
  <c r="AQ59" i="6" s="1"/>
  <c r="AR59" i="6" s="1"/>
  <c r="AS59" i="6" s="1"/>
  <c r="AT59" i="6" s="1"/>
  <c r="AU59" i="6" s="1"/>
  <c r="AV59" i="6" s="1"/>
  <c r="AW59" i="6" s="1"/>
  <c r="AX59" i="6" s="1"/>
  <c r="AY59" i="6" s="1"/>
  <c r="AZ59" i="6" s="1"/>
  <c r="BA59" i="6" s="1"/>
  <c r="BB59" i="6" s="1"/>
  <c r="V61" i="6"/>
  <c r="W61" i="6" s="1"/>
  <c r="X61" i="6" s="1"/>
  <c r="Y61" i="6" s="1"/>
  <c r="Z61" i="6" s="1"/>
  <c r="AA61" i="6" s="1"/>
  <c r="AB61" i="6" s="1"/>
  <c r="AC61" i="6" s="1"/>
  <c r="AD61" i="6" s="1"/>
  <c r="AE61" i="6" s="1"/>
  <c r="AF61" i="6" s="1"/>
  <c r="AG61" i="6" s="1"/>
  <c r="AH61" i="6" s="1"/>
  <c r="AI61" i="6" s="1"/>
  <c r="AJ61" i="6" s="1"/>
  <c r="AK61" i="6" s="1"/>
  <c r="AL61" i="6" s="1"/>
  <c r="AM61" i="6" s="1"/>
  <c r="AN61" i="6" s="1"/>
  <c r="AO61" i="6" s="1"/>
  <c r="AP61" i="6" s="1"/>
  <c r="AQ61" i="6" s="1"/>
  <c r="AR61" i="6" s="1"/>
  <c r="AS61" i="6" s="1"/>
  <c r="AT61" i="6" s="1"/>
  <c r="AU61" i="6" s="1"/>
  <c r="AV61" i="6" s="1"/>
  <c r="AW61" i="6" s="1"/>
  <c r="AX61" i="6" s="1"/>
  <c r="AY61" i="6" s="1"/>
  <c r="AZ61" i="6" s="1"/>
  <c r="BA61" i="6" s="1"/>
  <c r="BB61" i="6" s="1"/>
  <c r="X92" i="6"/>
  <c r="Y92" i="6" s="1"/>
  <c r="Z92" i="6" s="1"/>
  <c r="AA92" i="6" s="1"/>
  <c r="AB92" i="6" s="1"/>
  <c r="AC92" i="6" s="1"/>
  <c r="AD92" i="6" s="1"/>
  <c r="AE92" i="6" s="1"/>
  <c r="AF92" i="6" s="1"/>
  <c r="AG92" i="6" s="1"/>
  <c r="AH92" i="6" s="1"/>
  <c r="AI92" i="6" s="1"/>
  <c r="AJ92" i="6" s="1"/>
  <c r="AK92" i="6" s="1"/>
  <c r="AL92" i="6" s="1"/>
  <c r="AM92" i="6" s="1"/>
  <c r="AN92" i="6" s="1"/>
  <c r="AO92" i="6" s="1"/>
  <c r="AP92" i="6" s="1"/>
  <c r="AQ92" i="6" s="1"/>
  <c r="AR92" i="6" s="1"/>
  <c r="AS92" i="6" s="1"/>
  <c r="AT92" i="6" s="1"/>
  <c r="AU92" i="6" s="1"/>
  <c r="AV92" i="6" s="1"/>
  <c r="AW92" i="6" s="1"/>
  <c r="AX92" i="6" s="1"/>
  <c r="AY92" i="6" s="1"/>
  <c r="AZ92" i="6" s="1"/>
  <c r="BA92" i="6" s="1"/>
  <c r="BB92" i="6" s="1"/>
  <c r="V49" i="6"/>
  <c r="W49" i="6" s="1"/>
  <c r="X49" i="6" s="1"/>
  <c r="Y49" i="6" s="1"/>
  <c r="Z49" i="6" s="1"/>
  <c r="AA49" i="6" s="1"/>
  <c r="AB49" i="6" s="1"/>
  <c r="AC49" i="6" s="1"/>
  <c r="AD49" i="6" s="1"/>
  <c r="AE49" i="6" s="1"/>
  <c r="AF49" i="6" s="1"/>
  <c r="AG49" i="6" s="1"/>
  <c r="AH49" i="6" s="1"/>
  <c r="AI49" i="6" s="1"/>
  <c r="AJ49" i="6" s="1"/>
  <c r="AK49" i="6" s="1"/>
  <c r="AL49" i="6" s="1"/>
  <c r="AM49" i="6" s="1"/>
  <c r="AN49" i="6" s="1"/>
  <c r="AO49" i="6" s="1"/>
  <c r="AP49" i="6" s="1"/>
  <c r="AQ49" i="6" s="1"/>
  <c r="AR49" i="6" s="1"/>
  <c r="AS49" i="6" s="1"/>
  <c r="AT49" i="6" s="1"/>
  <c r="AU49" i="6" s="1"/>
  <c r="AV49" i="6" s="1"/>
  <c r="AW49" i="6" s="1"/>
  <c r="AX49" i="6" s="1"/>
  <c r="AY49" i="6" s="1"/>
  <c r="AZ49" i="6" s="1"/>
  <c r="BA49" i="6" s="1"/>
  <c r="BB49" i="6" s="1"/>
  <c r="V156" i="6"/>
  <c r="W156" i="6" s="1"/>
  <c r="X156" i="6" s="1"/>
  <c r="Y156" i="6" s="1"/>
  <c r="Z156" i="6" s="1"/>
  <c r="AA156" i="6" s="1"/>
  <c r="AB156" i="6" s="1"/>
  <c r="AC156" i="6" s="1"/>
  <c r="AD156" i="6" s="1"/>
  <c r="AE156" i="6" s="1"/>
  <c r="AF156" i="6" s="1"/>
  <c r="AG156" i="6" s="1"/>
  <c r="AH156" i="6" s="1"/>
  <c r="AI156" i="6" s="1"/>
  <c r="AJ156" i="6" s="1"/>
  <c r="AK156" i="6" s="1"/>
  <c r="AL156" i="6" s="1"/>
  <c r="AM156" i="6" s="1"/>
  <c r="AN156" i="6" s="1"/>
  <c r="AO156" i="6" s="1"/>
  <c r="AP156" i="6" s="1"/>
  <c r="AQ156" i="6" s="1"/>
  <c r="AR156" i="6" s="1"/>
  <c r="AS156" i="6" s="1"/>
  <c r="AT156" i="6" s="1"/>
  <c r="AU156" i="6" s="1"/>
  <c r="AV156" i="6" s="1"/>
  <c r="AW156" i="6" s="1"/>
  <c r="AX156" i="6" s="1"/>
  <c r="AY156" i="6" s="1"/>
  <c r="AZ156" i="6" s="1"/>
  <c r="BA156" i="6" s="1"/>
  <c r="BB156" i="6" s="1"/>
  <c r="V19" i="6"/>
  <c r="W19" i="6" s="1"/>
  <c r="X19" i="6" s="1"/>
  <c r="Y19" i="6" s="1"/>
  <c r="Z19" i="6" s="1"/>
  <c r="AA19" i="6" s="1"/>
  <c r="AB19" i="6" s="1"/>
  <c r="AC19" i="6" s="1"/>
  <c r="AD19" i="6" s="1"/>
  <c r="AE19" i="6" s="1"/>
  <c r="AF19" i="6" s="1"/>
  <c r="AG19" i="6" s="1"/>
  <c r="AH19" i="6" s="1"/>
  <c r="AI19" i="6" s="1"/>
  <c r="AJ19" i="6" s="1"/>
  <c r="AK19" i="6" s="1"/>
  <c r="AL19" i="6" s="1"/>
  <c r="AM19" i="6" s="1"/>
  <c r="AN19" i="6" s="1"/>
  <c r="AO19" i="6" s="1"/>
  <c r="AP19" i="6" s="1"/>
  <c r="AQ19" i="6" s="1"/>
  <c r="AR19" i="6" s="1"/>
  <c r="AS19" i="6" s="1"/>
  <c r="AT19" i="6" s="1"/>
  <c r="AU19" i="6" s="1"/>
  <c r="AV19" i="6" s="1"/>
  <c r="AW19" i="6" s="1"/>
  <c r="AX19" i="6" s="1"/>
  <c r="AY19" i="6" s="1"/>
  <c r="AZ19" i="6" s="1"/>
  <c r="BA19" i="6" s="1"/>
  <c r="BB19" i="6" s="1"/>
  <c r="V53" i="6"/>
  <c r="W53" i="6" s="1"/>
  <c r="X53" i="6" s="1"/>
  <c r="Y53" i="6" s="1"/>
  <c r="Z53" i="6" s="1"/>
  <c r="AA53" i="6" s="1"/>
  <c r="AB53" i="6" s="1"/>
  <c r="AC53" i="6" s="1"/>
  <c r="AD53" i="6" s="1"/>
  <c r="AE53" i="6" s="1"/>
  <c r="AF53" i="6" s="1"/>
  <c r="AG53" i="6" s="1"/>
  <c r="AH53" i="6" s="1"/>
  <c r="AI53" i="6" s="1"/>
  <c r="AJ53" i="6" s="1"/>
  <c r="AK53" i="6" s="1"/>
  <c r="AL53" i="6" s="1"/>
  <c r="AM53" i="6" s="1"/>
  <c r="AN53" i="6" s="1"/>
  <c r="AO53" i="6" s="1"/>
  <c r="AP53" i="6" s="1"/>
  <c r="AQ53" i="6" s="1"/>
  <c r="AR53" i="6" s="1"/>
  <c r="AS53" i="6" s="1"/>
  <c r="AT53" i="6" s="1"/>
  <c r="AU53" i="6" s="1"/>
  <c r="AV53" i="6" s="1"/>
  <c r="AW53" i="6" s="1"/>
  <c r="AX53" i="6" s="1"/>
  <c r="AY53" i="6" s="1"/>
  <c r="AZ53" i="6" s="1"/>
  <c r="BA53" i="6" s="1"/>
  <c r="BB53" i="6" s="1"/>
  <c r="V5" i="6"/>
  <c r="W5" i="6" s="1"/>
  <c r="X5" i="6" s="1"/>
  <c r="Y5" i="6" s="1"/>
  <c r="Z5" i="6" s="1"/>
  <c r="AA5" i="6" s="1"/>
  <c r="AB5" i="6" s="1"/>
  <c r="AC5" i="6" s="1"/>
  <c r="AD5" i="6" s="1"/>
  <c r="AE5" i="6" s="1"/>
  <c r="AF5" i="6" s="1"/>
  <c r="AG5" i="6" s="1"/>
  <c r="AH5" i="6" s="1"/>
  <c r="AI5" i="6" s="1"/>
  <c r="AJ5" i="6" s="1"/>
  <c r="AK5" i="6" s="1"/>
  <c r="AL5" i="6" s="1"/>
  <c r="AM5" i="6" s="1"/>
  <c r="AN5" i="6" s="1"/>
  <c r="AO5" i="6" s="1"/>
  <c r="AP5" i="6" s="1"/>
  <c r="AQ5" i="6" s="1"/>
  <c r="AR5" i="6" s="1"/>
  <c r="AS5" i="6" s="1"/>
  <c r="AT5" i="6" s="1"/>
  <c r="AU5" i="6" s="1"/>
  <c r="AV5" i="6" s="1"/>
  <c r="AW5" i="6" s="1"/>
  <c r="AX5" i="6" s="1"/>
  <c r="AY5" i="6" s="1"/>
  <c r="AZ5" i="6" s="1"/>
  <c r="BA5" i="6" s="1"/>
  <c r="BB5" i="6" s="1"/>
  <c r="V154" i="6"/>
  <c r="W154" i="6" s="1"/>
  <c r="X154" i="6" s="1"/>
  <c r="Y154" i="6" s="1"/>
  <c r="Z154" i="6" s="1"/>
  <c r="AA154" i="6" s="1"/>
  <c r="AB154" i="6" s="1"/>
  <c r="AC154" i="6" s="1"/>
  <c r="AD154" i="6" s="1"/>
  <c r="AE154" i="6" s="1"/>
  <c r="AF154" i="6" s="1"/>
  <c r="AG154" i="6" s="1"/>
  <c r="AH154" i="6" s="1"/>
  <c r="AI154" i="6" s="1"/>
  <c r="AJ154" i="6" s="1"/>
  <c r="AK154" i="6" s="1"/>
  <c r="AL154" i="6" s="1"/>
  <c r="AM154" i="6" s="1"/>
  <c r="AN154" i="6" s="1"/>
  <c r="AO154" i="6" s="1"/>
  <c r="AP154" i="6" s="1"/>
  <c r="AQ154" i="6" s="1"/>
  <c r="AR154" i="6" s="1"/>
  <c r="AS154" i="6" s="1"/>
  <c r="AT154" i="6" s="1"/>
  <c r="AU154" i="6" s="1"/>
  <c r="AV154" i="6" s="1"/>
  <c r="AW154" i="6" s="1"/>
  <c r="AX154" i="6" s="1"/>
  <c r="AY154" i="6" s="1"/>
  <c r="AZ154" i="6" s="1"/>
  <c r="BA154" i="6" s="1"/>
  <c r="BB154" i="6" s="1"/>
  <c r="V21" i="6"/>
  <c r="W21" i="6" s="1"/>
  <c r="X21" i="6" s="1"/>
  <c r="Y21" i="6" s="1"/>
  <c r="Z21" i="6" s="1"/>
  <c r="AA21" i="6" s="1"/>
  <c r="AB21" i="6" s="1"/>
  <c r="AC21" i="6" s="1"/>
  <c r="AD21" i="6" s="1"/>
  <c r="AE21" i="6" s="1"/>
  <c r="AF21" i="6" s="1"/>
  <c r="AG21" i="6" s="1"/>
  <c r="AH21" i="6" s="1"/>
  <c r="AI21" i="6" s="1"/>
  <c r="AJ21" i="6" s="1"/>
  <c r="AK21" i="6" s="1"/>
  <c r="AL21" i="6" s="1"/>
  <c r="AM21" i="6" s="1"/>
  <c r="AN21" i="6" s="1"/>
  <c r="AO21" i="6" s="1"/>
  <c r="AP21" i="6" s="1"/>
  <c r="AQ21" i="6" s="1"/>
  <c r="AR21" i="6" s="1"/>
  <c r="AS21" i="6" s="1"/>
  <c r="AT21" i="6" s="1"/>
  <c r="AU21" i="6" s="1"/>
  <c r="AV21" i="6" s="1"/>
  <c r="AW21" i="6" s="1"/>
  <c r="AX21" i="6" s="1"/>
  <c r="AY21" i="6" s="1"/>
  <c r="AZ21" i="6" s="1"/>
  <c r="BA21" i="6" s="1"/>
  <c r="BB21" i="6" s="1"/>
  <c r="Z130" i="6"/>
  <c r="AA130" i="6" s="1"/>
  <c r="AB130" i="6" s="1"/>
  <c r="AC130" i="6" s="1"/>
  <c r="AD130" i="6" s="1"/>
  <c r="AE130" i="6" s="1"/>
  <c r="AF130" i="6" s="1"/>
  <c r="AG130" i="6" s="1"/>
  <c r="AH130" i="6" s="1"/>
  <c r="AI130" i="6" s="1"/>
  <c r="AJ130" i="6" s="1"/>
  <c r="AK130" i="6" s="1"/>
  <c r="AL130" i="6" s="1"/>
  <c r="AM130" i="6" s="1"/>
  <c r="AN130" i="6" s="1"/>
  <c r="AO130" i="6" s="1"/>
  <c r="AP130" i="6" s="1"/>
  <c r="AQ130" i="6" s="1"/>
  <c r="AR130" i="6" s="1"/>
  <c r="AS130" i="6" s="1"/>
  <c r="AT130" i="6" s="1"/>
  <c r="AU130" i="6" s="1"/>
  <c r="AV130" i="6" s="1"/>
  <c r="AW130" i="6" s="1"/>
  <c r="AX130" i="6" s="1"/>
  <c r="AY130" i="6" s="1"/>
  <c r="AZ130" i="6" s="1"/>
  <c r="BA130" i="6" s="1"/>
  <c r="BB130" i="6" s="1"/>
  <c r="V197" i="6"/>
  <c r="W197" i="6" s="1"/>
  <c r="X197" i="6" s="1"/>
  <c r="Y197" i="6" s="1"/>
  <c r="Z197" i="6" s="1"/>
  <c r="AA197" i="6" s="1"/>
  <c r="AB197" i="6" s="1"/>
  <c r="AC197" i="6" s="1"/>
  <c r="AD197" i="6" s="1"/>
  <c r="AE197" i="6" s="1"/>
  <c r="AF197" i="6" s="1"/>
  <c r="AG197" i="6" s="1"/>
  <c r="AH197" i="6" s="1"/>
  <c r="AI197" i="6" s="1"/>
  <c r="AJ197" i="6" s="1"/>
  <c r="AK197" i="6" s="1"/>
  <c r="AL197" i="6" s="1"/>
  <c r="AM197" i="6" s="1"/>
  <c r="AN197" i="6" s="1"/>
  <c r="AO197" i="6" s="1"/>
  <c r="AP197" i="6" s="1"/>
  <c r="AQ197" i="6" s="1"/>
  <c r="AR197" i="6" s="1"/>
  <c r="AS197" i="6" s="1"/>
  <c r="AT197" i="6" s="1"/>
  <c r="AU197" i="6" s="1"/>
  <c r="AV197" i="6" s="1"/>
  <c r="AW197" i="6" s="1"/>
  <c r="AX197" i="6" s="1"/>
  <c r="AY197" i="6" s="1"/>
  <c r="AZ197" i="6" s="1"/>
  <c r="BA197" i="6" s="1"/>
  <c r="BB197" i="6" s="1"/>
  <c r="V193" i="6"/>
  <c r="W193" i="6" s="1"/>
  <c r="X193" i="6" s="1"/>
  <c r="Y193" i="6" s="1"/>
  <c r="Z138" i="6"/>
  <c r="AA138" i="6" s="1"/>
  <c r="AB138" i="6" s="1"/>
  <c r="AC138" i="6" s="1"/>
  <c r="AD138" i="6" s="1"/>
  <c r="AE138" i="6" s="1"/>
  <c r="AF138" i="6" s="1"/>
  <c r="AG138" i="6" s="1"/>
  <c r="AH138" i="6" s="1"/>
  <c r="AI138" i="6" s="1"/>
  <c r="AJ138" i="6" s="1"/>
  <c r="AK138" i="6" s="1"/>
  <c r="AL138" i="6" s="1"/>
  <c r="AM138" i="6" s="1"/>
  <c r="AN138" i="6" s="1"/>
  <c r="AO138" i="6" s="1"/>
  <c r="AP138" i="6" s="1"/>
  <c r="AQ138" i="6" s="1"/>
  <c r="AR138" i="6" s="1"/>
  <c r="AS138" i="6" s="1"/>
  <c r="AT138" i="6" s="1"/>
  <c r="AU138" i="6" s="1"/>
  <c r="AV138" i="6" s="1"/>
  <c r="AW138" i="6" s="1"/>
  <c r="AX138" i="6" s="1"/>
  <c r="AY138" i="6" s="1"/>
  <c r="AZ138" i="6" s="1"/>
  <c r="BA138" i="6" s="1"/>
  <c r="BB138" i="6" s="1"/>
  <c r="V15" i="6"/>
  <c r="W15" i="6" s="1"/>
  <c r="X15" i="6" s="1"/>
  <c r="Y15" i="6" s="1"/>
  <c r="Z15" i="6" s="1"/>
  <c r="AA15" i="6" s="1"/>
  <c r="AB15" i="6" s="1"/>
  <c r="AC15" i="6" s="1"/>
  <c r="AD15" i="6" s="1"/>
  <c r="AE15" i="6" s="1"/>
  <c r="AF15" i="6" s="1"/>
  <c r="AG15" i="6" s="1"/>
  <c r="AH15" i="6" s="1"/>
  <c r="AI15" i="6" s="1"/>
  <c r="AJ15" i="6" s="1"/>
  <c r="AK15" i="6" s="1"/>
  <c r="AL15" i="6" s="1"/>
  <c r="AM15" i="6" s="1"/>
  <c r="AN15" i="6" s="1"/>
  <c r="AO15" i="6" s="1"/>
  <c r="AP15" i="6" s="1"/>
  <c r="AQ15" i="6" s="1"/>
  <c r="AR15" i="6" s="1"/>
  <c r="AS15" i="6" s="1"/>
  <c r="AT15" i="6" s="1"/>
  <c r="AU15" i="6" s="1"/>
  <c r="AV15" i="6" s="1"/>
  <c r="AW15" i="6" s="1"/>
  <c r="AX15" i="6" s="1"/>
  <c r="AY15" i="6" s="1"/>
  <c r="AZ15" i="6" s="1"/>
  <c r="BA15" i="6" s="1"/>
  <c r="BB15" i="6" s="1"/>
  <c r="V35" i="6"/>
  <c r="W35" i="6" s="1"/>
  <c r="X35" i="6" s="1"/>
  <c r="Y35" i="6" s="1"/>
  <c r="Z35" i="6" s="1"/>
  <c r="AA35" i="6" s="1"/>
  <c r="AB35" i="6" s="1"/>
  <c r="AC35" i="6" s="1"/>
  <c r="AD35" i="6" s="1"/>
  <c r="AE35" i="6" s="1"/>
  <c r="AF35" i="6" s="1"/>
  <c r="AG35" i="6" s="1"/>
  <c r="AH35" i="6" s="1"/>
  <c r="AI35" i="6" s="1"/>
  <c r="AJ35" i="6" s="1"/>
  <c r="AK35" i="6" s="1"/>
  <c r="AL35" i="6" s="1"/>
  <c r="AM35" i="6" s="1"/>
  <c r="AN35" i="6" s="1"/>
  <c r="AO35" i="6" s="1"/>
  <c r="AP35" i="6" s="1"/>
  <c r="AQ35" i="6" s="1"/>
  <c r="AR35" i="6" s="1"/>
  <c r="AS35" i="6" s="1"/>
  <c r="AT35" i="6" s="1"/>
  <c r="AU35" i="6" s="1"/>
  <c r="AV35" i="6" s="1"/>
  <c r="AW35" i="6" s="1"/>
  <c r="AX35" i="6" s="1"/>
  <c r="AY35" i="6" s="1"/>
  <c r="AZ35" i="6" s="1"/>
  <c r="BA35" i="6" s="1"/>
  <c r="BB35" i="6" s="1"/>
  <c r="V243" i="6"/>
  <c r="W243" i="6" s="1"/>
  <c r="X243" i="6" s="1"/>
  <c r="Y243" i="6" s="1"/>
  <c r="Z243" i="6" s="1"/>
  <c r="AA243" i="6" s="1"/>
  <c r="AB243" i="6" s="1"/>
  <c r="AC243" i="6" s="1"/>
  <c r="AD243" i="6" s="1"/>
  <c r="AE243" i="6" s="1"/>
  <c r="AF243" i="6" s="1"/>
  <c r="AG243" i="6" s="1"/>
  <c r="AH243" i="6" s="1"/>
  <c r="AI243" i="6" s="1"/>
  <c r="AJ243" i="6" s="1"/>
  <c r="AK243" i="6" s="1"/>
  <c r="AL243" i="6" s="1"/>
  <c r="AM243" i="6" s="1"/>
  <c r="AN243" i="6" s="1"/>
  <c r="AO243" i="6" s="1"/>
  <c r="AP243" i="6" s="1"/>
  <c r="AQ243" i="6" s="1"/>
  <c r="AR243" i="6" s="1"/>
  <c r="AS243" i="6" s="1"/>
  <c r="AT243" i="6" s="1"/>
  <c r="AU243" i="6" s="1"/>
  <c r="AV243" i="6" s="1"/>
  <c r="AW243" i="6" s="1"/>
  <c r="AX243" i="6" s="1"/>
  <c r="AY243" i="6" s="1"/>
  <c r="AZ243" i="6" s="1"/>
  <c r="BA243" i="6" s="1"/>
  <c r="BB243" i="6" s="1"/>
  <c r="Z116" i="6"/>
  <c r="AA116" i="6" s="1"/>
  <c r="AB116" i="6" s="1"/>
  <c r="AC116" i="6" s="1"/>
  <c r="AD116" i="6" s="1"/>
  <c r="AE116" i="6" s="1"/>
  <c r="AF116" i="6" s="1"/>
  <c r="AG116" i="6" s="1"/>
  <c r="AH116" i="6" s="1"/>
  <c r="AI116" i="6" s="1"/>
  <c r="AJ116" i="6" s="1"/>
  <c r="AK116" i="6" s="1"/>
  <c r="AL116" i="6" s="1"/>
  <c r="AM116" i="6" s="1"/>
  <c r="AN116" i="6" s="1"/>
  <c r="AO116" i="6" s="1"/>
  <c r="AP116" i="6" s="1"/>
  <c r="AQ116" i="6" s="1"/>
  <c r="AR116" i="6" s="1"/>
  <c r="AS116" i="6" s="1"/>
  <c r="AT116" i="6" s="1"/>
  <c r="AU116" i="6" s="1"/>
  <c r="AV116" i="6" s="1"/>
  <c r="AW116" i="6" s="1"/>
  <c r="AX116" i="6" s="1"/>
  <c r="AY116" i="6" s="1"/>
  <c r="AZ116" i="6" s="1"/>
  <c r="BA116" i="6" s="1"/>
  <c r="BB116" i="6" s="1"/>
  <c r="Z239" i="6"/>
  <c r="AA239" i="6" s="1"/>
  <c r="AB239" i="6" s="1"/>
  <c r="AC239" i="6" s="1"/>
  <c r="AD239" i="6" s="1"/>
  <c r="AE239" i="6" s="1"/>
  <c r="AF239" i="6" s="1"/>
  <c r="AG239" i="6" s="1"/>
  <c r="AH239" i="6" s="1"/>
  <c r="AI239" i="6" s="1"/>
  <c r="AJ239" i="6" s="1"/>
  <c r="AK239" i="6" s="1"/>
  <c r="AL239" i="6" s="1"/>
  <c r="AM239" i="6" s="1"/>
  <c r="AN239" i="6" s="1"/>
  <c r="AO239" i="6" s="1"/>
  <c r="AP239" i="6" s="1"/>
  <c r="AQ239" i="6" s="1"/>
  <c r="AR239" i="6" s="1"/>
  <c r="AS239" i="6" s="1"/>
  <c r="AT239" i="6" s="1"/>
  <c r="AU239" i="6" s="1"/>
  <c r="AV239" i="6" s="1"/>
  <c r="AW239" i="6" s="1"/>
  <c r="AX239" i="6" s="1"/>
  <c r="AY239" i="6" s="1"/>
  <c r="AZ239" i="6" s="1"/>
  <c r="BA239" i="6" s="1"/>
  <c r="BB239" i="6" s="1"/>
  <c r="V213" i="6"/>
  <c r="W213" i="6" s="1"/>
  <c r="X213" i="6" s="1"/>
  <c r="Y213" i="6" s="1"/>
  <c r="Z213" i="6" s="1"/>
  <c r="AA213" i="6" s="1"/>
  <c r="AB213" i="6" s="1"/>
  <c r="AC213" i="6" s="1"/>
  <c r="AD213" i="6" s="1"/>
  <c r="AE213" i="6" s="1"/>
  <c r="AF213" i="6" s="1"/>
  <c r="AG213" i="6" s="1"/>
  <c r="AH213" i="6" s="1"/>
  <c r="AI213" i="6" s="1"/>
  <c r="AJ213" i="6" s="1"/>
  <c r="AK213" i="6" s="1"/>
  <c r="AL213" i="6" s="1"/>
  <c r="AM213" i="6" s="1"/>
  <c r="AN213" i="6" s="1"/>
  <c r="AO213" i="6" s="1"/>
  <c r="AP213" i="6" s="1"/>
  <c r="AQ213" i="6" s="1"/>
  <c r="AR213" i="6" s="1"/>
  <c r="AS213" i="6" s="1"/>
  <c r="AT213" i="6" s="1"/>
  <c r="AU213" i="6" s="1"/>
  <c r="AV213" i="6" s="1"/>
  <c r="AW213" i="6" s="1"/>
  <c r="AX213" i="6" s="1"/>
  <c r="AY213" i="6" s="1"/>
  <c r="AZ213" i="6" s="1"/>
  <c r="BA213" i="6" s="1"/>
  <c r="BB213" i="6" s="1"/>
  <c r="V150" i="6"/>
  <c r="W150" i="6" s="1"/>
  <c r="X150" i="6" s="1"/>
  <c r="Y150" i="6" s="1"/>
  <c r="Z150" i="6" s="1"/>
  <c r="AA150" i="6" s="1"/>
  <c r="AB150" i="6" s="1"/>
  <c r="AC150" i="6" s="1"/>
  <c r="AD150" i="6" s="1"/>
  <c r="AE150" i="6" s="1"/>
  <c r="AF150" i="6" s="1"/>
  <c r="AG150" i="6" s="1"/>
  <c r="AH150" i="6" s="1"/>
  <c r="AI150" i="6" s="1"/>
  <c r="AJ150" i="6" s="1"/>
  <c r="AK150" i="6" s="1"/>
  <c r="AL150" i="6" s="1"/>
  <c r="AM150" i="6" s="1"/>
  <c r="AN150" i="6" s="1"/>
  <c r="AO150" i="6" s="1"/>
  <c r="AP150" i="6" s="1"/>
  <c r="AQ150" i="6" s="1"/>
  <c r="AR150" i="6" s="1"/>
  <c r="AS150" i="6" s="1"/>
  <c r="AT150" i="6" s="1"/>
  <c r="AU150" i="6" s="1"/>
  <c r="AV150" i="6" s="1"/>
  <c r="AW150" i="6" s="1"/>
  <c r="AX150" i="6" s="1"/>
  <c r="AY150" i="6" s="1"/>
  <c r="AZ150" i="6" s="1"/>
  <c r="BA150" i="6" s="1"/>
  <c r="BB150" i="6" s="1"/>
  <c r="V17" i="6"/>
  <c r="W17" i="6" s="1"/>
  <c r="X17" i="6" s="1"/>
  <c r="Y17" i="6" s="1"/>
  <c r="Z17" i="6" s="1"/>
  <c r="AA17" i="6" s="1"/>
  <c r="AB17" i="6" s="1"/>
  <c r="AC17" i="6" s="1"/>
  <c r="AD17" i="6" s="1"/>
  <c r="AE17" i="6" s="1"/>
  <c r="AF17" i="6" s="1"/>
  <c r="AG17" i="6" s="1"/>
  <c r="AH17" i="6" s="1"/>
  <c r="AI17" i="6" s="1"/>
  <c r="AJ17" i="6" s="1"/>
  <c r="AK17" i="6" s="1"/>
  <c r="AL17" i="6" s="1"/>
  <c r="AM17" i="6" s="1"/>
  <c r="AN17" i="6" s="1"/>
  <c r="AO17" i="6" s="1"/>
  <c r="AP17" i="6" s="1"/>
  <c r="AQ17" i="6" s="1"/>
  <c r="AR17" i="6" s="1"/>
  <c r="AS17" i="6" s="1"/>
  <c r="AT17" i="6" s="1"/>
  <c r="AU17" i="6" s="1"/>
  <c r="AV17" i="6" s="1"/>
  <c r="AW17" i="6" s="1"/>
  <c r="AX17" i="6" s="1"/>
  <c r="AY17" i="6" s="1"/>
  <c r="AZ17" i="6" s="1"/>
  <c r="BA17" i="6" s="1"/>
  <c r="BB17" i="6" s="1"/>
  <c r="V51" i="6"/>
  <c r="W51" i="6" s="1"/>
  <c r="X51" i="6" s="1"/>
  <c r="Y51" i="6" s="1"/>
  <c r="Z51" i="6" s="1"/>
  <c r="AA51" i="6" s="1"/>
  <c r="AB51" i="6" s="1"/>
  <c r="AC51" i="6" s="1"/>
  <c r="AD51" i="6" s="1"/>
  <c r="AE51" i="6" s="1"/>
  <c r="AF51" i="6" s="1"/>
  <c r="AG51" i="6" s="1"/>
  <c r="AH51" i="6" s="1"/>
  <c r="AI51" i="6" s="1"/>
  <c r="AJ51" i="6" s="1"/>
  <c r="AK51" i="6" s="1"/>
  <c r="AL51" i="6" s="1"/>
  <c r="AM51" i="6" s="1"/>
  <c r="AN51" i="6" s="1"/>
  <c r="AO51" i="6" s="1"/>
  <c r="AP51" i="6" s="1"/>
  <c r="AQ51" i="6" s="1"/>
  <c r="AR51" i="6" s="1"/>
  <c r="AS51" i="6" s="1"/>
  <c r="AT51" i="6" s="1"/>
  <c r="AU51" i="6" s="1"/>
  <c r="AV51" i="6" s="1"/>
  <c r="AW51" i="6" s="1"/>
  <c r="AX51" i="6" s="1"/>
  <c r="AY51" i="6" s="1"/>
  <c r="AZ51" i="6" s="1"/>
  <c r="BA51" i="6" s="1"/>
  <c r="BB51" i="6" s="1"/>
  <c r="V227" i="6"/>
  <c r="W227" i="6" s="1"/>
  <c r="X227" i="6" s="1"/>
  <c r="Y227" i="6" s="1"/>
  <c r="Z227" i="6" s="1"/>
  <c r="AA227" i="6" s="1"/>
  <c r="AB227" i="6" s="1"/>
  <c r="AC227" i="6" s="1"/>
  <c r="AD227" i="6" s="1"/>
  <c r="AE227" i="6" s="1"/>
  <c r="AF227" i="6" s="1"/>
  <c r="AG227" i="6" s="1"/>
  <c r="AH227" i="6" s="1"/>
  <c r="AI227" i="6" s="1"/>
  <c r="AJ227" i="6" s="1"/>
  <c r="AK227" i="6" s="1"/>
  <c r="AL227" i="6" s="1"/>
  <c r="AM227" i="6" s="1"/>
  <c r="AN227" i="6" s="1"/>
  <c r="AO227" i="6" s="1"/>
  <c r="AP227" i="6" s="1"/>
  <c r="AQ227" i="6" s="1"/>
  <c r="AR227" i="6" s="1"/>
  <c r="AS227" i="6" s="1"/>
  <c r="AT227" i="6" s="1"/>
  <c r="AU227" i="6" s="1"/>
  <c r="AV227" i="6" s="1"/>
  <c r="AW227" i="6" s="1"/>
  <c r="AX227" i="6" s="1"/>
  <c r="AY227" i="6" s="1"/>
  <c r="AZ227" i="6" s="1"/>
  <c r="BA227" i="6" s="1"/>
  <c r="BB227" i="6" s="1"/>
  <c r="Z207" i="6"/>
  <c r="AA207" i="6" s="1"/>
  <c r="AB207" i="6" s="1"/>
  <c r="AC207" i="6" s="1"/>
  <c r="AD207" i="6" s="1"/>
  <c r="AE207" i="6" s="1"/>
  <c r="AF207" i="6" s="1"/>
  <c r="AG207" i="6" s="1"/>
  <c r="AH207" i="6" s="1"/>
  <c r="AI207" i="6" s="1"/>
  <c r="AJ207" i="6" s="1"/>
  <c r="AK207" i="6" s="1"/>
  <c r="AL207" i="6" s="1"/>
  <c r="AM207" i="6" s="1"/>
  <c r="AN207" i="6" s="1"/>
  <c r="AO207" i="6" s="1"/>
  <c r="AP207" i="6" s="1"/>
  <c r="AQ207" i="6" s="1"/>
  <c r="AR207" i="6" s="1"/>
  <c r="AS207" i="6" s="1"/>
  <c r="AT207" i="6" s="1"/>
  <c r="AU207" i="6" s="1"/>
  <c r="AV207" i="6" s="1"/>
  <c r="AW207" i="6" s="1"/>
  <c r="AX207" i="6" s="1"/>
  <c r="AY207" i="6" s="1"/>
  <c r="AZ207" i="6" s="1"/>
  <c r="BA207" i="6" s="1"/>
  <c r="BB207" i="6" s="1"/>
  <c r="V65" i="6"/>
  <c r="W65" i="6" s="1"/>
  <c r="X65" i="6" s="1"/>
  <c r="Y65" i="6" s="1"/>
  <c r="Z65" i="6" s="1"/>
  <c r="AA65" i="6" s="1"/>
  <c r="AB65" i="6" s="1"/>
  <c r="AC65" i="6" s="1"/>
  <c r="AD65" i="6" s="1"/>
  <c r="AE65" i="6" s="1"/>
  <c r="AF65" i="6" s="1"/>
  <c r="AG65" i="6" s="1"/>
  <c r="AH65" i="6" s="1"/>
  <c r="AI65" i="6" s="1"/>
  <c r="AJ65" i="6" s="1"/>
  <c r="AK65" i="6" s="1"/>
  <c r="AL65" i="6" s="1"/>
  <c r="AM65" i="6" s="1"/>
  <c r="AN65" i="6" s="1"/>
  <c r="AO65" i="6" s="1"/>
  <c r="AP65" i="6" s="1"/>
  <c r="AQ65" i="6" s="1"/>
  <c r="AR65" i="6" s="1"/>
  <c r="AS65" i="6" s="1"/>
  <c r="AT65" i="6" s="1"/>
  <c r="AU65" i="6" s="1"/>
  <c r="AV65" i="6" s="1"/>
  <c r="AW65" i="6" s="1"/>
  <c r="AX65" i="6" s="1"/>
  <c r="AY65" i="6" s="1"/>
  <c r="AZ65" i="6" s="1"/>
  <c r="BA65" i="6" s="1"/>
  <c r="BB65" i="6" s="1"/>
  <c r="V100" i="6"/>
  <c r="W100" i="6" s="1"/>
  <c r="X100" i="6" s="1"/>
  <c r="Y100" i="6" s="1"/>
  <c r="Z100" i="6" s="1"/>
  <c r="AA100" i="6" s="1"/>
  <c r="AB100" i="6" s="1"/>
  <c r="AC100" i="6" s="1"/>
  <c r="AD100" i="6" s="1"/>
  <c r="AE100" i="6" s="1"/>
  <c r="AF100" i="6" s="1"/>
  <c r="AG100" i="6" s="1"/>
  <c r="AH100" i="6" s="1"/>
  <c r="AI100" i="6" s="1"/>
  <c r="AJ100" i="6" s="1"/>
  <c r="AK100" i="6" s="1"/>
  <c r="AL100" i="6" s="1"/>
  <c r="AM100" i="6" s="1"/>
  <c r="AN100" i="6" s="1"/>
  <c r="AO100" i="6" s="1"/>
  <c r="AP100" i="6" s="1"/>
  <c r="AQ100" i="6" s="1"/>
  <c r="AR100" i="6" s="1"/>
  <c r="AS100" i="6" s="1"/>
  <c r="AT100" i="6" s="1"/>
  <c r="AU100" i="6" s="1"/>
  <c r="AV100" i="6" s="1"/>
  <c r="AW100" i="6" s="1"/>
  <c r="AX100" i="6" s="1"/>
  <c r="AY100" i="6" s="1"/>
  <c r="AZ100" i="6" s="1"/>
  <c r="BA100" i="6" s="1"/>
  <c r="BB100" i="6" s="1"/>
  <c r="R128" i="6"/>
  <c r="S128" i="6" s="1"/>
  <c r="T128" i="6" s="1"/>
  <c r="U128" i="6" s="1"/>
  <c r="R7" i="6"/>
  <c r="S7" i="6" s="1"/>
  <c r="T7" i="6" s="1"/>
  <c r="U7" i="6" s="1"/>
  <c r="R158" i="6"/>
  <c r="S158" i="6" s="1"/>
  <c r="T158" i="6" s="1"/>
  <c r="U158" i="6" s="1"/>
  <c r="R39" i="6"/>
  <c r="S39" i="6" s="1"/>
  <c r="T39" i="6" s="1"/>
  <c r="U39" i="6" s="1"/>
  <c r="R102" i="6"/>
  <c r="S102" i="6" s="1"/>
  <c r="T102" i="6" s="1"/>
  <c r="U102" i="6" s="1"/>
  <c r="R47" i="6"/>
  <c r="S47" i="6" s="1"/>
  <c r="T47" i="6" s="1"/>
  <c r="U47" i="6" s="1"/>
  <c r="R43" i="6"/>
  <c r="S43" i="6" s="1"/>
  <c r="T43" i="6" s="1"/>
  <c r="U43" i="6" s="1"/>
  <c r="V43" i="6" s="1"/>
  <c r="W43" i="6" s="1"/>
  <c r="X43" i="6" s="1"/>
  <c r="Y43" i="6" s="1"/>
  <c r="Z43" i="6" s="1"/>
  <c r="AA43" i="6" s="1"/>
  <c r="AB43" i="6" s="1"/>
  <c r="AC43" i="6" s="1"/>
  <c r="AD43" i="6" s="1"/>
  <c r="AE43" i="6" s="1"/>
  <c r="AF43" i="6" s="1"/>
  <c r="AG43" i="6" s="1"/>
  <c r="AH43" i="6" s="1"/>
  <c r="AI43" i="6" s="1"/>
  <c r="AJ43" i="6" s="1"/>
  <c r="AK43" i="6" s="1"/>
  <c r="AL43" i="6" s="1"/>
  <c r="AM43" i="6" s="1"/>
  <c r="AN43" i="6" s="1"/>
  <c r="AO43" i="6" s="1"/>
  <c r="AP43" i="6" s="1"/>
  <c r="AQ43" i="6" s="1"/>
  <c r="AR43" i="6" s="1"/>
  <c r="AS43" i="6" s="1"/>
  <c r="AT43" i="6" s="1"/>
  <c r="AU43" i="6" s="1"/>
  <c r="AV43" i="6" s="1"/>
  <c r="AW43" i="6" s="1"/>
  <c r="AX43" i="6" s="1"/>
  <c r="AY43" i="6" s="1"/>
  <c r="AZ43" i="6" s="1"/>
  <c r="BA43" i="6" s="1"/>
  <c r="BB43" i="6" s="1"/>
  <c r="R219" i="6"/>
  <c r="S219" i="6" s="1"/>
  <c r="T219" i="6" s="1"/>
  <c r="U219" i="6" s="1"/>
  <c r="R233" i="6"/>
  <c r="S233" i="6" s="1"/>
  <c r="T233" i="6" s="1"/>
  <c r="U233" i="6" s="1"/>
  <c r="R223" i="6"/>
  <c r="S223" i="6" s="1"/>
  <c r="T223" i="6" s="1"/>
  <c r="U223" i="6" s="1"/>
  <c r="R132" i="6"/>
  <c r="S132" i="6" s="1"/>
  <c r="T132" i="6" s="1"/>
  <c r="U132" i="6" s="1"/>
  <c r="AH45" i="6"/>
  <c r="AI45" i="6" s="1"/>
  <c r="AJ45" i="6" s="1"/>
  <c r="AK45" i="6" s="1"/>
  <c r="AL45" i="6" s="1"/>
  <c r="AM45" i="6" s="1"/>
  <c r="AN45" i="6" s="1"/>
  <c r="AO45" i="6" s="1"/>
  <c r="AP45" i="6" s="1"/>
  <c r="AQ45" i="6" s="1"/>
  <c r="AR45" i="6" s="1"/>
  <c r="AS45" i="6" s="1"/>
  <c r="AT45" i="6" s="1"/>
  <c r="AU45" i="6" s="1"/>
  <c r="AV45" i="6" s="1"/>
  <c r="AW45" i="6" s="1"/>
  <c r="AX45" i="6" s="1"/>
  <c r="AY45" i="6" s="1"/>
  <c r="AZ45" i="6" s="1"/>
  <c r="BA45" i="6" s="1"/>
  <c r="BB45" i="6" s="1"/>
  <c r="AH29" i="6"/>
  <c r="AI29" i="6" s="1"/>
  <c r="AJ29" i="6" s="1"/>
  <c r="AK29" i="6" s="1"/>
  <c r="AL29" i="6" s="1"/>
  <c r="AM29" i="6" s="1"/>
  <c r="AN29" i="6" s="1"/>
  <c r="AO29" i="6" s="1"/>
  <c r="AP29" i="6" s="1"/>
  <c r="AQ29" i="6" s="1"/>
  <c r="AR29" i="6" s="1"/>
  <c r="AS29" i="6" s="1"/>
  <c r="AT29" i="6" s="1"/>
  <c r="AU29" i="6" s="1"/>
  <c r="AV29" i="6" s="1"/>
  <c r="AW29" i="6" s="1"/>
  <c r="AX29" i="6" s="1"/>
  <c r="AY29" i="6" s="1"/>
  <c r="AZ29" i="6" s="1"/>
  <c r="BA29" i="6" s="1"/>
  <c r="BB29" i="6" s="1"/>
  <c r="AF297" i="6"/>
  <c r="AG297" i="6" s="1"/>
  <c r="AH297" i="6" s="1"/>
  <c r="AI297" i="6" s="1"/>
  <c r="AJ297" i="6" s="1"/>
  <c r="AK297" i="6" s="1"/>
  <c r="AL297" i="6" s="1"/>
  <c r="AM297" i="6" s="1"/>
  <c r="AN297" i="6" s="1"/>
  <c r="AO297" i="6" s="1"/>
  <c r="AP297" i="6" s="1"/>
  <c r="AQ297" i="6" s="1"/>
  <c r="AR297" i="6" s="1"/>
  <c r="AS297" i="6" s="1"/>
  <c r="AT297" i="6" s="1"/>
  <c r="AU297" i="6" s="1"/>
  <c r="AV297" i="6" s="1"/>
  <c r="AW297" i="6" s="1"/>
  <c r="AX297" i="6" s="1"/>
  <c r="AY297" i="6" s="1"/>
  <c r="AZ297" i="6" s="1"/>
  <c r="BA297" i="6" s="1"/>
  <c r="BB297" i="6" s="1"/>
  <c r="AF293" i="6"/>
  <c r="AG293" i="6" s="1"/>
  <c r="AF269" i="6"/>
  <c r="AG269" i="6" s="1"/>
  <c r="AH269" i="6" s="1"/>
  <c r="AI269" i="6" s="1"/>
  <c r="AJ269" i="6" s="1"/>
  <c r="AK269" i="6" s="1"/>
  <c r="AL269" i="6" s="1"/>
  <c r="AM269" i="6" s="1"/>
  <c r="AN269" i="6" s="1"/>
  <c r="AO269" i="6" s="1"/>
  <c r="AP269" i="6" s="1"/>
  <c r="AQ269" i="6" s="1"/>
  <c r="AR269" i="6" s="1"/>
  <c r="AS269" i="6" s="1"/>
  <c r="AT269" i="6" s="1"/>
  <c r="AU269" i="6" s="1"/>
  <c r="AV269" i="6" s="1"/>
  <c r="AW269" i="6" s="1"/>
  <c r="AX269" i="6" s="1"/>
  <c r="AY269" i="6" s="1"/>
  <c r="AZ269" i="6" s="1"/>
  <c r="BA269" i="6" s="1"/>
  <c r="BB269" i="6" s="1"/>
  <c r="AF229" i="6"/>
  <c r="AG229" i="6" s="1"/>
  <c r="AH229" i="6" s="1"/>
  <c r="AI229" i="6" s="1"/>
  <c r="AJ229" i="6" s="1"/>
  <c r="AK229" i="6" s="1"/>
  <c r="AL229" i="6" s="1"/>
  <c r="AM229" i="6" s="1"/>
  <c r="AN229" i="6" s="1"/>
  <c r="AO229" i="6" s="1"/>
  <c r="AP229" i="6" s="1"/>
  <c r="AQ229" i="6" s="1"/>
  <c r="AR229" i="6" s="1"/>
  <c r="AS229" i="6" s="1"/>
  <c r="AT229" i="6" s="1"/>
  <c r="AU229" i="6" s="1"/>
  <c r="AV229" i="6" s="1"/>
  <c r="AW229" i="6" s="1"/>
  <c r="AX229" i="6" s="1"/>
  <c r="AY229" i="6" s="1"/>
  <c r="AZ229" i="6" s="1"/>
  <c r="BA229" i="6" s="1"/>
  <c r="BB229" i="6" s="1"/>
  <c r="AF189" i="6"/>
  <c r="AG189" i="6" s="1"/>
  <c r="AH189" i="6" s="1"/>
  <c r="AI189" i="6" s="1"/>
  <c r="AJ189" i="6" s="1"/>
  <c r="AK189" i="6" s="1"/>
  <c r="AL189" i="6" s="1"/>
  <c r="AM189" i="6" s="1"/>
  <c r="AN189" i="6" s="1"/>
  <c r="AO189" i="6" s="1"/>
  <c r="AP189" i="6" s="1"/>
  <c r="AQ189" i="6" s="1"/>
  <c r="AR189" i="6" s="1"/>
  <c r="AS189" i="6" s="1"/>
  <c r="AT189" i="6" s="1"/>
  <c r="AU189" i="6" s="1"/>
  <c r="AV189" i="6" s="1"/>
  <c r="AW189" i="6" s="1"/>
  <c r="AX189" i="6" s="1"/>
  <c r="AY189" i="6" s="1"/>
  <c r="AZ189" i="6" s="1"/>
  <c r="BA189" i="6" s="1"/>
  <c r="BB189" i="6" s="1"/>
  <c r="AF187" i="6"/>
  <c r="AG187" i="6" s="1"/>
  <c r="AH187" i="6" s="1"/>
  <c r="AI187" i="6" s="1"/>
  <c r="AJ187" i="6" s="1"/>
  <c r="AK187" i="6" s="1"/>
  <c r="AL187" i="6" s="1"/>
  <c r="AM187" i="6" s="1"/>
  <c r="AN187" i="6" s="1"/>
  <c r="AO187" i="6" s="1"/>
  <c r="AP187" i="6" s="1"/>
  <c r="AQ187" i="6" s="1"/>
  <c r="AR187" i="6" s="1"/>
  <c r="AS187" i="6" s="1"/>
  <c r="AT187" i="6" s="1"/>
  <c r="AU187" i="6" s="1"/>
  <c r="AV187" i="6" s="1"/>
  <c r="AW187" i="6" s="1"/>
  <c r="AX187" i="6" s="1"/>
  <c r="AY187" i="6" s="1"/>
  <c r="AZ187" i="6" s="1"/>
  <c r="BA187" i="6" s="1"/>
  <c r="BB187" i="6" s="1"/>
  <c r="AF185" i="6"/>
  <c r="AG185" i="6" s="1"/>
  <c r="AH185" i="6" s="1"/>
  <c r="AI185" i="6" s="1"/>
  <c r="AJ185" i="6" s="1"/>
  <c r="AK185" i="6" s="1"/>
  <c r="AL185" i="6" s="1"/>
  <c r="AM185" i="6" s="1"/>
  <c r="AN185" i="6" s="1"/>
  <c r="AO185" i="6" s="1"/>
  <c r="AP185" i="6" s="1"/>
  <c r="AQ185" i="6" s="1"/>
  <c r="AR185" i="6" s="1"/>
  <c r="AS185" i="6" s="1"/>
  <c r="AT185" i="6" s="1"/>
  <c r="AU185" i="6" s="1"/>
  <c r="AV185" i="6" s="1"/>
  <c r="AW185" i="6" s="1"/>
  <c r="AX185" i="6" s="1"/>
  <c r="AY185" i="6" s="1"/>
  <c r="AZ185" i="6" s="1"/>
  <c r="BA185" i="6" s="1"/>
  <c r="BB185" i="6" s="1"/>
  <c r="AF146" i="6"/>
  <c r="AG146" i="6" s="1"/>
  <c r="AH146" i="6" s="1"/>
  <c r="AI146" i="6" s="1"/>
  <c r="AJ146" i="6" s="1"/>
  <c r="AK146" i="6" s="1"/>
  <c r="AL146" i="6" s="1"/>
  <c r="AM146" i="6" s="1"/>
  <c r="AN146" i="6" s="1"/>
  <c r="AO146" i="6" s="1"/>
  <c r="AP146" i="6" s="1"/>
  <c r="AQ146" i="6" s="1"/>
  <c r="AR146" i="6" s="1"/>
  <c r="AS146" i="6" s="1"/>
  <c r="AT146" i="6" s="1"/>
  <c r="AU146" i="6" s="1"/>
  <c r="AV146" i="6" s="1"/>
  <c r="AW146" i="6" s="1"/>
  <c r="AX146" i="6" s="1"/>
  <c r="AY146" i="6" s="1"/>
  <c r="AZ146" i="6" s="1"/>
  <c r="BA146" i="6" s="1"/>
  <c r="BB146" i="6" s="1"/>
  <c r="AF148" i="6"/>
  <c r="AG148" i="6" s="1"/>
  <c r="AH148" i="6" s="1"/>
  <c r="AI148" i="6" s="1"/>
  <c r="AJ148" i="6" s="1"/>
  <c r="AK148" i="6" s="1"/>
  <c r="AL148" i="6" s="1"/>
  <c r="AM148" i="6" s="1"/>
  <c r="AN148" i="6" s="1"/>
  <c r="AO148" i="6" s="1"/>
  <c r="AP148" i="6" s="1"/>
  <c r="AQ148" i="6" s="1"/>
  <c r="AR148" i="6" s="1"/>
  <c r="AS148" i="6" s="1"/>
  <c r="AT148" i="6" s="1"/>
  <c r="AU148" i="6" s="1"/>
  <c r="AV148" i="6" s="1"/>
  <c r="AW148" i="6" s="1"/>
  <c r="AX148" i="6" s="1"/>
  <c r="AY148" i="6" s="1"/>
  <c r="AZ148" i="6" s="1"/>
  <c r="BA148" i="6" s="1"/>
  <c r="BB148" i="6" s="1"/>
  <c r="AF140" i="6"/>
  <c r="AG140" i="6" s="1"/>
  <c r="AF27" i="6"/>
  <c r="AG27" i="6" s="1"/>
  <c r="CP79" i="4"/>
  <c r="CP75" i="4"/>
  <c r="HA75" i="4" s="1"/>
  <c r="CP67" i="4"/>
  <c r="CP63" i="4"/>
  <c r="CP61" i="4"/>
  <c r="CP57" i="4"/>
  <c r="CP55" i="4"/>
  <c r="CP51" i="4"/>
  <c r="CP49" i="4"/>
  <c r="CP47" i="4"/>
  <c r="CP45" i="4"/>
  <c r="CP41" i="4"/>
  <c r="CP37" i="4"/>
  <c r="CP33" i="4"/>
  <c r="CP15" i="4"/>
  <c r="L397" i="6"/>
  <c r="G402" i="6" s="1"/>
  <c r="Q106" i="6"/>
  <c r="Q291" i="6"/>
  <c r="M235" i="6"/>
  <c r="N235" i="6" s="1"/>
  <c r="O235" i="6" s="1"/>
  <c r="Q112" i="6"/>
  <c r="O277" i="6"/>
  <c r="N3" i="5"/>
  <c r="M8" i="5"/>
  <c r="E16" i="5" s="1"/>
  <c r="E13" i="5" s="1"/>
  <c r="O3" i="5"/>
  <c r="O8" i="5" s="1"/>
  <c r="J14" i="5" s="1"/>
  <c r="N3" i="6"/>
  <c r="M57" i="6"/>
  <c r="T3" i="4"/>
  <c r="U3" i="4" s="1"/>
  <c r="V3" i="4" s="1"/>
  <c r="W3" i="4" s="1"/>
  <c r="X3" i="4" s="1"/>
  <c r="Y3" i="4" s="1"/>
  <c r="AA3" i="4" s="1"/>
  <c r="AB3" i="4" s="1"/>
  <c r="AD3" i="4" s="1"/>
  <c r="AF3" i="4" s="1"/>
  <c r="AG3" i="4" s="1"/>
  <c r="AH3" i="4" s="1"/>
  <c r="S82" i="4"/>
  <c r="N87" i="4" s="1"/>
  <c r="N3" i="4"/>
  <c r="N82" i="4" s="1"/>
  <c r="I87" i="4" s="1"/>
  <c r="M82" i="4"/>
  <c r="S70" i="1"/>
  <c r="T70" i="1" s="1"/>
  <c r="U70" i="1" s="1"/>
  <c r="J55" i="1"/>
  <c r="K55" i="1" s="1"/>
  <c r="L55" i="1" s="1"/>
  <c r="M55" i="1" s="1"/>
  <c r="N55" i="1" s="1"/>
  <c r="O55" i="1" s="1"/>
  <c r="P55" i="1" s="1"/>
  <c r="Q55" i="1" s="1"/>
  <c r="H68" i="1"/>
  <c r="H64" i="1"/>
  <c r="E19" i="5" l="1"/>
  <c r="E18" i="5"/>
  <c r="E20" i="5"/>
  <c r="CP267" i="6"/>
  <c r="CP271" i="6"/>
  <c r="CP144" i="6"/>
  <c r="CP364" i="6"/>
  <c r="CP358" i="6"/>
  <c r="BC148" i="6"/>
  <c r="BD148" i="6" s="1"/>
  <c r="BE148" i="6" s="1"/>
  <c r="BF148" i="6" s="1"/>
  <c r="BG148" i="6" s="1"/>
  <c r="BH148" i="6" s="1"/>
  <c r="BI148" i="6" s="1"/>
  <c r="BJ148" i="6" s="1"/>
  <c r="BK148" i="6" s="1"/>
  <c r="BL148" i="6" s="1"/>
  <c r="BM148" i="6" s="1"/>
  <c r="BN148" i="6" s="1"/>
  <c r="BO148" i="6" s="1"/>
  <c r="BP148" i="6" s="1"/>
  <c r="BQ148" i="6" s="1"/>
  <c r="BR148" i="6" s="1"/>
  <c r="BS148" i="6" s="1"/>
  <c r="BT148" i="6" s="1"/>
  <c r="BU148" i="6" s="1"/>
  <c r="BV148" i="6" s="1"/>
  <c r="BW148" i="6" s="1"/>
  <c r="BX148" i="6" s="1"/>
  <c r="BY148" i="6" s="1"/>
  <c r="BZ148" i="6" s="1"/>
  <c r="CA148" i="6" s="1"/>
  <c r="CB148" i="6" s="1"/>
  <c r="CC148" i="6" s="1"/>
  <c r="CD148" i="6" s="1"/>
  <c r="CE148" i="6" s="1"/>
  <c r="CF148" i="6" s="1"/>
  <c r="CG148" i="6" s="1"/>
  <c r="CH148" i="6" s="1"/>
  <c r="CI148" i="6" s="1"/>
  <c r="CJ148" i="6" s="1"/>
  <c r="CK148" i="6" s="1"/>
  <c r="CL148" i="6" s="1"/>
  <c r="CM148" i="6" s="1"/>
  <c r="CN148" i="6" s="1"/>
  <c r="CO148" i="6" s="1"/>
  <c r="BC185" i="6"/>
  <c r="BD185" i="6" s="1"/>
  <c r="BE185" i="6" s="1"/>
  <c r="BF185" i="6" s="1"/>
  <c r="BG185" i="6" s="1"/>
  <c r="BH185" i="6" s="1"/>
  <c r="BI185" i="6" s="1"/>
  <c r="BJ185" i="6" s="1"/>
  <c r="BK185" i="6" s="1"/>
  <c r="BL185" i="6" s="1"/>
  <c r="BM185" i="6" s="1"/>
  <c r="BN185" i="6" s="1"/>
  <c r="BO185" i="6" s="1"/>
  <c r="BP185" i="6" s="1"/>
  <c r="BQ185" i="6" s="1"/>
  <c r="BR185" i="6" s="1"/>
  <c r="BS185" i="6" s="1"/>
  <c r="BT185" i="6" s="1"/>
  <c r="BU185" i="6" s="1"/>
  <c r="BV185" i="6" s="1"/>
  <c r="BW185" i="6" s="1"/>
  <c r="BX185" i="6" s="1"/>
  <c r="BY185" i="6" s="1"/>
  <c r="BZ185" i="6" s="1"/>
  <c r="CA185" i="6" s="1"/>
  <c r="CB185" i="6" s="1"/>
  <c r="CC185" i="6" s="1"/>
  <c r="CD185" i="6" s="1"/>
  <c r="CE185" i="6" s="1"/>
  <c r="CF185" i="6" s="1"/>
  <c r="CG185" i="6" s="1"/>
  <c r="CH185" i="6" s="1"/>
  <c r="CI185" i="6" s="1"/>
  <c r="CJ185" i="6" s="1"/>
  <c r="CK185" i="6" s="1"/>
  <c r="CL185" i="6" s="1"/>
  <c r="CM185" i="6" s="1"/>
  <c r="CN185" i="6" s="1"/>
  <c r="CO185" i="6" s="1"/>
  <c r="BC189" i="6"/>
  <c r="BD189" i="6" s="1"/>
  <c r="BE189" i="6" s="1"/>
  <c r="BF189" i="6" s="1"/>
  <c r="BG189" i="6" s="1"/>
  <c r="BH189" i="6" s="1"/>
  <c r="BI189" i="6" s="1"/>
  <c r="BJ189" i="6" s="1"/>
  <c r="BK189" i="6" s="1"/>
  <c r="BL189" i="6" s="1"/>
  <c r="BM189" i="6" s="1"/>
  <c r="BN189" i="6" s="1"/>
  <c r="BO189" i="6" s="1"/>
  <c r="BP189" i="6" s="1"/>
  <c r="BQ189" i="6" s="1"/>
  <c r="BR189" i="6" s="1"/>
  <c r="BS189" i="6" s="1"/>
  <c r="BT189" i="6" s="1"/>
  <c r="BU189" i="6" s="1"/>
  <c r="BV189" i="6" s="1"/>
  <c r="BW189" i="6" s="1"/>
  <c r="BX189" i="6" s="1"/>
  <c r="BY189" i="6" s="1"/>
  <c r="BZ189" i="6" s="1"/>
  <c r="CA189" i="6" s="1"/>
  <c r="CB189" i="6" s="1"/>
  <c r="CC189" i="6" s="1"/>
  <c r="CD189" i="6" s="1"/>
  <c r="CE189" i="6" s="1"/>
  <c r="CF189" i="6" s="1"/>
  <c r="CG189" i="6" s="1"/>
  <c r="CH189" i="6" s="1"/>
  <c r="CI189" i="6" s="1"/>
  <c r="CJ189" i="6" s="1"/>
  <c r="CK189" i="6" s="1"/>
  <c r="CL189" i="6" s="1"/>
  <c r="CM189" i="6" s="1"/>
  <c r="CN189" i="6" s="1"/>
  <c r="CO189" i="6" s="1"/>
  <c r="BC297" i="6"/>
  <c r="BD297" i="6" s="1"/>
  <c r="BE297" i="6" s="1"/>
  <c r="BF297" i="6" s="1"/>
  <c r="BG297" i="6" s="1"/>
  <c r="BH297" i="6" s="1"/>
  <c r="BI297" i="6" s="1"/>
  <c r="BJ297" i="6" s="1"/>
  <c r="BK297" i="6" s="1"/>
  <c r="BL297" i="6" s="1"/>
  <c r="BM297" i="6" s="1"/>
  <c r="BN297" i="6" s="1"/>
  <c r="BO297" i="6" s="1"/>
  <c r="BP297" i="6" s="1"/>
  <c r="BQ297" i="6" s="1"/>
  <c r="BR297" i="6" s="1"/>
  <c r="BS297" i="6" s="1"/>
  <c r="BT297" i="6" s="1"/>
  <c r="BU297" i="6" s="1"/>
  <c r="BV297" i="6" s="1"/>
  <c r="BW297" i="6" s="1"/>
  <c r="BX297" i="6" s="1"/>
  <c r="BY297" i="6" s="1"/>
  <c r="BZ297" i="6" s="1"/>
  <c r="CA297" i="6" s="1"/>
  <c r="CB297" i="6" s="1"/>
  <c r="CC297" i="6" s="1"/>
  <c r="CD297" i="6" s="1"/>
  <c r="CE297" i="6" s="1"/>
  <c r="CF297" i="6" s="1"/>
  <c r="CG297" i="6" s="1"/>
  <c r="CH297" i="6" s="1"/>
  <c r="CI297" i="6" s="1"/>
  <c r="CJ297" i="6" s="1"/>
  <c r="CK297" i="6" s="1"/>
  <c r="CL297" i="6" s="1"/>
  <c r="CM297" i="6" s="1"/>
  <c r="CN297" i="6" s="1"/>
  <c r="CO297" i="6" s="1"/>
  <c r="BC45" i="6"/>
  <c r="BD45" i="6" s="1"/>
  <c r="BE45" i="6" s="1"/>
  <c r="BF45" i="6" s="1"/>
  <c r="BG45" i="6" s="1"/>
  <c r="BH45" i="6" s="1"/>
  <c r="BI45" i="6" s="1"/>
  <c r="BJ45" i="6" s="1"/>
  <c r="BK45" i="6" s="1"/>
  <c r="BL45" i="6" s="1"/>
  <c r="BM45" i="6" s="1"/>
  <c r="BN45" i="6" s="1"/>
  <c r="BO45" i="6" s="1"/>
  <c r="BP45" i="6" s="1"/>
  <c r="BQ45" i="6" s="1"/>
  <c r="BR45" i="6" s="1"/>
  <c r="BS45" i="6" s="1"/>
  <c r="BT45" i="6" s="1"/>
  <c r="BU45" i="6" s="1"/>
  <c r="BV45" i="6" s="1"/>
  <c r="BW45" i="6" s="1"/>
  <c r="BX45" i="6" s="1"/>
  <c r="BY45" i="6" s="1"/>
  <c r="BZ45" i="6" s="1"/>
  <c r="CA45" i="6" s="1"/>
  <c r="CB45" i="6" s="1"/>
  <c r="CC45" i="6" s="1"/>
  <c r="CD45" i="6" s="1"/>
  <c r="CE45" i="6" s="1"/>
  <c r="CF45" i="6" s="1"/>
  <c r="CG45" i="6" s="1"/>
  <c r="CH45" i="6" s="1"/>
  <c r="CI45" i="6" s="1"/>
  <c r="CJ45" i="6" s="1"/>
  <c r="CK45" i="6" s="1"/>
  <c r="CL45" i="6" s="1"/>
  <c r="CM45" i="6" s="1"/>
  <c r="CN45" i="6" s="1"/>
  <c r="CO45" i="6" s="1"/>
  <c r="BC100" i="6"/>
  <c r="BD100" i="6" s="1"/>
  <c r="BE100" i="6" s="1"/>
  <c r="BF100" i="6" s="1"/>
  <c r="BG100" i="6" s="1"/>
  <c r="BH100" i="6" s="1"/>
  <c r="BI100" i="6" s="1"/>
  <c r="BJ100" i="6" s="1"/>
  <c r="BK100" i="6" s="1"/>
  <c r="BL100" i="6" s="1"/>
  <c r="BM100" i="6" s="1"/>
  <c r="BN100" i="6" s="1"/>
  <c r="BO100" i="6" s="1"/>
  <c r="BP100" i="6" s="1"/>
  <c r="BQ100" i="6" s="1"/>
  <c r="BR100" i="6" s="1"/>
  <c r="BS100" i="6" s="1"/>
  <c r="BT100" i="6" s="1"/>
  <c r="BU100" i="6" s="1"/>
  <c r="BV100" i="6" s="1"/>
  <c r="BW100" i="6" s="1"/>
  <c r="BX100" i="6" s="1"/>
  <c r="BY100" i="6" s="1"/>
  <c r="BZ100" i="6" s="1"/>
  <c r="CA100" i="6" s="1"/>
  <c r="CB100" i="6" s="1"/>
  <c r="CC100" i="6" s="1"/>
  <c r="CD100" i="6" s="1"/>
  <c r="CE100" i="6" s="1"/>
  <c r="CF100" i="6" s="1"/>
  <c r="CG100" i="6" s="1"/>
  <c r="CH100" i="6" s="1"/>
  <c r="CI100" i="6" s="1"/>
  <c r="CJ100" i="6" s="1"/>
  <c r="CK100" i="6" s="1"/>
  <c r="CL100" i="6" s="1"/>
  <c r="CM100" i="6" s="1"/>
  <c r="CN100" i="6" s="1"/>
  <c r="CO100" i="6" s="1"/>
  <c r="BC207" i="6"/>
  <c r="BD207" i="6" s="1"/>
  <c r="BE207" i="6" s="1"/>
  <c r="BF207" i="6" s="1"/>
  <c r="BG207" i="6" s="1"/>
  <c r="BH207" i="6" s="1"/>
  <c r="BI207" i="6" s="1"/>
  <c r="BJ207" i="6" s="1"/>
  <c r="BK207" i="6" s="1"/>
  <c r="BL207" i="6" s="1"/>
  <c r="BM207" i="6" s="1"/>
  <c r="BN207" i="6" s="1"/>
  <c r="BO207" i="6" s="1"/>
  <c r="BP207" i="6" s="1"/>
  <c r="BQ207" i="6" s="1"/>
  <c r="BR207" i="6" s="1"/>
  <c r="BS207" i="6" s="1"/>
  <c r="BT207" i="6" s="1"/>
  <c r="BU207" i="6" s="1"/>
  <c r="BV207" i="6" s="1"/>
  <c r="BW207" i="6" s="1"/>
  <c r="BX207" i="6" s="1"/>
  <c r="BY207" i="6" s="1"/>
  <c r="BZ207" i="6" s="1"/>
  <c r="CA207" i="6" s="1"/>
  <c r="CB207" i="6" s="1"/>
  <c r="CC207" i="6" s="1"/>
  <c r="CD207" i="6" s="1"/>
  <c r="CE207" i="6" s="1"/>
  <c r="CF207" i="6" s="1"/>
  <c r="CG207" i="6" s="1"/>
  <c r="CH207" i="6" s="1"/>
  <c r="CI207" i="6" s="1"/>
  <c r="CJ207" i="6" s="1"/>
  <c r="CK207" i="6" s="1"/>
  <c r="CL207" i="6" s="1"/>
  <c r="CM207" i="6" s="1"/>
  <c r="CN207" i="6" s="1"/>
  <c r="CO207" i="6" s="1"/>
  <c r="BC51" i="6"/>
  <c r="BD51" i="6" s="1"/>
  <c r="BE51" i="6" s="1"/>
  <c r="BF51" i="6" s="1"/>
  <c r="BG51" i="6" s="1"/>
  <c r="BH51" i="6" s="1"/>
  <c r="BI51" i="6" s="1"/>
  <c r="BJ51" i="6" s="1"/>
  <c r="BK51" i="6" s="1"/>
  <c r="BL51" i="6" s="1"/>
  <c r="BM51" i="6" s="1"/>
  <c r="BN51" i="6" s="1"/>
  <c r="BO51" i="6" s="1"/>
  <c r="BP51" i="6" s="1"/>
  <c r="BQ51" i="6" s="1"/>
  <c r="BR51" i="6" s="1"/>
  <c r="BS51" i="6" s="1"/>
  <c r="BT51" i="6" s="1"/>
  <c r="BU51" i="6" s="1"/>
  <c r="BV51" i="6" s="1"/>
  <c r="BW51" i="6" s="1"/>
  <c r="BX51" i="6" s="1"/>
  <c r="BY51" i="6" s="1"/>
  <c r="BZ51" i="6" s="1"/>
  <c r="CA51" i="6" s="1"/>
  <c r="CB51" i="6" s="1"/>
  <c r="CC51" i="6" s="1"/>
  <c r="CD51" i="6" s="1"/>
  <c r="CE51" i="6" s="1"/>
  <c r="CF51" i="6" s="1"/>
  <c r="CG51" i="6" s="1"/>
  <c r="CH51" i="6" s="1"/>
  <c r="CI51" i="6" s="1"/>
  <c r="CJ51" i="6" s="1"/>
  <c r="CK51" i="6" s="1"/>
  <c r="CL51" i="6" s="1"/>
  <c r="CM51" i="6" s="1"/>
  <c r="CN51" i="6" s="1"/>
  <c r="CO51" i="6" s="1"/>
  <c r="BC150" i="6"/>
  <c r="BD150" i="6" s="1"/>
  <c r="BE150" i="6" s="1"/>
  <c r="BF150" i="6" s="1"/>
  <c r="BG150" i="6" s="1"/>
  <c r="BH150" i="6" s="1"/>
  <c r="BI150" i="6" s="1"/>
  <c r="BJ150" i="6" s="1"/>
  <c r="BK150" i="6" s="1"/>
  <c r="BL150" i="6" s="1"/>
  <c r="BM150" i="6" s="1"/>
  <c r="BN150" i="6" s="1"/>
  <c r="BO150" i="6" s="1"/>
  <c r="BP150" i="6" s="1"/>
  <c r="BQ150" i="6" s="1"/>
  <c r="BR150" i="6" s="1"/>
  <c r="BS150" i="6" s="1"/>
  <c r="BT150" i="6" s="1"/>
  <c r="BU150" i="6" s="1"/>
  <c r="BV150" i="6" s="1"/>
  <c r="BW150" i="6" s="1"/>
  <c r="BX150" i="6" s="1"/>
  <c r="BY150" i="6" s="1"/>
  <c r="BZ150" i="6" s="1"/>
  <c r="CA150" i="6" s="1"/>
  <c r="CB150" i="6" s="1"/>
  <c r="CC150" i="6" s="1"/>
  <c r="CD150" i="6" s="1"/>
  <c r="CE150" i="6" s="1"/>
  <c r="CF150" i="6" s="1"/>
  <c r="CG150" i="6" s="1"/>
  <c r="CH150" i="6" s="1"/>
  <c r="CI150" i="6" s="1"/>
  <c r="CJ150" i="6" s="1"/>
  <c r="CK150" i="6" s="1"/>
  <c r="CL150" i="6" s="1"/>
  <c r="CM150" i="6" s="1"/>
  <c r="CN150" i="6" s="1"/>
  <c r="CO150" i="6" s="1"/>
  <c r="BC239" i="6"/>
  <c r="BD239" i="6" s="1"/>
  <c r="BE239" i="6" s="1"/>
  <c r="BF239" i="6" s="1"/>
  <c r="BG239" i="6" s="1"/>
  <c r="BH239" i="6" s="1"/>
  <c r="BI239" i="6" s="1"/>
  <c r="BJ239" i="6" s="1"/>
  <c r="BK239" i="6" s="1"/>
  <c r="BL239" i="6" s="1"/>
  <c r="BM239" i="6" s="1"/>
  <c r="BN239" i="6" s="1"/>
  <c r="BO239" i="6" s="1"/>
  <c r="BP239" i="6" s="1"/>
  <c r="BQ239" i="6" s="1"/>
  <c r="BR239" i="6" s="1"/>
  <c r="BS239" i="6" s="1"/>
  <c r="BT239" i="6" s="1"/>
  <c r="BU239" i="6" s="1"/>
  <c r="BV239" i="6" s="1"/>
  <c r="BW239" i="6" s="1"/>
  <c r="BX239" i="6" s="1"/>
  <c r="BY239" i="6" s="1"/>
  <c r="BZ239" i="6" s="1"/>
  <c r="CA239" i="6" s="1"/>
  <c r="CB239" i="6" s="1"/>
  <c r="CC239" i="6" s="1"/>
  <c r="CD239" i="6" s="1"/>
  <c r="CE239" i="6" s="1"/>
  <c r="CF239" i="6" s="1"/>
  <c r="CG239" i="6" s="1"/>
  <c r="CH239" i="6" s="1"/>
  <c r="CI239" i="6" s="1"/>
  <c r="CJ239" i="6" s="1"/>
  <c r="CK239" i="6" s="1"/>
  <c r="CL239" i="6" s="1"/>
  <c r="CM239" i="6" s="1"/>
  <c r="CN239" i="6" s="1"/>
  <c r="CO239" i="6" s="1"/>
  <c r="BC243" i="6"/>
  <c r="BD243" i="6" s="1"/>
  <c r="BE243" i="6" s="1"/>
  <c r="BF243" i="6" s="1"/>
  <c r="BG243" i="6" s="1"/>
  <c r="BH243" i="6" s="1"/>
  <c r="BI243" i="6" s="1"/>
  <c r="BJ243" i="6" s="1"/>
  <c r="BK243" i="6" s="1"/>
  <c r="BL243" i="6" s="1"/>
  <c r="BM243" i="6" s="1"/>
  <c r="BN243" i="6" s="1"/>
  <c r="BO243" i="6" s="1"/>
  <c r="BP243" i="6" s="1"/>
  <c r="BQ243" i="6" s="1"/>
  <c r="BR243" i="6" s="1"/>
  <c r="BS243" i="6" s="1"/>
  <c r="BT243" i="6" s="1"/>
  <c r="BU243" i="6" s="1"/>
  <c r="BV243" i="6" s="1"/>
  <c r="BW243" i="6" s="1"/>
  <c r="BX243" i="6" s="1"/>
  <c r="BY243" i="6" s="1"/>
  <c r="BZ243" i="6" s="1"/>
  <c r="CA243" i="6" s="1"/>
  <c r="CB243" i="6" s="1"/>
  <c r="CC243" i="6" s="1"/>
  <c r="CD243" i="6" s="1"/>
  <c r="CE243" i="6" s="1"/>
  <c r="CF243" i="6" s="1"/>
  <c r="CG243" i="6" s="1"/>
  <c r="CH243" i="6" s="1"/>
  <c r="CI243" i="6" s="1"/>
  <c r="CJ243" i="6" s="1"/>
  <c r="CK243" i="6" s="1"/>
  <c r="CL243" i="6" s="1"/>
  <c r="CM243" i="6" s="1"/>
  <c r="CN243" i="6" s="1"/>
  <c r="CO243" i="6" s="1"/>
  <c r="BC15" i="6"/>
  <c r="BD15" i="6" s="1"/>
  <c r="BE15" i="6" s="1"/>
  <c r="BF15" i="6" s="1"/>
  <c r="BG15" i="6" s="1"/>
  <c r="BH15" i="6" s="1"/>
  <c r="BI15" i="6" s="1"/>
  <c r="BJ15" i="6" s="1"/>
  <c r="BK15" i="6" s="1"/>
  <c r="BL15" i="6" s="1"/>
  <c r="BM15" i="6" s="1"/>
  <c r="BN15" i="6" s="1"/>
  <c r="BO15" i="6" s="1"/>
  <c r="BP15" i="6" s="1"/>
  <c r="BQ15" i="6" s="1"/>
  <c r="BR15" i="6" s="1"/>
  <c r="BS15" i="6" s="1"/>
  <c r="BT15" i="6" s="1"/>
  <c r="BU15" i="6" s="1"/>
  <c r="BV15" i="6" s="1"/>
  <c r="BW15" i="6" s="1"/>
  <c r="BX15" i="6" s="1"/>
  <c r="BY15" i="6" s="1"/>
  <c r="BZ15" i="6" s="1"/>
  <c r="CA15" i="6" s="1"/>
  <c r="CB15" i="6" s="1"/>
  <c r="CC15" i="6" s="1"/>
  <c r="CD15" i="6" s="1"/>
  <c r="CE15" i="6" s="1"/>
  <c r="CF15" i="6" s="1"/>
  <c r="CG15" i="6" s="1"/>
  <c r="CH15" i="6" s="1"/>
  <c r="CI15" i="6" s="1"/>
  <c r="CJ15" i="6" s="1"/>
  <c r="CK15" i="6" s="1"/>
  <c r="CL15" i="6" s="1"/>
  <c r="CM15" i="6" s="1"/>
  <c r="CN15" i="6" s="1"/>
  <c r="CO15" i="6" s="1"/>
  <c r="BC130" i="6"/>
  <c r="BD130" i="6" s="1"/>
  <c r="BE130" i="6" s="1"/>
  <c r="BF130" i="6" s="1"/>
  <c r="BG130" i="6" s="1"/>
  <c r="BH130" i="6" s="1"/>
  <c r="BI130" i="6" s="1"/>
  <c r="BJ130" i="6" s="1"/>
  <c r="BK130" i="6" s="1"/>
  <c r="BL130" i="6" s="1"/>
  <c r="BM130" i="6" s="1"/>
  <c r="BN130" i="6" s="1"/>
  <c r="BO130" i="6" s="1"/>
  <c r="BP130" i="6" s="1"/>
  <c r="BQ130" i="6" s="1"/>
  <c r="BR130" i="6" s="1"/>
  <c r="BS130" i="6" s="1"/>
  <c r="BT130" i="6" s="1"/>
  <c r="BU130" i="6" s="1"/>
  <c r="BV130" i="6" s="1"/>
  <c r="BW130" i="6" s="1"/>
  <c r="BX130" i="6" s="1"/>
  <c r="BY130" i="6" s="1"/>
  <c r="BZ130" i="6" s="1"/>
  <c r="CA130" i="6" s="1"/>
  <c r="CB130" i="6" s="1"/>
  <c r="CC130" i="6" s="1"/>
  <c r="CD130" i="6" s="1"/>
  <c r="CE130" i="6" s="1"/>
  <c r="CF130" i="6" s="1"/>
  <c r="CG130" i="6" s="1"/>
  <c r="CH130" i="6" s="1"/>
  <c r="CI130" i="6" s="1"/>
  <c r="CJ130" i="6" s="1"/>
  <c r="CK130" i="6" s="1"/>
  <c r="CL130" i="6" s="1"/>
  <c r="CM130" i="6" s="1"/>
  <c r="CN130" i="6" s="1"/>
  <c r="CO130" i="6" s="1"/>
  <c r="BC154" i="6"/>
  <c r="BD154" i="6" s="1"/>
  <c r="BE154" i="6" s="1"/>
  <c r="BF154" i="6" s="1"/>
  <c r="BG154" i="6" s="1"/>
  <c r="BH154" i="6" s="1"/>
  <c r="BI154" i="6" s="1"/>
  <c r="BJ154" i="6" s="1"/>
  <c r="BK154" i="6" s="1"/>
  <c r="BL154" i="6" s="1"/>
  <c r="BM154" i="6" s="1"/>
  <c r="BN154" i="6" s="1"/>
  <c r="BO154" i="6" s="1"/>
  <c r="BP154" i="6" s="1"/>
  <c r="BQ154" i="6" s="1"/>
  <c r="BR154" i="6" s="1"/>
  <c r="BS154" i="6" s="1"/>
  <c r="BT154" i="6" s="1"/>
  <c r="BU154" i="6" s="1"/>
  <c r="BV154" i="6" s="1"/>
  <c r="BW154" i="6" s="1"/>
  <c r="BX154" i="6" s="1"/>
  <c r="BY154" i="6" s="1"/>
  <c r="BZ154" i="6" s="1"/>
  <c r="CA154" i="6" s="1"/>
  <c r="CB154" i="6" s="1"/>
  <c r="CC154" i="6" s="1"/>
  <c r="CD154" i="6" s="1"/>
  <c r="CE154" i="6" s="1"/>
  <c r="CF154" i="6" s="1"/>
  <c r="CG154" i="6" s="1"/>
  <c r="CH154" i="6" s="1"/>
  <c r="CI154" i="6" s="1"/>
  <c r="CJ154" i="6" s="1"/>
  <c r="CK154" i="6" s="1"/>
  <c r="CL154" i="6" s="1"/>
  <c r="CM154" i="6" s="1"/>
  <c r="CN154" i="6" s="1"/>
  <c r="CO154" i="6" s="1"/>
  <c r="BC53" i="6"/>
  <c r="BD53" i="6" s="1"/>
  <c r="BE53" i="6" s="1"/>
  <c r="BF53" i="6" s="1"/>
  <c r="BG53" i="6" s="1"/>
  <c r="BH53" i="6" s="1"/>
  <c r="BI53" i="6" s="1"/>
  <c r="BJ53" i="6" s="1"/>
  <c r="BK53" i="6" s="1"/>
  <c r="BL53" i="6" s="1"/>
  <c r="BM53" i="6" s="1"/>
  <c r="BN53" i="6" s="1"/>
  <c r="BO53" i="6" s="1"/>
  <c r="BP53" i="6" s="1"/>
  <c r="BQ53" i="6" s="1"/>
  <c r="BR53" i="6" s="1"/>
  <c r="BS53" i="6" s="1"/>
  <c r="BT53" i="6" s="1"/>
  <c r="BU53" i="6" s="1"/>
  <c r="BV53" i="6" s="1"/>
  <c r="BW53" i="6" s="1"/>
  <c r="BX53" i="6" s="1"/>
  <c r="BY53" i="6" s="1"/>
  <c r="BZ53" i="6" s="1"/>
  <c r="CA53" i="6" s="1"/>
  <c r="CB53" i="6" s="1"/>
  <c r="CC53" i="6" s="1"/>
  <c r="CD53" i="6" s="1"/>
  <c r="CE53" i="6" s="1"/>
  <c r="CF53" i="6" s="1"/>
  <c r="CG53" i="6" s="1"/>
  <c r="CH53" i="6" s="1"/>
  <c r="CI53" i="6" s="1"/>
  <c r="CJ53" i="6" s="1"/>
  <c r="CK53" i="6" s="1"/>
  <c r="CL53" i="6" s="1"/>
  <c r="CM53" i="6" s="1"/>
  <c r="CN53" i="6" s="1"/>
  <c r="CO53" i="6" s="1"/>
  <c r="BC156" i="6"/>
  <c r="BD156" i="6" s="1"/>
  <c r="BE156" i="6" s="1"/>
  <c r="BF156" i="6" s="1"/>
  <c r="BG156" i="6" s="1"/>
  <c r="BH156" i="6" s="1"/>
  <c r="BI156" i="6" s="1"/>
  <c r="BJ156" i="6" s="1"/>
  <c r="BK156" i="6" s="1"/>
  <c r="BL156" i="6" s="1"/>
  <c r="BM156" i="6" s="1"/>
  <c r="BN156" i="6" s="1"/>
  <c r="BO156" i="6" s="1"/>
  <c r="BP156" i="6" s="1"/>
  <c r="BQ156" i="6" s="1"/>
  <c r="BR156" i="6" s="1"/>
  <c r="BS156" i="6" s="1"/>
  <c r="BT156" i="6" s="1"/>
  <c r="BU156" i="6" s="1"/>
  <c r="BV156" i="6" s="1"/>
  <c r="BW156" i="6" s="1"/>
  <c r="BX156" i="6" s="1"/>
  <c r="BY156" i="6" s="1"/>
  <c r="BZ156" i="6" s="1"/>
  <c r="CA156" i="6" s="1"/>
  <c r="CB156" i="6" s="1"/>
  <c r="CC156" i="6" s="1"/>
  <c r="CD156" i="6" s="1"/>
  <c r="CE156" i="6" s="1"/>
  <c r="CF156" i="6" s="1"/>
  <c r="CG156" i="6" s="1"/>
  <c r="CH156" i="6" s="1"/>
  <c r="CI156" i="6" s="1"/>
  <c r="CJ156" i="6" s="1"/>
  <c r="CK156" i="6" s="1"/>
  <c r="CL156" i="6" s="1"/>
  <c r="CM156" i="6" s="1"/>
  <c r="CN156" i="6" s="1"/>
  <c r="CO156" i="6" s="1"/>
  <c r="BC92" i="6"/>
  <c r="BD92" i="6" s="1"/>
  <c r="BE92" i="6" s="1"/>
  <c r="BF92" i="6" s="1"/>
  <c r="BG92" i="6" s="1"/>
  <c r="BH92" i="6" s="1"/>
  <c r="BI92" i="6" s="1"/>
  <c r="BJ92" i="6" s="1"/>
  <c r="BK92" i="6" s="1"/>
  <c r="BL92" i="6" s="1"/>
  <c r="BM92" i="6" s="1"/>
  <c r="BN92" i="6" s="1"/>
  <c r="BO92" i="6" s="1"/>
  <c r="BP92" i="6" s="1"/>
  <c r="BQ92" i="6" s="1"/>
  <c r="BR92" i="6" s="1"/>
  <c r="BS92" i="6" s="1"/>
  <c r="BT92" i="6" s="1"/>
  <c r="BU92" i="6" s="1"/>
  <c r="BV92" i="6" s="1"/>
  <c r="BW92" i="6" s="1"/>
  <c r="BX92" i="6" s="1"/>
  <c r="BY92" i="6" s="1"/>
  <c r="BZ92" i="6" s="1"/>
  <c r="CA92" i="6" s="1"/>
  <c r="CB92" i="6" s="1"/>
  <c r="CC92" i="6" s="1"/>
  <c r="CD92" i="6" s="1"/>
  <c r="CE92" i="6" s="1"/>
  <c r="CF92" i="6" s="1"/>
  <c r="CG92" i="6" s="1"/>
  <c r="CH92" i="6" s="1"/>
  <c r="CI92" i="6" s="1"/>
  <c r="CJ92" i="6" s="1"/>
  <c r="CK92" i="6" s="1"/>
  <c r="CL92" i="6" s="1"/>
  <c r="CM92" i="6" s="1"/>
  <c r="CN92" i="6" s="1"/>
  <c r="CO92" i="6" s="1"/>
  <c r="BC59" i="6"/>
  <c r="BD59" i="6" s="1"/>
  <c r="BE59" i="6" s="1"/>
  <c r="BF59" i="6" s="1"/>
  <c r="BG59" i="6" s="1"/>
  <c r="BH59" i="6" s="1"/>
  <c r="BI59" i="6" s="1"/>
  <c r="BJ59" i="6" s="1"/>
  <c r="BK59" i="6" s="1"/>
  <c r="BL59" i="6" s="1"/>
  <c r="BM59" i="6" s="1"/>
  <c r="BN59" i="6" s="1"/>
  <c r="BO59" i="6" s="1"/>
  <c r="BP59" i="6" s="1"/>
  <c r="BQ59" i="6" s="1"/>
  <c r="BR59" i="6" s="1"/>
  <c r="BS59" i="6" s="1"/>
  <c r="BT59" i="6" s="1"/>
  <c r="BU59" i="6" s="1"/>
  <c r="BV59" i="6" s="1"/>
  <c r="BW59" i="6" s="1"/>
  <c r="BX59" i="6" s="1"/>
  <c r="BY59" i="6" s="1"/>
  <c r="BZ59" i="6" s="1"/>
  <c r="CA59" i="6" s="1"/>
  <c r="CB59" i="6" s="1"/>
  <c r="CC59" i="6" s="1"/>
  <c r="CD59" i="6" s="1"/>
  <c r="CE59" i="6" s="1"/>
  <c r="CF59" i="6" s="1"/>
  <c r="CG59" i="6" s="1"/>
  <c r="CH59" i="6" s="1"/>
  <c r="CI59" i="6" s="1"/>
  <c r="CJ59" i="6" s="1"/>
  <c r="CK59" i="6" s="1"/>
  <c r="CL59" i="6" s="1"/>
  <c r="CM59" i="6" s="1"/>
  <c r="CN59" i="6" s="1"/>
  <c r="CO59" i="6" s="1"/>
  <c r="BC160" i="6"/>
  <c r="BD160" i="6" s="1"/>
  <c r="BE160" i="6" s="1"/>
  <c r="BF160" i="6" s="1"/>
  <c r="BG160" i="6" s="1"/>
  <c r="BH160" i="6" s="1"/>
  <c r="BI160" i="6" s="1"/>
  <c r="BJ160" i="6" s="1"/>
  <c r="BK160" i="6" s="1"/>
  <c r="BL160" i="6" s="1"/>
  <c r="BM160" i="6" s="1"/>
  <c r="BN160" i="6" s="1"/>
  <c r="BO160" i="6" s="1"/>
  <c r="BP160" i="6" s="1"/>
  <c r="BQ160" i="6" s="1"/>
  <c r="BR160" i="6" s="1"/>
  <c r="BS160" i="6" s="1"/>
  <c r="BT160" i="6" s="1"/>
  <c r="BU160" i="6" s="1"/>
  <c r="BV160" i="6" s="1"/>
  <c r="BW160" i="6" s="1"/>
  <c r="BX160" i="6" s="1"/>
  <c r="BY160" i="6" s="1"/>
  <c r="BZ160" i="6" s="1"/>
  <c r="CA160" i="6" s="1"/>
  <c r="CB160" i="6" s="1"/>
  <c r="CC160" i="6" s="1"/>
  <c r="CD160" i="6" s="1"/>
  <c r="CE160" i="6" s="1"/>
  <c r="CF160" i="6" s="1"/>
  <c r="CG160" i="6" s="1"/>
  <c r="CH160" i="6" s="1"/>
  <c r="CI160" i="6" s="1"/>
  <c r="CJ160" i="6" s="1"/>
  <c r="CK160" i="6" s="1"/>
  <c r="CL160" i="6" s="1"/>
  <c r="CM160" i="6" s="1"/>
  <c r="CN160" i="6" s="1"/>
  <c r="CO160" i="6" s="1"/>
  <c r="BC9" i="6"/>
  <c r="BD9" i="6" s="1"/>
  <c r="BE9" i="6" s="1"/>
  <c r="BF9" i="6" s="1"/>
  <c r="BG9" i="6" s="1"/>
  <c r="BH9" i="6" s="1"/>
  <c r="BI9" i="6" s="1"/>
  <c r="BJ9" i="6" s="1"/>
  <c r="BK9" i="6" s="1"/>
  <c r="BL9" i="6" s="1"/>
  <c r="BM9" i="6" s="1"/>
  <c r="BN9" i="6" s="1"/>
  <c r="BO9" i="6" s="1"/>
  <c r="BP9" i="6" s="1"/>
  <c r="BQ9" i="6" s="1"/>
  <c r="BR9" i="6" s="1"/>
  <c r="BS9" i="6" s="1"/>
  <c r="BT9" i="6" s="1"/>
  <c r="BU9" i="6" s="1"/>
  <c r="BV9" i="6" s="1"/>
  <c r="BW9" i="6" s="1"/>
  <c r="BX9" i="6" s="1"/>
  <c r="BY9" i="6" s="1"/>
  <c r="BZ9" i="6" s="1"/>
  <c r="CA9" i="6" s="1"/>
  <c r="CB9" i="6" s="1"/>
  <c r="CC9" i="6" s="1"/>
  <c r="CD9" i="6" s="1"/>
  <c r="CE9" i="6" s="1"/>
  <c r="CF9" i="6" s="1"/>
  <c r="CG9" i="6" s="1"/>
  <c r="CH9" i="6" s="1"/>
  <c r="CI9" i="6" s="1"/>
  <c r="CJ9" i="6" s="1"/>
  <c r="CK9" i="6" s="1"/>
  <c r="CL9" i="6" s="1"/>
  <c r="CM9" i="6" s="1"/>
  <c r="CN9" i="6" s="1"/>
  <c r="CO9" i="6" s="1"/>
  <c r="BC152" i="6"/>
  <c r="BD152" i="6" s="1"/>
  <c r="BE152" i="6" s="1"/>
  <c r="BF152" i="6" s="1"/>
  <c r="BG152" i="6" s="1"/>
  <c r="BH152" i="6" s="1"/>
  <c r="BI152" i="6" s="1"/>
  <c r="BJ152" i="6" s="1"/>
  <c r="BK152" i="6" s="1"/>
  <c r="BL152" i="6" s="1"/>
  <c r="BM152" i="6" s="1"/>
  <c r="BN152" i="6" s="1"/>
  <c r="BO152" i="6" s="1"/>
  <c r="BP152" i="6" s="1"/>
  <c r="BQ152" i="6" s="1"/>
  <c r="BR152" i="6" s="1"/>
  <c r="BS152" i="6" s="1"/>
  <c r="BT152" i="6" s="1"/>
  <c r="BU152" i="6" s="1"/>
  <c r="BV152" i="6" s="1"/>
  <c r="BW152" i="6" s="1"/>
  <c r="BX152" i="6" s="1"/>
  <c r="BY152" i="6" s="1"/>
  <c r="BZ152" i="6" s="1"/>
  <c r="CA152" i="6" s="1"/>
  <c r="CB152" i="6" s="1"/>
  <c r="CC152" i="6" s="1"/>
  <c r="CD152" i="6" s="1"/>
  <c r="CE152" i="6" s="1"/>
  <c r="CF152" i="6" s="1"/>
  <c r="CG152" i="6" s="1"/>
  <c r="CH152" i="6" s="1"/>
  <c r="CI152" i="6" s="1"/>
  <c r="CJ152" i="6" s="1"/>
  <c r="CK152" i="6" s="1"/>
  <c r="CL152" i="6" s="1"/>
  <c r="CM152" i="6" s="1"/>
  <c r="CN152" i="6" s="1"/>
  <c r="CO152" i="6" s="1"/>
  <c r="BC96" i="6"/>
  <c r="BD96" i="6" s="1"/>
  <c r="BE96" i="6" s="1"/>
  <c r="BF96" i="6" s="1"/>
  <c r="BG96" i="6" s="1"/>
  <c r="BH96" i="6" s="1"/>
  <c r="BI96" i="6" s="1"/>
  <c r="BJ96" i="6" s="1"/>
  <c r="BK96" i="6" s="1"/>
  <c r="BL96" i="6" s="1"/>
  <c r="BM96" i="6" s="1"/>
  <c r="BN96" i="6" s="1"/>
  <c r="BO96" i="6" s="1"/>
  <c r="BP96" i="6" s="1"/>
  <c r="BQ96" i="6" s="1"/>
  <c r="BR96" i="6" s="1"/>
  <c r="BS96" i="6" s="1"/>
  <c r="BT96" i="6" s="1"/>
  <c r="BU96" i="6" s="1"/>
  <c r="BV96" i="6" s="1"/>
  <c r="BW96" i="6" s="1"/>
  <c r="BX96" i="6" s="1"/>
  <c r="BY96" i="6" s="1"/>
  <c r="BZ96" i="6" s="1"/>
  <c r="CA96" i="6" s="1"/>
  <c r="CB96" i="6" s="1"/>
  <c r="CC96" i="6" s="1"/>
  <c r="CD96" i="6" s="1"/>
  <c r="CE96" i="6" s="1"/>
  <c r="CF96" i="6" s="1"/>
  <c r="CG96" i="6" s="1"/>
  <c r="CH96" i="6" s="1"/>
  <c r="CI96" i="6" s="1"/>
  <c r="CJ96" i="6" s="1"/>
  <c r="CK96" i="6" s="1"/>
  <c r="CL96" i="6" s="1"/>
  <c r="CM96" i="6" s="1"/>
  <c r="CN96" i="6" s="1"/>
  <c r="CO96" i="6" s="1"/>
  <c r="BC118" i="6"/>
  <c r="BD118" i="6" s="1"/>
  <c r="BE118" i="6" s="1"/>
  <c r="BF118" i="6" s="1"/>
  <c r="BG118" i="6" s="1"/>
  <c r="BH118" i="6" s="1"/>
  <c r="BI118" i="6" s="1"/>
  <c r="BJ118" i="6" s="1"/>
  <c r="BK118" i="6" s="1"/>
  <c r="BL118" i="6" s="1"/>
  <c r="BM118" i="6" s="1"/>
  <c r="BN118" i="6" s="1"/>
  <c r="BO118" i="6" s="1"/>
  <c r="BP118" i="6" s="1"/>
  <c r="BQ118" i="6" s="1"/>
  <c r="BR118" i="6" s="1"/>
  <c r="BS118" i="6" s="1"/>
  <c r="BT118" i="6" s="1"/>
  <c r="BU118" i="6" s="1"/>
  <c r="BV118" i="6" s="1"/>
  <c r="BW118" i="6" s="1"/>
  <c r="BX118" i="6" s="1"/>
  <c r="BY118" i="6" s="1"/>
  <c r="BZ118" i="6" s="1"/>
  <c r="CA118" i="6" s="1"/>
  <c r="CB118" i="6" s="1"/>
  <c r="CC118" i="6" s="1"/>
  <c r="CD118" i="6" s="1"/>
  <c r="CE118" i="6" s="1"/>
  <c r="CF118" i="6" s="1"/>
  <c r="CG118" i="6" s="1"/>
  <c r="CH118" i="6" s="1"/>
  <c r="CI118" i="6" s="1"/>
  <c r="CJ118" i="6" s="1"/>
  <c r="CK118" i="6" s="1"/>
  <c r="CL118" i="6" s="1"/>
  <c r="CM118" i="6" s="1"/>
  <c r="CN118" i="6" s="1"/>
  <c r="CO118" i="6" s="1"/>
  <c r="BC231" i="6"/>
  <c r="BD231" i="6" s="1"/>
  <c r="BE231" i="6" s="1"/>
  <c r="BF231" i="6" s="1"/>
  <c r="BG231" i="6" s="1"/>
  <c r="BH231" i="6" s="1"/>
  <c r="BI231" i="6" s="1"/>
  <c r="BJ231" i="6" s="1"/>
  <c r="BK231" i="6" s="1"/>
  <c r="BL231" i="6" s="1"/>
  <c r="BM231" i="6" s="1"/>
  <c r="BN231" i="6" s="1"/>
  <c r="BO231" i="6" s="1"/>
  <c r="BP231" i="6" s="1"/>
  <c r="BQ231" i="6" s="1"/>
  <c r="BR231" i="6" s="1"/>
  <c r="BS231" i="6" s="1"/>
  <c r="BT231" i="6" s="1"/>
  <c r="BU231" i="6" s="1"/>
  <c r="BV231" i="6" s="1"/>
  <c r="BW231" i="6" s="1"/>
  <c r="BX231" i="6" s="1"/>
  <c r="BY231" i="6" s="1"/>
  <c r="BZ231" i="6" s="1"/>
  <c r="CA231" i="6" s="1"/>
  <c r="CB231" i="6" s="1"/>
  <c r="CC231" i="6" s="1"/>
  <c r="CD231" i="6" s="1"/>
  <c r="CE231" i="6" s="1"/>
  <c r="CF231" i="6" s="1"/>
  <c r="CG231" i="6" s="1"/>
  <c r="CH231" i="6" s="1"/>
  <c r="CI231" i="6" s="1"/>
  <c r="CJ231" i="6" s="1"/>
  <c r="CK231" i="6" s="1"/>
  <c r="CL231" i="6" s="1"/>
  <c r="CM231" i="6" s="1"/>
  <c r="CN231" i="6" s="1"/>
  <c r="CO231" i="6" s="1"/>
  <c r="BC63" i="6"/>
  <c r="BD63" i="6" s="1"/>
  <c r="BE63" i="6" s="1"/>
  <c r="BF63" i="6" s="1"/>
  <c r="BG63" i="6" s="1"/>
  <c r="BH63" i="6" s="1"/>
  <c r="BI63" i="6" s="1"/>
  <c r="BJ63" i="6" s="1"/>
  <c r="BK63" i="6" s="1"/>
  <c r="BL63" i="6" s="1"/>
  <c r="BM63" i="6" s="1"/>
  <c r="BN63" i="6" s="1"/>
  <c r="BO63" i="6" s="1"/>
  <c r="BP63" i="6" s="1"/>
  <c r="BQ63" i="6" s="1"/>
  <c r="BR63" i="6" s="1"/>
  <c r="BS63" i="6" s="1"/>
  <c r="BT63" i="6" s="1"/>
  <c r="BU63" i="6" s="1"/>
  <c r="BV63" i="6" s="1"/>
  <c r="BW63" i="6" s="1"/>
  <c r="BX63" i="6" s="1"/>
  <c r="BY63" i="6" s="1"/>
  <c r="BZ63" i="6" s="1"/>
  <c r="CA63" i="6" s="1"/>
  <c r="CB63" i="6" s="1"/>
  <c r="CC63" i="6" s="1"/>
  <c r="CD63" i="6" s="1"/>
  <c r="CE63" i="6" s="1"/>
  <c r="CF63" i="6" s="1"/>
  <c r="CG63" i="6" s="1"/>
  <c r="CH63" i="6" s="1"/>
  <c r="CI63" i="6" s="1"/>
  <c r="CJ63" i="6" s="1"/>
  <c r="CK63" i="6" s="1"/>
  <c r="CL63" i="6" s="1"/>
  <c r="CM63" i="6" s="1"/>
  <c r="CN63" i="6" s="1"/>
  <c r="CO63" i="6" s="1"/>
  <c r="BC104" i="6"/>
  <c r="BD104" i="6" s="1"/>
  <c r="BE104" i="6" s="1"/>
  <c r="BF104" i="6" s="1"/>
  <c r="BG104" i="6" s="1"/>
  <c r="BH104" i="6" s="1"/>
  <c r="BI104" i="6" s="1"/>
  <c r="BJ104" i="6" s="1"/>
  <c r="BK104" i="6" s="1"/>
  <c r="BL104" i="6" s="1"/>
  <c r="BM104" i="6" s="1"/>
  <c r="BN104" i="6" s="1"/>
  <c r="BO104" i="6" s="1"/>
  <c r="BP104" i="6" s="1"/>
  <c r="BQ104" i="6" s="1"/>
  <c r="BR104" i="6" s="1"/>
  <c r="BS104" i="6" s="1"/>
  <c r="BT104" i="6" s="1"/>
  <c r="BU104" i="6" s="1"/>
  <c r="BV104" i="6" s="1"/>
  <c r="BW104" i="6" s="1"/>
  <c r="BX104" i="6" s="1"/>
  <c r="BY104" i="6" s="1"/>
  <c r="BZ104" i="6" s="1"/>
  <c r="CA104" i="6" s="1"/>
  <c r="CB104" i="6" s="1"/>
  <c r="CC104" i="6" s="1"/>
  <c r="CD104" i="6" s="1"/>
  <c r="CE104" i="6" s="1"/>
  <c r="CF104" i="6" s="1"/>
  <c r="CG104" i="6" s="1"/>
  <c r="CH104" i="6" s="1"/>
  <c r="CI104" i="6" s="1"/>
  <c r="CJ104" i="6" s="1"/>
  <c r="CK104" i="6" s="1"/>
  <c r="CL104" i="6" s="1"/>
  <c r="CM104" i="6" s="1"/>
  <c r="CN104" i="6" s="1"/>
  <c r="CO104" i="6" s="1"/>
  <c r="BC301" i="6"/>
  <c r="BD301" i="6" s="1"/>
  <c r="BE301" i="6" s="1"/>
  <c r="BF301" i="6" s="1"/>
  <c r="BG301" i="6" s="1"/>
  <c r="BH301" i="6" s="1"/>
  <c r="BI301" i="6" s="1"/>
  <c r="BJ301" i="6" s="1"/>
  <c r="BK301" i="6" s="1"/>
  <c r="BL301" i="6" s="1"/>
  <c r="BM301" i="6" s="1"/>
  <c r="BN301" i="6" s="1"/>
  <c r="BO301" i="6" s="1"/>
  <c r="BP301" i="6" s="1"/>
  <c r="BQ301" i="6" s="1"/>
  <c r="BR301" i="6" s="1"/>
  <c r="BS301" i="6" s="1"/>
  <c r="BT301" i="6" s="1"/>
  <c r="BU301" i="6" s="1"/>
  <c r="BV301" i="6" s="1"/>
  <c r="BW301" i="6" s="1"/>
  <c r="BX301" i="6" s="1"/>
  <c r="BY301" i="6" s="1"/>
  <c r="BZ301" i="6" s="1"/>
  <c r="CA301" i="6" s="1"/>
  <c r="CB301" i="6" s="1"/>
  <c r="CC301" i="6" s="1"/>
  <c r="CD301" i="6" s="1"/>
  <c r="CE301" i="6" s="1"/>
  <c r="CF301" i="6" s="1"/>
  <c r="CG301" i="6" s="1"/>
  <c r="CH301" i="6" s="1"/>
  <c r="CI301" i="6" s="1"/>
  <c r="CJ301" i="6" s="1"/>
  <c r="CK301" i="6" s="1"/>
  <c r="CL301" i="6" s="1"/>
  <c r="CM301" i="6" s="1"/>
  <c r="CN301" i="6" s="1"/>
  <c r="CO301" i="6" s="1"/>
  <c r="BC348" i="6"/>
  <c r="BD348" i="6" s="1"/>
  <c r="BE348" i="6" s="1"/>
  <c r="BF348" i="6" s="1"/>
  <c r="BG348" i="6" s="1"/>
  <c r="BH348" i="6" s="1"/>
  <c r="BI348" i="6" s="1"/>
  <c r="BJ348" i="6" s="1"/>
  <c r="BK348" i="6" s="1"/>
  <c r="BL348" i="6" s="1"/>
  <c r="BM348" i="6" s="1"/>
  <c r="BN348" i="6" s="1"/>
  <c r="BO348" i="6" s="1"/>
  <c r="BP348" i="6" s="1"/>
  <c r="BQ348" i="6" s="1"/>
  <c r="BR348" i="6" s="1"/>
  <c r="BS348" i="6" s="1"/>
  <c r="BT348" i="6" s="1"/>
  <c r="BU348" i="6" s="1"/>
  <c r="BV348" i="6" s="1"/>
  <c r="BW348" i="6" s="1"/>
  <c r="BX348" i="6" s="1"/>
  <c r="BY348" i="6" s="1"/>
  <c r="BZ348" i="6" s="1"/>
  <c r="CA348" i="6" s="1"/>
  <c r="CB348" i="6" s="1"/>
  <c r="CC348" i="6" s="1"/>
  <c r="CD348" i="6" s="1"/>
  <c r="CE348" i="6" s="1"/>
  <c r="CF348" i="6" s="1"/>
  <c r="CG348" i="6" s="1"/>
  <c r="CH348" i="6" s="1"/>
  <c r="CI348" i="6" s="1"/>
  <c r="CJ348" i="6" s="1"/>
  <c r="CK348" i="6" s="1"/>
  <c r="CL348" i="6" s="1"/>
  <c r="CM348" i="6" s="1"/>
  <c r="CN348" i="6" s="1"/>
  <c r="CO348" i="6" s="1"/>
  <c r="BC279" i="6"/>
  <c r="BD279" i="6" s="1"/>
  <c r="BE279" i="6" s="1"/>
  <c r="BF279" i="6" s="1"/>
  <c r="BG279" i="6" s="1"/>
  <c r="BH279" i="6" s="1"/>
  <c r="BI279" i="6" s="1"/>
  <c r="BJ279" i="6" s="1"/>
  <c r="BK279" i="6" s="1"/>
  <c r="BL279" i="6" s="1"/>
  <c r="BM279" i="6" s="1"/>
  <c r="BN279" i="6" s="1"/>
  <c r="BO279" i="6" s="1"/>
  <c r="BP279" i="6" s="1"/>
  <c r="BQ279" i="6" s="1"/>
  <c r="BR279" i="6" s="1"/>
  <c r="BS279" i="6" s="1"/>
  <c r="BT279" i="6" s="1"/>
  <c r="BU279" i="6" s="1"/>
  <c r="BV279" i="6" s="1"/>
  <c r="BW279" i="6" s="1"/>
  <c r="BX279" i="6" s="1"/>
  <c r="BY279" i="6" s="1"/>
  <c r="BZ279" i="6" s="1"/>
  <c r="CA279" i="6" s="1"/>
  <c r="CB279" i="6" s="1"/>
  <c r="CC279" i="6" s="1"/>
  <c r="CD279" i="6" s="1"/>
  <c r="CE279" i="6" s="1"/>
  <c r="CF279" i="6" s="1"/>
  <c r="CG279" i="6" s="1"/>
  <c r="CH279" i="6" s="1"/>
  <c r="CI279" i="6" s="1"/>
  <c r="CJ279" i="6" s="1"/>
  <c r="CK279" i="6" s="1"/>
  <c r="CL279" i="6" s="1"/>
  <c r="CM279" i="6" s="1"/>
  <c r="CN279" i="6" s="1"/>
  <c r="CO279" i="6" s="1"/>
  <c r="BC303" i="6"/>
  <c r="BD303" i="6" s="1"/>
  <c r="BE303" i="6" s="1"/>
  <c r="BF303" i="6" s="1"/>
  <c r="BG303" i="6" s="1"/>
  <c r="BH303" i="6" s="1"/>
  <c r="BI303" i="6" s="1"/>
  <c r="BJ303" i="6" s="1"/>
  <c r="BK303" i="6" s="1"/>
  <c r="BL303" i="6" s="1"/>
  <c r="BM303" i="6" s="1"/>
  <c r="BN303" i="6" s="1"/>
  <c r="BO303" i="6" s="1"/>
  <c r="BP303" i="6" s="1"/>
  <c r="BQ303" i="6" s="1"/>
  <c r="BR303" i="6" s="1"/>
  <c r="BS303" i="6" s="1"/>
  <c r="BT303" i="6" s="1"/>
  <c r="BU303" i="6" s="1"/>
  <c r="BV303" i="6" s="1"/>
  <c r="BW303" i="6" s="1"/>
  <c r="BX303" i="6" s="1"/>
  <c r="BY303" i="6" s="1"/>
  <c r="BZ303" i="6" s="1"/>
  <c r="CA303" i="6" s="1"/>
  <c r="CB303" i="6" s="1"/>
  <c r="CC303" i="6" s="1"/>
  <c r="CD303" i="6" s="1"/>
  <c r="CE303" i="6" s="1"/>
  <c r="CF303" i="6" s="1"/>
  <c r="CG303" i="6" s="1"/>
  <c r="CH303" i="6" s="1"/>
  <c r="CI303" i="6" s="1"/>
  <c r="CJ303" i="6" s="1"/>
  <c r="CK303" i="6" s="1"/>
  <c r="CL303" i="6" s="1"/>
  <c r="CM303" i="6" s="1"/>
  <c r="CN303" i="6" s="1"/>
  <c r="CO303" i="6" s="1"/>
  <c r="BC146" i="6"/>
  <c r="BD146" i="6" s="1"/>
  <c r="BE146" i="6" s="1"/>
  <c r="BF146" i="6" s="1"/>
  <c r="BG146" i="6" s="1"/>
  <c r="BH146" i="6" s="1"/>
  <c r="BI146" i="6" s="1"/>
  <c r="BJ146" i="6" s="1"/>
  <c r="BK146" i="6" s="1"/>
  <c r="BL146" i="6" s="1"/>
  <c r="BM146" i="6" s="1"/>
  <c r="BN146" i="6" s="1"/>
  <c r="BO146" i="6" s="1"/>
  <c r="BP146" i="6" s="1"/>
  <c r="BQ146" i="6" s="1"/>
  <c r="BR146" i="6" s="1"/>
  <c r="BS146" i="6" s="1"/>
  <c r="BT146" i="6" s="1"/>
  <c r="BU146" i="6" s="1"/>
  <c r="BV146" i="6" s="1"/>
  <c r="BW146" i="6" s="1"/>
  <c r="BX146" i="6" s="1"/>
  <c r="BY146" i="6" s="1"/>
  <c r="BZ146" i="6" s="1"/>
  <c r="CA146" i="6" s="1"/>
  <c r="CB146" i="6" s="1"/>
  <c r="CC146" i="6" s="1"/>
  <c r="CD146" i="6" s="1"/>
  <c r="CE146" i="6" s="1"/>
  <c r="CF146" i="6" s="1"/>
  <c r="CG146" i="6" s="1"/>
  <c r="CH146" i="6" s="1"/>
  <c r="CI146" i="6" s="1"/>
  <c r="CJ146" i="6" s="1"/>
  <c r="CK146" i="6" s="1"/>
  <c r="CL146" i="6" s="1"/>
  <c r="CM146" i="6" s="1"/>
  <c r="CN146" i="6" s="1"/>
  <c r="CO146" i="6" s="1"/>
  <c r="BC187" i="6"/>
  <c r="BD187" i="6" s="1"/>
  <c r="BE187" i="6" s="1"/>
  <c r="BF187" i="6" s="1"/>
  <c r="BG187" i="6" s="1"/>
  <c r="BH187" i="6" s="1"/>
  <c r="BI187" i="6" s="1"/>
  <c r="BJ187" i="6" s="1"/>
  <c r="BK187" i="6" s="1"/>
  <c r="BL187" i="6" s="1"/>
  <c r="BM187" i="6" s="1"/>
  <c r="BN187" i="6" s="1"/>
  <c r="BO187" i="6" s="1"/>
  <c r="BP187" i="6" s="1"/>
  <c r="BQ187" i="6" s="1"/>
  <c r="BR187" i="6" s="1"/>
  <c r="BS187" i="6" s="1"/>
  <c r="BT187" i="6" s="1"/>
  <c r="BU187" i="6" s="1"/>
  <c r="BV187" i="6" s="1"/>
  <c r="BW187" i="6" s="1"/>
  <c r="BX187" i="6" s="1"/>
  <c r="BY187" i="6" s="1"/>
  <c r="BZ187" i="6" s="1"/>
  <c r="CA187" i="6" s="1"/>
  <c r="CB187" i="6" s="1"/>
  <c r="CC187" i="6" s="1"/>
  <c r="CD187" i="6" s="1"/>
  <c r="CE187" i="6" s="1"/>
  <c r="CF187" i="6" s="1"/>
  <c r="CG187" i="6" s="1"/>
  <c r="CH187" i="6" s="1"/>
  <c r="CI187" i="6" s="1"/>
  <c r="CJ187" i="6" s="1"/>
  <c r="CK187" i="6" s="1"/>
  <c r="CL187" i="6" s="1"/>
  <c r="CM187" i="6" s="1"/>
  <c r="CN187" i="6" s="1"/>
  <c r="CO187" i="6" s="1"/>
  <c r="BC229" i="6"/>
  <c r="BD229" i="6" s="1"/>
  <c r="BE229" i="6" s="1"/>
  <c r="BF229" i="6" s="1"/>
  <c r="BG229" i="6" s="1"/>
  <c r="BH229" i="6" s="1"/>
  <c r="BI229" i="6" s="1"/>
  <c r="BJ229" i="6" s="1"/>
  <c r="BK229" i="6" s="1"/>
  <c r="BL229" i="6" s="1"/>
  <c r="BM229" i="6" s="1"/>
  <c r="BN229" i="6" s="1"/>
  <c r="BO229" i="6" s="1"/>
  <c r="BP229" i="6" s="1"/>
  <c r="BQ229" i="6" s="1"/>
  <c r="BR229" i="6" s="1"/>
  <c r="BS229" i="6" s="1"/>
  <c r="BT229" i="6" s="1"/>
  <c r="BU229" i="6" s="1"/>
  <c r="BV229" i="6" s="1"/>
  <c r="BW229" i="6" s="1"/>
  <c r="BX229" i="6" s="1"/>
  <c r="BY229" i="6" s="1"/>
  <c r="BZ229" i="6" s="1"/>
  <c r="CA229" i="6" s="1"/>
  <c r="CB229" i="6" s="1"/>
  <c r="CC229" i="6" s="1"/>
  <c r="CD229" i="6" s="1"/>
  <c r="CE229" i="6" s="1"/>
  <c r="CF229" i="6" s="1"/>
  <c r="CG229" i="6" s="1"/>
  <c r="CH229" i="6" s="1"/>
  <c r="CI229" i="6" s="1"/>
  <c r="CJ229" i="6" s="1"/>
  <c r="CK229" i="6" s="1"/>
  <c r="CL229" i="6" s="1"/>
  <c r="CM229" i="6" s="1"/>
  <c r="CN229" i="6" s="1"/>
  <c r="CO229" i="6" s="1"/>
  <c r="BC269" i="6"/>
  <c r="BD269" i="6" s="1"/>
  <c r="BE269" i="6" s="1"/>
  <c r="BF269" i="6" s="1"/>
  <c r="BG269" i="6" s="1"/>
  <c r="BH269" i="6" s="1"/>
  <c r="BI269" i="6" s="1"/>
  <c r="BJ269" i="6" s="1"/>
  <c r="BK269" i="6" s="1"/>
  <c r="BL269" i="6" s="1"/>
  <c r="BM269" i="6" s="1"/>
  <c r="BN269" i="6" s="1"/>
  <c r="BO269" i="6" s="1"/>
  <c r="BP269" i="6" s="1"/>
  <c r="BQ269" i="6" s="1"/>
  <c r="BR269" i="6" s="1"/>
  <c r="BS269" i="6" s="1"/>
  <c r="BT269" i="6" s="1"/>
  <c r="BU269" i="6" s="1"/>
  <c r="BV269" i="6" s="1"/>
  <c r="BW269" i="6" s="1"/>
  <c r="BX269" i="6" s="1"/>
  <c r="BY269" i="6" s="1"/>
  <c r="BZ269" i="6" s="1"/>
  <c r="CA269" i="6" s="1"/>
  <c r="CB269" i="6" s="1"/>
  <c r="CC269" i="6" s="1"/>
  <c r="CD269" i="6" s="1"/>
  <c r="CE269" i="6" s="1"/>
  <c r="CF269" i="6" s="1"/>
  <c r="CG269" i="6" s="1"/>
  <c r="CH269" i="6" s="1"/>
  <c r="CI269" i="6" s="1"/>
  <c r="CJ269" i="6" s="1"/>
  <c r="CK269" i="6" s="1"/>
  <c r="CL269" i="6" s="1"/>
  <c r="CM269" i="6" s="1"/>
  <c r="CN269" i="6" s="1"/>
  <c r="CO269" i="6" s="1"/>
  <c r="BC29" i="6"/>
  <c r="BD29" i="6" s="1"/>
  <c r="BE29" i="6" s="1"/>
  <c r="BF29" i="6" s="1"/>
  <c r="BG29" i="6" s="1"/>
  <c r="BH29" i="6" s="1"/>
  <c r="BI29" i="6" s="1"/>
  <c r="BJ29" i="6" s="1"/>
  <c r="BK29" i="6" s="1"/>
  <c r="BL29" i="6" s="1"/>
  <c r="BM29" i="6" s="1"/>
  <c r="BN29" i="6" s="1"/>
  <c r="BO29" i="6" s="1"/>
  <c r="BP29" i="6" s="1"/>
  <c r="BQ29" i="6" s="1"/>
  <c r="BR29" i="6" s="1"/>
  <c r="BS29" i="6" s="1"/>
  <c r="BT29" i="6" s="1"/>
  <c r="BU29" i="6" s="1"/>
  <c r="BV29" i="6" s="1"/>
  <c r="BW29" i="6" s="1"/>
  <c r="BX29" i="6" s="1"/>
  <c r="BY29" i="6" s="1"/>
  <c r="BZ29" i="6" s="1"/>
  <c r="CA29" i="6" s="1"/>
  <c r="CB29" i="6" s="1"/>
  <c r="CC29" i="6" s="1"/>
  <c r="CD29" i="6" s="1"/>
  <c r="CE29" i="6" s="1"/>
  <c r="CF29" i="6" s="1"/>
  <c r="CG29" i="6" s="1"/>
  <c r="CH29" i="6" s="1"/>
  <c r="CI29" i="6" s="1"/>
  <c r="CJ29" i="6" s="1"/>
  <c r="CK29" i="6" s="1"/>
  <c r="CL29" i="6" s="1"/>
  <c r="CM29" i="6" s="1"/>
  <c r="CN29" i="6" s="1"/>
  <c r="CO29" i="6" s="1"/>
  <c r="BC43" i="6"/>
  <c r="BD43" i="6" s="1"/>
  <c r="BE43" i="6" s="1"/>
  <c r="BF43" i="6" s="1"/>
  <c r="BG43" i="6" s="1"/>
  <c r="BH43" i="6" s="1"/>
  <c r="BI43" i="6" s="1"/>
  <c r="BJ43" i="6" s="1"/>
  <c r="BK43" i="6" s="1"/>
  <c r="BL43" i="6" s="1"/>
  <c r="BM43" i="6" s="1"/>
  <c r="BN43" i="6" s="1"/>
  <c r="BO43" i="6" s="1"/>
  <c r="BP43" i="6" s="1"/>
  <c r="BQ43" i="6" s="1"/>
  <c r="BR43" i="6" s="1"/>
  <c r="BS43" i="6" s="1"/>
  <c r="BT43" i="6" s="1"/>
  <c r="BU43" i="6" s="1"/>
  <c r="BV43" i="6" s="1"/>
  <c r="BW43" i="6" s="1"/>
  <c r="BX43" i="6" s="1"/>
  <c r="BY43" i="6" s="1"/>
  <c r="BZ43" i="6" s="1"/>
  <c r="CA43" i="6" s="1"/>
  <c r="CB43" i="6" s="1"/>
  <c r="CC43" i="6" s="1"/>
  <c r="CD43" i="6" s="1"/>
  <c r="CE43" i="6" s="1"/>
  <c r="CF43" i="6" s="1"/>
  <c r="CG43" i="6" s="1"/>
  <c r="CH43" i="6" s="1"/>
  <c r="CI43" i="6" s="1"/>
  <c r="CJ43" i="6" s="1"/>
  <c r="CK43" i="6" s="1"/>
  <c r="CL43" i="6" s="1"/>
  <c r="CM43" i="6" s="1"/>
  <c r="CN43" i="6" s="1"/>
  <c r="CO43" i="6" s="1"/>
  <c r="BC65" i="6"/>
  <c r="BD65" i="6" s="1"/>
  <c r="BE65" i="6" s="1"/>
  <c r="BF65" i="6" s="1"/>
  <c r="BG65" i="6" s="1"/>
  <c r="BH65" i="6" s="1"/>
  <c r="BI65" i="6" s="1"/>
  <c r="BJ65" i="6" s="1"/>
  <c r="BK65" i="6" s="1"/>
  <c r="BL65" i="6" s="1"/>
  <c r="BM65" i="6" s="1"/>
  <c r="BN65" i="6" s="1"/>
  <c r="BO65" i="6" s="1"/>
  <c r="BP65" i="6" s="1"/>
  <c r="BQ65" i="6" s="1"/>
  <c r="BR65" i="6" s="1"/>
  <c r="BS65" i="6" s="1"/>
  <c r="BT65" i="6" s="1"/>
  <c r="BU65" i="6" s="1"/>
  <c r="BV65" i="6" s="1"/>
  <c r="BW65" i="6" s="1"/>
  <c r="BX65" i="6" s="1"/>
  <c r="BY65" i="6" s="1"/>
  <c r="BZ65" i="6" s="1"/>
  <c r="CA65" i="6" s="1"/>
  <c r="CB65" i="6" s="1"/>
  <c r="CC65" i="6" s="1"/>
  <c r="CD65" i="6" s="1"/>
  <c r="CE65" i="6" s="1"/>
  <c r="CF65" i="6" s="1"/>
  <c r="CG65" i="6" s="1"/>
  <c r="CH65" i="6" s="1"/>
  <c r="CI65" i="6" s="1"/>
  <c r="CJ65" i="6" s="1"/>
  <c r="CK65" i="6" s="1"/>
  <c r="CL65" i="6" s="1"/>
  <c r="CM65" i="6" s="1"/>
  <c r="CN65" i="6" s="1"/>
  <c r="CO65" i="6" s="1"/>
  <c r="BC227" i="6"/>
  <c r="BD227" i="6" s="1"/>
  <c r="BE227" i="6" s="1"/>
  <c r="BF227" i="6" s="1"/>
  <c r="BG227" i="6" s="1"/>
  <c r="BH227" i="6" s="1"/>
  <c r="BI227" i="6" s="1"/>
  <c r="BJ227" i="6" s="1"/>
  <c r="BK227" i="6" s="1"/>
  <c r="BL227" i="6" s="1"/>
  <c r="BM227" i="6" s="1"/>
  <c r="BN227" i="6" s="1"/>
  <c r="BO227" i="6" s="1"/>
  <c r="BP227" i="6" s="1"/>
  <c r="BQ227" i="6" s="1"/>
  <c r="BR227" i="6" s="1"/>
  <c r="BS227" i="6" s="1"/>
  <c r="BT227" i="6" s="1"/>
  <c r="BU227" i="6" s="1"/>
  <c r="BV227" i="6" s="1"/>
  <c r="BW227" i="6" s="1"/>
  <c r="BX227" i="6" s="1"/>
  <c r="BY227" i="6" s="1"/>
  <c r="BZ227" i="6" s="1"/>
  <c r="CA227" i="6" s="1"/>
  <c r="CB227" i="6" s="1"/>
  <c r="CC227" i="6" s="1"/>
  <c r="CD227" i="6" s="1"/>
  <c r="CE227" i="6" s="1"/>
  <c r="CF227" i="6" s="1"/>
  <c r="CG227" i="6" s="1"/>
  <c r="CH227" i="6" s="1"/>
  <c r="CI227" i="6" s="1"/>
  <c r="CJ227" i="6" s="1"/>
  <c r="CK227" i="6" s="1"/>
  <c r="CL227" i="6" s="1"/>
  <c r="CM227" i="6" s="1"/>
  <c r="CN227" i="6" s="1"/>
  <c r="CO227" i="6" s="1"/>
  <c r="BC17" i="6"/>
  <c r="BD17" i="6" s="1"/>
  <c r="BE17" i="6" s="1"/>
  <c r="BF17" i="6" s="1"/>
  <c r="BG17" i="6" s="1"/>
  <c r="BH17" i="6" s="1"/>
  <c r="BI17" i="6" s="1"/>
  <c r="BJ17" i="6" s="1"/>
  <c r="BK17" i="6" s="1"/>
  <c r="BL17" i="6" s="1"/>
  <c r="BM17" i="6" s="1"/>
  <c r="BN17" i="6" s="1"/>
  <c r="BO17" i="6" s="1"/>
  <c r="BP17" i="6" s="1"/>
  <c r="BQ17" i="6" s="1"/>
  <c r="BR17" i="6" s="1"/>
  <c r="BS17" i="6" s="1"/>
  <c r="BT17" i="6" s="1"/>
  <c r="BU17" i="6" s="1"/>
  <c r="BV17" i="6" s="1"/>
  <c r="BW17" i="6" s="1"/>
  <c r="BX17" i="6" s="1"/>
  <c r="BY17" i="6" s="1"/>
  <c r="BZ17" i="6" s="1"/>
  <c r="CA17" i="6" s="1"/>
  <c r="CB17" i="6" s="1"/>
  <c r="CC17" i="6" s="1"/>
  <c r="CD17" i="6" s="1"/>
  <c r="CE17" i="6" s="1"/>
  <c r="CF17" i="6" s="1"/>
  <c r="CG17" i="6" s="1"/>
  <c r="CH17" i="6" s="1"/>
  <c r="CI17" i="6" s="1"/>
  <c r="CJ17" i="6" s="1"/>
  <c r="CK17" i="6" s="1"/>
  <c r="CL17" i="6" s="1"/>
  <c r="CM17" i="6" s="1"/>
  <c r="CN17" i="6" s="1"/>
  <c r="CO17" i="6" s="1"/>
  <c r="BC213" i="6"/>
  <c r="BD213" i="6" s="1"/>
  <c r="BE213" i="6" s="1"/>
  <c r="BF213" i="6" s="1"/>
  <c r="BG213" i="6" s="1"/>
  <c r="BH213" i="6" s="1"/>
  <c r="BI213" i="6" s="1"/>
  <c r="BJ213" i="6" s="1"/>
  <c r="BK213" i="6" s="1"/>
  <c r="BL213" i="6" s="1"/>
  <c r="BM213" i="6" s="1"/>
  <c r="BN213" i="6" s="1"/>
  <c r="BO213" i="6" s="1"/>
  <c r="BP213" i="6" s="1"/>
  <c r="BQ213" i="6" s="1"/>
  <c r="BR213" i="6" s="1"/>
  <c r="BS213" i="6" s="1"/>
  <c r="BT213" i="6" s="1"/>
  <c r="BU213" i="6" s="1"/>
  <c r="BV213" i="6" s="1"/>
  <c r="BW213" i="6" s="1"/>
  <c r="BX213" i="6" s="1"/>
  <c r="BY213" i="6" s="1"/>
  <c r="BZ213" i="6" s="1"/>
  <c r="CA213" i="6" s="1"/>
  <c r="CB213" i="6" s="1"/>
  <c r="CC213" i="6" s="1"/>
  <c r="CD213" i="6" s="1"/>
  <c r="CE213" i="6" s="1"/>
  <c r="CF213" i="6" s="1"/>
  <c r="CG213" i="6" s="1"/>
  <c r="CH213" i="6" s="1"/>
  <c r="CI213" i="6" s="1"/>
  <c r="CJ213" i="6" s="1"/>
  <c r="CK213" i="6" s="1"/>
  <c r="CL213" i="6" s="1"/>
  <c r="CM213" i="6" s="1"/>
  <c r="CN213" i="6" s="1"/>
  <c r="CO213" i="6" s="1"/>
  <c r="BC116" i="6"/>
  <c r="BD116" i="6" s="1"/>
  <c r="BE116" i="6" s="1"/>
  <c r="BF116" i="6" s="1"/>
  <c r="BG116" i="6" s="1"/>
  <c r="BH116" i="6" s="1"/>
  <c r="BI116" i="6" s="1"/>
  <c r="BJ116" i="6" s="1"/>
  <c r="BK116" i="6" s="1"/>
  <c r="BL116" i="6" s="1"/>
  <c r="BM116" i="6" s="1"/>
  <c r="BN116" i="6" s="1"/>
  <c r="BO116" i="6" s="1"/>
  <c r="BP116" i="6" s="1"/>
  <c r="BQ116" i="6" s="1"/>
  <c r="BR116" i="6" s="1"/>
  <c r="BS116" i="6" s="1"/>
  <c r="BT116" i="6" s="1"/>
  <c r="BU116" i="6" s="1"/>
  <c r="BV116" i="6" s="1"/>
  <c r="BW116" i="6" s="1"/>
  <c r="BX116" i="6" s="1"/>
  <c r="BY116" i="6" s="1"/>
  <c r="BZ116" i="6" s="1"/>
  <c r="CA116" i="6" s="1"/>
  <c r="CB116" i="6" s="1"/>
  <c r="CC116" i="6" s="1"/>
  <c r="CD116" i="6" s="1"/>
  <c r="CE116" i="6" s="1"/>
  <c r="CF116" i="6" s="1"/>
  <c r="CG116" i="6" s="1"/>
  <c r="CH116" i="6" s="1"/>
  <c r="CI116" i="6" s="1"/>
  <c r="CJ116" i="6" s="1"/>
  <c r="CK116" i="6" s="1"/>
  <c r="CL116" i="6" s="1"/>
  <c r="CM116" i="6" s="1"/>
  <c r="CN116" i="6" s="1"/>
  <c r="CO116" i="6" s="1"/>
  <c r="BC35" i="6"/>
  <c r="BD35" i="6" s="1"/>
  <c r="BE35" i="6" s="1"/>
  <c r="BF35" i="6" s="1"/>
  <c r="BG35" i="6" s="1"/>
  <c r="BH35" i="6" s="1"/>
  <c r="BI35" i="6" s="1"/>
  <c r="BJ35" i="6" s="1"/>
  <c r="BK35" i="6" s="1"/>
  <c r="BL35" i="6" s="1"/>
  <c r="BM35" i="6" s="1"/>
  <c r="BN35" i="6" s="1"/>
  <c r="BO35" i="6" s="1"/>
  <c r="BP35" i="6" s="1"/>
  <c r="BQ35" i="6" s="1"/>
  <c r="BR35" i="6" s="1"/>
  <c r="BS35" i="6" s="1"/>
  <c r="BT35" i="6" s="1"/>
  <c r="BU35" i="6" s="1"/>
  <c r="BV35" i="6" s="1"/>
  <c r="BW35" i="6" s="1"/>
  <c r="BX35" i="6" s="1"/>
  <c r="BY35" i="6" s="1"/>
  <c r="BZ35" i="6" s="1"/>
  <c r="CA35" i="6" s="1"/>
  <c r="CB35" i="6" s="1"/>
  <c r="CC35" i="6" s="1"/>
  <c r="CD35" i="6" s="1"/>
  <c r="CE35" i="6" s="1"/>
  <c r="CF35" i="6" s="1"/>
  <c r="CG35" i="6" s="1"/>
  <c r="CH35" i="6" s="1"/>
  <c r="CI35" i="6" s="1"/>
  <c r="CJ35" i="6" s="1"/>
  <c r="CK35" i="6" s="1"/>
  <c r="CL35" i="6" s="1"/>
  <c r="CM35" i="6" s="1"/>
  <c r="CN35" i="6" s="1"/>
  <c r="CO35" i="6" s="1"/>
  <c r="BC138" i="6"/>
  <c r="BD138" i="6" s="1"/>
  <c r="BE138" i="6" s="1"/>
  <c r="BF138" i="6" s="1"/>
  <c r="BG138" i="6" s="1"/>
  <c r="BH138" i="6" s="1"/>
  <c r="BI138" i="6" s="1"/>
  <c r="BJ138" i="6" s="1"/>
  <c r="BK138" i="6" s="1"/>
  <c r="BL138" i="6" s="1"/>
  <c r="BM138" i="6" s="1"/>
  <c r="BN138" i="6" s="1"/>
  <c r="BO138" i="6" s="1"/>
  <c r="BP138" i="6" s="1"/>
  <c r="BQ138" i="6" s="1"/>
  <c r="BR138" i="6" s="1"/>
  <c r="BS138" i="6" s="1"/>
  <c r="BT138" i="6" s="1"/>
  <c r="BU138" i="6" s="1"/>
  <c r="BV138" i="6" s="1"/>
  <c r="BW138" i="6" s="1"/>
  <c r="BX138" i="6" s="1"/>
  <c r="BY138" i="6" s="1"/>
  <c r="BZ138" i="6" s="1"/>
  <c r="CA138" i="6" s="1"/>
  <c r="CB138" i="6" s="1"/>
  <c r="CC138" i="6" s="1"/>
  <c r="CD138" i="6" s="1"/>
  <c r="CE138" i="6" s="1"/>
  <c r="CF138" i="6" s="1"/>
  <c r="CG138" i="6" s="1"/>
  <c r="CH138" i="6" s="1"/>
  <c r="CI138" i="6" s="1"/>
  <c r="CJ138" i="6" s="1"/>
  <c r="CK138" i="6" s="1"/>
  <c r="CL138" i="6" s="1"/>
  <c r="CM138" i="6" s="1"/>
  <c r="CN138" i="6" s="1"/>
  <c r="CO138" i="6" s="1"/>
  <c r="BC197" i="6"/>
  <c r="BD197" i="6" s="1"/>
  <c r="BE197" i="6" s="1"/>
  <c r="BF197" i="6" s="1"/>
  <c r="BG197" i="6" s="1"/>
  <c r="BH197" i="6" s="1"/>
  <c r="BI197" i="6" s="1"/>
  <c r="BJ197" i="6" s="1"/>
  <c r="BK197" i="6" s="1"/>
  <c r="BL197" i="6" s="1"/>
  <c r="BM197" i="6" s="1"/>
  <c r="BN197" i="6" s="1"/>
  <c r="BO197" i="6" s="1"/>
  <c r="BP197" i="6" s="1"/>
  <c r="BQ197" i="6" s="1"/>
  <c r="BR197" i="6" s="1"/>
  <c r="BS197" i="6" s="1"/>
  <c r="BT197" i="6" s="1"/>
  <c r="BU197" i="6" s="1"/>
  <c r="BV197" i="6" s="1"/>
  <c r="BW197" i="6" s="1"/>
  <c r="BX197" i="6" s="1"/>
  <c r="BY197" i="6" s="1"/>
  <c r="BZ197" i="6" s="1"/>
  <c r="CA197" i="6" s="1"/>
  <c r="CB197" i="6" s="1"/>
  <c r="CC197" i="6" s="1"/>
  <c r="CD197" i="6" s="1"/>
  <c r="CE197" i="6" s="1"/>
  <c r="CF197" i="6" s="1"/>
  <c r="CG197" i="6" s="1"/>
  <c r="CH197" i="6" s="1"/>
  <c r="CI197" i="6" s="1"/>
  <c r="CJ197" i="6" s="1"/>
  <c r="CK197" i="6" s="1"/>
  <c r="CL197" i="6" s="1"/>
  <c r="CM197" i="6" s="1"/>
  <c r="CN197" i="6" s="1"/>
  <c r="CO197" i="6" s="1"/>
  <c r="BC21" i="6"/>
  <c r="BD21" i="6" s="1"/>
  <c r="BE21" i="6" s="1"/>
  <c r="BF21" i="6" s="1"/>
  <c r="BG21" i="6" s="1"/>
  <c r="BH21" i="6" s="1"/>
  <c r="BI21" i="6" s="1"/>
  <c r="BJ21" i="6" s="1"/>
  <c r="BK21" i="6" s="1"/>
  <c r="BL21" i="6" s="1"/>
  <c r="BM21" i="6" s="1"/>
  <c r="BN21" i="6" s="1"/>
  <c r="BO21" i="6" s="1"/>
  <c r="BP21" i="6" s="1"/>
  <c r="BQ21" i="6" s="1"/>
  <c r="BR21" i="6" s="1"/>
  <c r="BS21" i="6" s="1"/>
  <c r="BT21" i="6" s="1"/>
  <c r="BU21" i="6" s="1"/>
  <c r="BV21" i="6" s="1"/>
  <c r="BW21" i="6" s="1"/>
  <c r="BX21" i="6" s="1"/>
  <c r="BY21" i="6" s="1"/>
  <c r="BZ21" i="6" s="1"/>
  <c r="CA21" i="6" s="1"/>
  <c r="CB21" i="6" s="1"/>
  <c r="CC21" i="6" s="1"/>
  <c r="CD21" i="6" s="1"/>
  <c r="CE21" i="6" s="1"/>
  <c r="CF21" i="6" s="1"/>
  <c r="CG21" i="6" s="1"/>
  <c r="CH21" i="6" s="1"/>
  <c r="CI21" i="6" s="1"/>
  <c r="CJ21" i="6" s="1"/>
  <c r="CK21" i="6" s="1"/>
  <c r="CL21" i="6" s="1"/>
  <c r="CM21" i="6" s="1"/>
  <c r="CN21" i="6" s="1"/>
  <c r="CO21" i="6" s="1"/>
  <c r="BC5" i="6"/>
  <c r="BD5" i="6" s="1"/>
  <c r="BE5" i="6" s="1"/>
  <c r="BF5" i="6" s="1"/>
  <c r="BG5" i="6" s="1"/>
  <c r="BH5" i="6" s="1"/>
  <c r="BI5" i="6" s="1"/>
  <c r="BJ5" i="6" s="1"/>
  <c r="BK5" i="6" s="1"/>
  <c r="BL5" i="6" s="1"/>
  <c r="BM5" i="6" s="1"/>
  <c r="BN5" i="6" s="1"/>
  <c r="BO5" i="6" s="1"/>
  <c r="BP5" i="6" s="1"/>
  <c r="BQ5" i="6" s="1"/>
  <c r="BR5" i="6" s="1"/>
  <c r="BS5" i="6" s="1"/>
  <c r="BT5" i="6" s="1"/>
  <c r="BU5" i="6" s="1"/>
  <c r="BV5" i="6" s="1"/>
  <c r="BW5" i="6" s="1"/>
  <c r="BX5" i="6" s="1"/>
  <c r="BY5" i="6" s="1"/>
  <c r="BZ5" i="6" s="1"/>
  <c r="CA5" i="6" s="1"/>
  <c r="CB5" i="6" s="1"/>
  <c r="CC5" i="6" s="1"/>
  <c r="CD5" i="6" s="1"/>
  <c r="CE5" i="6" s="1"/>
  <c r="CF5" i="6" s="1"/>
  <c r="CG5" i="6" s="1"/>
  <c r="CH5" i="6" s="1"/>
  <c r="CI5" i="6" s="1"/>
  <c r="CJ5" i="6" s="1"/>
  <c r="CK5" i="6" s="1"/>
  <c r="CL5" i="6" s="1"/>
  <c r="CM5" i="6" s="1"/>
  <c r="CN5" i="6" s="1"/>
  <c r="CO5" i="6" s="1"/>
  <c r="BC19" i="6"/>
  <c r="BD19" i="6" s="1"/>
  <c r="BE19" i="6" s="1"/>
  <c r="BF19" i="6" s="1"/>
  <c r="BG19" i="6" s="1"/>
  <c r="BH19" i="6" s="1"/>
  <c r="BI19" i="6" s="1"/>
  <c r="BJ19" i="6" s="1"/>
  <c r="BK19" i="6" s="1"/>
  <c r="BL19" i="6" s="1"/>
  <c r="BM19" i="6" s="1"/>
  <c r="BN19" i="6" s="1"/>
  <c r="BO19" i="6" s="1"/>
  <c r="BP19" i="6" s="1"/>
  <c r="BQ19" i="6" s="1"/>
  <c r="BC49" i="6"/>
  <c r="BD49" i="6" s="1"/>
  <c r="BE49" i="6" s="1"/>
  <c r="BF49" i="6" s="1"/>
  <c r="BG49" i="6" s="1"/>
  <c r="BH49" i="6" s="1"/>
  <c r="BI49" i="6" s="1"/>
  <c r="BJ49" i="6" s="1"/>
  <c r="BK49" i="6" s="1"/>
  <c r="BL49" i="6" s="1"/>
  <c r="BM49" i="6" s="1"/>
  <c r="BN49" i="6" s="1"/>
  <c r="BO49" i="6" s="1"/>
  <c r="BP49" i="6" s="1"/>
  <c r="BQ49" i="6" s="1"/>
  <c r="BR49" i="6" s="1"/>
  <c r="BS49" i="6" s="1"/>
  <c r="BT49" i="6" s="1"/>
  <c r="BU49" i="6" s="1"/>
  <c r="BV49" i="6" s="1"/>
  <c r="BW49" i="6" s="1"/>
  <c r="BX49" i="6" s="1"/>
  <c r="BY49" i="6" s="1"/>
  <c r="BZ49" i="6" s="1"/>
  <c r="CA49" i="6" s="1"/>
  <c r="CB49" i="6" s="1"/>
  <c r="CC49" i="6" s="1"/>
  <c r="CD49" i="6" s="1"/>
  <c r="CE49" i="6" s="1"/>
  <c r="CF49" i="6" s="1"/>
  <c r="CG49" i="6" s="1"/>
  <c r="CH49" i="6" s="1"/>
  <c r="CI49" i="6" s="1"/>
  <c r="CJ49" i="6" s="1"/>
  <c r="CK49" i="6" s="1"/>
  <c r="CL49" i="6" s="1"/>
  <c r="CM49" i="6" s="1"/>
  <c r="CN49" i="6" s="1"/>
  <c r="CO49" i="6" s="1"/>
  <c r="BC61" i="6"/>
  <c r="BD61" i="6" s="1"/>
  <c r="BE61" i="6" s="1"/>
  <c r="BF61" i="6" s="1"/>
  <c r="BG61" i="6" s="1"/>
  <c r="BH61" i="6" s="1"/>
  <c r="BI61" i="6" s="1"/>
  <c r="BJ61" i="6" s="1"/>
  <c r="BK61" i="6" s="1"/>
  <c r="BL61" i="6" s="1"/>
  <c r="BM61" i="6" s="1"/>
  <c r="BN61" i="6" s="1"/>
  <c r="BO61" i="6" s="1"/>
  <c r="BP61" i="6" s="1"/>
  <c r="BQ61" i="6" s="1"/>
  <c r="BR61" i="6" s="1"/>
  <c r="BS61" i="6" s="1"/>
  <c r="BT61" i="6" s="1"/>
  <c r="BU61" i="6" s="1"/>
  <c r="BV61" i="6" s="1"/>
  <c r="BW61" i="6" s="1"/>
  <c r="BX61" i="6" s="1"/>
  <c r="BY61" i="6" s="1"/>
  <c r="BZ61" i="6" s="1"/>
  <c r="CA61" i="6" s="1"/>
  <c r="CB61" i="6" s="1"/>
  <c r="CC61" i="6" s="1"/>
  <c r="CD61" i="6" s="1"/>
  <c r="CE61" i="6" s="1"/>
  <c r="CF61" i="6" s="1"/>
  <c r="CG61" i="6" s="1"/>
  <c r="CH61" i="6" s="1"/>
  <c r="CI61" i="6" s="1"/>
  <c r="CJ61" i="6" s="1"/>
  <c r="CK61" i="6" s="1"/>
  <c r="CL61" i="6" s="1"/>
  <c r="CM61" i="6" s="1"/>
  <c r="CN61" i="6" s="1"/>
  <c r="CO61" i="6" s="1"/>
  <c r="BC126" i="6"/>
  <c r="BD126" i="6" s="1"/>
  <c r="BE126" i="6" s="1"/>
  <c r="BF126" i="6" s="1"/>
  <c r="BG126" i="6" s="1"/>
  <c r="BH126" i="6" s="1"/>
  <c r="BI126" i="6" s="1"/>
  <c r="BJ126" i="6" s="1"/>
  <c r="BK126" i="6" s="1"/>
  <c r="BL126" i="6" s="1"/>
  <c r="BM126" i="6" s="1"/>
  <c r="BN126" i="6" s="1"/>
  <c r="BO126" i="6" s="1"/>
  <c r="BP126" i="6" s="1"/>
  <c r="BQ126" i="6" s="1"/>
  <c r="BR126" i="6" s="1"/>
  <c r="BS126" i="6" s="1"/>
  <c r="BT126" i="6" s="1"/>
  <c r="BU126" i="6" s="1"/>
  <c r="BV126" i="6" s="1"/>
  <c r="BW126" i="6" s="1"/>
  <c r="BX126" i="6" s="1"/>
  <c r="BY126" i="6" s="1"/>
  <c r="BZ126" i="6" s="1"/>
  <c r="CA126" i="6" s="1"/>
  <c r="CB126" i="6" s="1"/>
  <c r="CC126" i="6" s="1"/>
  <c r="CD126" i="6" s="1"/>
  <c r="CE126" i="6" s="1"/>
  <c r="CF126" i="6" s="1"/>
  <c r="CG126" i="6" s="1"/>
  <c r="CH126" i="6" s="1"/>
  <c r="CI126" i="6" s="1"/>
  <c r="CJ126" i="6" s="1"/>
  <c r="CK126" i="6" s="1"/>
  <c r="CL126" i="6" s="1"/>
  <c r="CM126" i="6" s="1"/>
  <c r="CN126" i="6" s="1"/>
  <c r="CO126" i="6" s="1"/>
  <c r="BC211" i="6"/>
  <c r="BD211" i="6" s="1"/>
  <c r="BE211" i="6" s="1"/>
  <c r="BF211" i="6" s="1"/>
  <c r="BG211" i="6" s="1"/>
  <c r="BH211" i="6" s="1"/>
  <c r="BI211" i="6" s="1"/>
  <c r="BJ211" i="6" s="1"/>
  <c r="BK211" i="6" s="1"/>
  <c r="BL211" i="6" s="1"/>
  <c r="BM211" i="6" s="1"/>
  <c r="BN211" i="6" s="1"/>
  <c r="BO211" i="6" s="1"/>
  <c r="BP211" i="6" s="1"/>
  <c r="BQ211" i="6" s="1"/>
  <c r="BR211" i="6" s="1"/>
  <c r="BS211" i="6" s="1"/>
  <c r="BT211" i="6" s="1"/>
  <c r="BU211" i="6" s="1"/>
  <c r="BV211" i="6" s="1"/>
  <c r="BW211" i="6" s="1"/>
  <c r="BX211" i="6" s="1"/>
  <c r="BY211" i="6" s="1"/>
  <c r="BZ211" i="6" s="1"/>
  <c r="CA211" i="6" s="1"/>
  <c r="CB211" i="6" s="1"/>
  <c r="CC211" i="6" s="1"/>
  <c r="CD211" i="6" s="1"/>
  <c r="CE211" i="6" s="1"/>
  <c r="CF211" i="6" s="1"/>
  <c r="CG211" i="6" s="1"/>
  <c r="CH211" i="6" s="1"/>
  <c r="CI211" i="6" s="1"/>
  <c r="CJ211" i="6" s="1"/>
  <c r="CK211" i="6" s="1"/>
  <c r="CL211" i="6" s="1"/>
  <c r="CM211" i="6" s="1"/>
  <c r="CN211" i="6" s="1"/>
  <c r="CO211" i="6" s="1"/>
  <c r="BC13" i="6"/>
  <c r="BD13" i="6" s="1"/>
  <c r="BE13" i="6" s="1"/>
  <c r="BF13" i="6" s="1"/>
  <c r="BG13" i="6" s="1"/>
  <c r="BH13" i="6" s="1"/>
  <c r="BI13" i="6" s="1"/>
  <c r="BJ13" i="6" s="1"/>
  <c r="BK13" i="6" s="1"/>
  <c r="BL13" i="6" s="1"/>
  <c r="BM13" i="6" s="1"/>
  <c r="BN13" i="6" s="1"/>
  <c r="BO13" i="6" s="1"/>
  <c r="BP13" i="6" s="1"/>
  <c r="BQ13" i="6" s="1"/>
  <c r="BR13" i="6" s="1"/>
  <c r="BS13" i="6" s="1"/>
  <c r="BT13" i="6" s="1"/>
  <c r="BU13" i="6" s="1"/>
  <c r="BV13" i="6" s="1"/>
  <c r="BW13" i="6" s="1"/>
  <c r="BX13" i="6" s="1"/>
  <c r="BY13" i="6" s="1"/>
  <c r="BZ13" i="6" s="1"/>
  <c r="CA13" i="6" s="1"/>
  <c r="CB13" i="6" s="1"/>
  <c r="CC13" i="6" s="1"/>
  <c r="CD13" i="6" s="1"/>
  <c r="CE13" i="6" s="1"/>
  <c r="CF13" i="6" s="1"/>
  <c r="CG13" i="6" s="1"/>
  <c r="CH13" i="6" s="1"/>
  <c r="CI13" i="6" s="1"/>
  <c r="CJ13" i="6" s="1"/>
  <c r="CK13" i="6" s="1"/>
  <c r="CL13" i="6" s="1"/>
  <c r="CM13" i="6" s="1"/>
  <c r="CN13" i="6" s="1"/>
  <c r="CO13" i="6" s="1"/>
  <c r="BC201" i="6"/>
  <c r="BD201" i="6" s="1"/>
  <c r="BE201" i="6" s="1"/>
  <c r="BF201" i="6" s="1"/>
  <c r="BG201" i="6" s="1"/>
  <c r="BH201" i="6" s="1"/>
  <c r="BI201" i="6" s="1"/>
  <c r="BJ201" i="6" s="1"/>
  <c r="BK201" i="6" s="1"/>
  <c r="BL201" i="6" s="1"/>
  <c r="BM201" i="6" s="1"/>
  <c r="BN201" i="6" s="1"/>
  <c r="BO201" i="6" s="1"/>
  <c r="BP201" i="6" s="1"/>
  <c r="BQ201" i="6" s="1"/>
  <c r="BR201" i="6" s="1"/>
  <c r="BS201" i="6" s="1"/>
  <c r="BT201" i="6" s="1"/>
  <c r="BU201" i="6" s="1"/>
  <c r="BV201" i="6" s="1"/>
  <c r="BW201" i="6" s="1"/>
  <c r="BX201" i="6" s="1"/>
  <c r="BY201" i="6" s="1"/>
  <c r="BZ201" i="6" s="1"/>
  <c r="CA201" i="6" s="1"/>
  <c r="CB201" i="6" s="1"/>
  <c r="CC201" i="6" s="1"/>
  <c r="CD201" i="6" s="1"/>
  <c r="CE201" i="6" s="1"/>
  <c r="CF201" i="6" s="1"/>
  <c r="CG201" i="6" s="1"/>
  <c r="CH201" i="6" s="1"/>
  <c r="CI201" i="6" s="1"/>
  <c r="CJ201" i="6" s="1"/>
  <c r="CK201" i="6" s="1"/>
  <c r="CL201" i="6" s="1"/>
  <c r="CM201" i="6" s="1"/>
  <c r="CN201" i="6" s="1"/>
  <c r="CO201" i="6" s="1"/>
  <c r="BC237" i="6"/>
  <c r="BD237" i="6" s="1"/>
  <c r="BE237" i="6" s="1"/>
  <c r="BF237" i="6" s="1"/>
  <c r="BG237" i="6" s="1"/>
  <c r="BH237" i="6" s="1"/>
  <c r="BI237" i="6" s="1"/>
  <c r="BJ237" i="6" s="1"/>
  <c r="BK237" i="6" s="1"/>
  <c r="BL237" i="6" s="1"/>
  <c r="BM237" i="6" s="1"/>
  <c r="BN237" i="6" s="1"/>
  <c r="BO237" i="6" s="1"/>
  <c r="BP237" i="6" s="1"/>
  <c r="BQ237" i="6" s="1"/>
  <c r="BR237" i="6" s="1"/>
  <c r="BS237" i="6" s="1"/>
  <c r="BT237" i="6" s="1"/>
  <c r="BU237" i="6" s="1"/>
  <c r="BV237" i="6" s="1"/>
  <c r="BW237" i="6" s="1"/>
  <c r="BX237" i="6" s="1"/>
  <c r="BY237" i="6" s="1"/>
  <c r="BZ237" i="6" s="1"/>
  <c r="CA237" i="6" s="1"/>
  <c r="CB237" i="6" s="1"/>
  <c r="CC237" i="6" s="1"/>
  <c r="CD237" i="6" s="1"/>
  <c r="CE237" i="6" s="1"/>
  <c r="CF237" i="6" s="1"/>
  <c r="CG237" i="6" s="1"/>
  <c r="CH237" i="6" s="1"/>
  <c r="CI237" i="6" s="1"/>
  <c r="CJ237" i="6" s="1"/>
  <c r="CK237" i="6" s="1"/>
  <c r="CL237" i="6" s="1"/>
  <c r="CM237" i="6" s="1"/>
  <c r="CN237" i="6" s="1"/>
  <c r="CO237" i="6" s="1"/>
  <c r="BC195" i="6"/>
  <c r="BD195" i="6" s="1"/>
  <c r="BE195" i="6" s="1"/>
  <c r="BF195" i="6" s="1"/>
  <c r="BG195" i="6" s="1"/>
  <c r="BH195" i="6" s="1"/>
  <c r="BI195" i="6" s="1"/>
  <c r="BJ195" i="6" s="1"/>
  <c r="BK195" i="6" s="1"/>
  <c r="BL195" i="6" s="1"/>
  <c r="BM195" i="6" s="1"/>
  <c r="BN195" i="6" s="1"/>
  <c r="BO195" i="6" s="1"/>
  <c r="BP195" i="6" s="1"/>
  <c r="BQ195" i="6" s="1"/>
  <c r="BR195" i="6" s="1"/>
  <c r="BS195" i="6" s="1"/>
  <c r="BT195" i="6" s="1"/>
  <c r="BU195" i="6" s="1"/>
  <c r="BV195" i="6" s="1"/>
  <c r="BW195" i="6" s="1"/>
  <c r="BX195" i="6" s="1"/>
  <c r="BY195" i="6" s="1"/>
  <c r="BZ195" i="6" s="1"/>
  <c r="CA195" i="6" s="1"/>
  <c r="CB195" i="6" s="1"/>
  <c r="CC195" i="6" s="1"/>
  <c r="CD195" i="6" s="1"/>
  <c r="CE195" i="6" s="1"/>
  <c r="CF195" i="6" s="1"/>
  <c r="CG195" i="6" s="1"/>
  <c r="CH195" i="6" s="1"/>
  <c r="CI195" i="6" s="1"/>
  <c r="CJ195" i="6" s="1"/>
  <c r="CK195" i="6" s="1"/>
  <c r="CL195" i="6" s="1"/>
  <c r="CM195" i="6" s="1"/>
  <c r="CN195" i="6" s="1"/>
  <c r="CO195" i="6" s="1"/>
  <c r="BC360" i="6"/>
  <c r="BD360" i="6" s="1"/>
  <c r="BE360" i="6" s="1"/>
  <c r="BF360" i="6" s="1"/>
  <c r="BG360" i="6" s="1"/>
  <c r="BH360" i="6" s="1"/>
  <c r="BI360" i="6" s="1"/>
  <c r="BJ360" i="6" s="1"/>
  <c r="BK360" i="6" s="1"/>
  <c r="BL360" i="6" s="1"/>
  <c r="BM360" i="6" s="1"/>
  <c r="BN360" i="6" s="1"/>
  <c r="BO360" i="6" s="1"/>
  <c r="BP360" i="6" s="1"/>
  <c r="BQ360" i="6" s="1"/>
  <c r="BR360" i="6" s="1"/>
  <c r="BS360" i="6" s="1"/>
  <c r="BT360" i="6" s="1"/>
  <c r="BU360" i="6" s="1"/>
  <c r="BV360" i="6" s="1"/>
  <c r="BW360" i="6" s="1"/>
  <c r="BX360" i="6" s="1"/>
  <c r="BY360" i="6" s="1"/>
  <c r="BZ360" i="6" s="1"/>
  <c r="CA360" i="6" s="1"/>
  <c r="CB360" i="6" s="1"/>
  <c r="CC360" i="6" s="1"/>
  <c r="CD360" i="6" s="1"/>
  <c r="CE360" i="6" s="1"/>
  <c r="CF360" i="6" s="1"/>
  <c r="CG360" i="6" s="1"/>
  <c r="CH360" i="6" s="1"/>
  <c r="CI360" i="6" s="1"/>
  <c r="CJ360" i="6" s="1"/>
  <c r="CK360" i="6" s="1"/>
  <c r="CL360" i="6" s="1"/>
  <c r="CM360" i="6" s="1"/>
  <c r="CN360" i="6" s="1"/>
  <c r="CO360" i="6" s="1"/>
  <c r="BC273" i="6"/>
  <c r="BD273" i="6" s="1"/>
  <c r="BE273" i="6" s="1"/>
  <c r="BF273" i="6" s="1"/>
  <c r="BG273" i="6" s="1"/>
  <c r="BH273" i="6" s="1"/>
  <c r="BI273" i="6" s="1"/>
  <c r="BJ273" i="6" s="1"/>
  <c r="BK273" i="6" s="1"/>
  <c r="BL273" i="6" s="1"/>
  <c r="BM273" i="6" s="1"/>
  <c r="BN273" i="6" s="1"/>
  <c r="BO273" i="6" s="1"/>
  <c r="BP273" i="6" s="1"/>
  <c r="BQ273" i="6" s="1"/>
  <c r="BR273" i="6" s="1"/>
  <c r="BS273" i="6" s="1"/>
  <c r="BT273" i="6" s="1"/>
  <c r="BU273" i="6" s="1"/>
  <c r="BV273" i="6" s="1"/>
  <c r="BW273" i="6" s="1"/>
  <c r="BX273" i="6" s="1"/>
  <c r="BY273" i="6" s="1"/>
  <c r="BZ273" i="6" s="1"/>
  <c r="CA273" i="6" s="1"/>
  <c r="CB273" i="6" s="1"/>
  <c r="CC273" i="6" s="1"/>
  <c r="CD273" i="6" s="1"/>
  <c r="CE273" i="6" s="1"/>
  <c r="CF273" i="6" s="1"/>
  <c r="CG273" i="6" s="1"/>
  <c r="CH273" i="6" s="1"/>
  <c r="CI273" i="6" s="1"/>
  <c r="CJ273" i="6" s="1"/>
  <c r="CK273" i="6" s="1"/>
  <c r="CL273" i="6" s="1"/>
  <c r="CM273" i="6" s="1"/>
  <c r="CN273" i="6" s="1"/>
  <c r="CO273" i="6" s="1"/>
  <c r="BC281" i="6"/>
  <c r="BD281" i="6" s="1"/>
  <c r="BE281" i="6" s="1"/>
  <c r="BF281" i="6" s="1"/>
  <c r="BG281" i="6" s="1"/>
  <c r="BH281" i="6" s="1"/>
  <c r="BI281" i="6" s="1"/>
  <c r="BJ281" i="6" s="1"/>
  <c r="BK281" i="6" s="1"/>
  <c r="BL281" i="6" s="1"/>
  <c r="BM281" i="6" s="1"/>
  <c r="BN281" i="6" s="1"/>
  <c r="BO281" i="6" s="1"/>
  <c r="BP281" i="6" s="1"/>
  <c r="BQ281" i="6" s="1"/>
  <c r="BR281" i="6" s="1"/>
  <c r="BS281" i="6" s="1"/>
  <c r="BT281" i="6" s="1"/>
  <c r="BU281" i="6" s="1"/>
  <c r="BV281" i="6" s="1"/>
  <c r="BW281" i="6" s="1"/>
  <c r="BX281" i="6" s="1"/>
  <c r="BY281" i="6" s="1"/>
  <c r="BZ281" i="6" s="1"/>
  <c r="CA281" i="6" s="1"/>
  <c r="CB281" i="6" s="1"/>
  <c r="CC281" i="6" s="1"/>
  <c r="CD281" i="6" s="1"/>
  <c r="CE281" i="6" s="1"/>
  <c r="CF281" i="6" s="1"/>
  <c r="CG281" i="6" s="1"/>
  <c r="CH281" i="6" s="1"/>
  <c r="CI281" i="6" s="1"/>
  <c r="CJ281" i="6" s="1"/>
  <c r="CK281" i="6" s="1"/>
  <c r="CL281" i="6" s="1"/>
  <c r="CM281" i="6" s="1"/>
  <c r="CN281" i="6" s="1"/>
  <c r="CO281" i="6" s="1"/>
  <c r="BR19" i="6"/>
  <c r="BS19" i="6" s="1"/>
  <c r="AX354" i="6"/>
  <c r="AY354" i="6" s="1"/>
  <c r="AZ354" i="6" s="1"/>
  <c r="BA354" i="6" s="1"/>
  <c r="BB354" i="6" s="1"/>
  <c r="H87" i="4"/>
  <c r="P277" i="6"/>
  <c r="Q277" i="6" s="1"/>
  <c r="R277" i="6" s="1"/>
  <c r="S277" i="6" s="1"/>
  <c r="T277" i="6" s="1"/>
  <c r="U277" i="6" s="1"/>
  <c r="P235" i="6"/>
  <c r="Q235" i="6" s="1"/>
  <c r="R235" i="6" s="1"/>
  <c r="S235" i="6" s="1"/>
  <c r="T235" i="6" s="1"/>
  <c r="U235" i="6" s="1"/>
  <c r="T64" i="1"/>
  <c r="U64" i="1" s="1"/>
  <c r="V62" i="1"/>
  <c r="W62" i="1" s="1"/>
  <c r="T66" i="1"/>
  <c r="U66" i="1" s="1"/>
  <c r="V51" i="1"/>
  <c r="W51" i="1" s="1"/>
  <c r="X51" i="1" s="1"/>
  <c r="Y51" i="1" s="1"/>
  <c r="Z51" i="1" s="1"/>
  <c r="AA51" i="1" s="1"/>
  <c r="AB51" i="1" s="1"/>
  <c r="AC51" i="1" s="1"/>
  <c r="AD51" i="1" s="1"/>
  <c r="AE51" i="1" s="1"/>
  <c r="AF51" i="1" s="1"/>
  <c r="AG51" i="1" s="1"/>
  <c r="AH51" i="1" s="1"/>
  <c r="AI51" i="1" s="1"/>
  <c r="AJ51" i="1" s="1"/>
  <c r="AK51" i="1" s="1"/>
  <c r="AL51" i="1" s="1"/>
  <c r="AM51" i="1" s="1"/>
  <c r="AN51" i="1" s="1"/>
  <c r="AO51" i="1" s="1"/>
  <c r="AP51" i="1" s="1"/>
  <c r="AQ51" i="1" s="1"/>
  <c r="AR51" i="1" s="1"/>
  <c r="AS51" i="1" s="1"/>
  <c r="AT51" i="1" s="1"/>
  <c r="AU51" i="1" s="1"/>
  <c r="AV51" i="1" s="1"/>
  <c r="AW51" i="1" s="1"/>
  <c r="AX51" i="1" s="1"/>
  <c r="AY51" i="1" s="1"/>
  <c r="AZ51" i="1" s="1"/>
  <c r="BA51" i="1" s="1"/>
  <c r="BB51" i="1" s="1"/>
  <c r="BC51" i="1" s="1"/>
  <c r="BD51" i="1" s="1"/>
  <c r="BE51" i="1" s="1"/>
  <c r="BF51" i="1" s="1"/>
  <c r="BG51" i="1" s="1"/>
  <c r="BH51" i="1" s="1"/>
  <c r="BI51" i="1" s="1"/>
  <c r="BJ51" i="1" s="1"/>
  <c r="BK51" i="1" s="1"/>
  <c r="BL51" i="1" s="1"/>
  <c r="BM51" i="1" s="1"/>
  <c r="BN51" i="1" s="1"/>
  <c r="BO51" i="1" s="1"/>
  <c r="BP51" i="1" s="1"/>
  <c r="BQ51" i="1" s="1"/>
  <c r="BR51" i="1" s="1"/>
  <c r="BS51" i="1" s="1"/>
  <c r="BT51" i="1" s="1"/>
  <c r="BU51" i="1" s="1"/>
  <c r="BV51" i="1" s="1"/>
  <c r="BW51" i="1" s="1"/>
  <c r="BX51" i="1" s="1"/>
  <c r="BY51" i="1" s="1"/>
  <c r="CA51" i="1" s="1"/>
  <c r="CB51" i="1" s="1"/>
  <c r="CC51" i="1" s="1"/>
  <c r="CD51" i="1" s="1"/>
  <c r="CE51" i="1" s="1"/>
  <c r="CF51" i="1" s="1"/>
  <c r="CG51" i="1" s="1"/>
  <c r="CH51" i="1" s="1"/>
  <c r="CI51" i="1" s="1"/>
  <c r="CJ51" i="1" s="1"/>
  <c r="CK51" i="1" s="1"/>
  <c r="T68" i="1"/>
  <c r="U68" i="1" s="1"/>
  <c r="R55" i="1"/>
  <c r="S55" i="1" s="1"/>
  <c r="T55" i="1" s="1"/>
  <c r="U55" i="1" s="1"/>
  <c r="V70" i="1"/>
  <c r="W70" i="1" s="1"/>
  <c r="X70" i="1" s="1"/>
  <c r="Y70" i="1" s="1"/>
  <c r="Z70" i="1" s="1"/>
  <c r="AA70" i="1" s="1"/>
  <c r="AB70" i="1" s="1"/>
  <c r="AC70" i="1" s="1"/>
  <c r="AD70" i="1" s="1"/>
  <c r="AE70" i="1" s="1"/>
  <c r="AF70" i="1" s="1"/>
  <c r="AG70" i="1" s="1"/>
  <c r="AH70" i="1" s="1"/>
  <c r="AI70" i="1" s="1"/>
  <c r="AJ70" i="1" s="1"/>
  <c r="AK70" i="1" s="1"/>
  <c r="AL70" i="1" s="1"/>
  <c r="AM70" i="1" s="1"/>
  <c r="AN70" i="1" s="1"/>
  <c r="AO70" i="1" s="1"/>
  <c r="AP70" i="1" s="1"/>
  <c r="AQ70" i="1" s="1"/>
  <c r="AR70" i="1" s="1"/>
  <c r="AS70" i="1" s="1"/>
  <c r="AT70" i="1" s="1"/>
  <c r="AU70" i="1" s="1"/>
  <c r="AV70" i="1" s="1"/>
  <c r="AW70" i="1" s="1"/>
  <c r="AX70" i="1" s="1"/>
  <c r="AY70" i="1" s="1"/>
  <c r="AZ70" i="1" s="1"/>
  <c r="BA70" i="1" s="1"/>
  <c r="BB70" i="1" s="1"/>
  <c r="BC70" i="1" s="1"/>
  <c r="BD70" i="1" s="1"/>
  <c r="BE70" i="1" s="1"/>
  <c r="BF70" i="1" s="1"/>
  <c r="BG70" i="1" s="1"/>
  <c r="BH70" i="1" s="1"/>
  <c r="BI70" i="1" s="1"/>
  <c r="BJ70" i="1" s="1"/>
  <c r="BK70" i="1" s="1"/>
  <c r="BL70" i="1" s="1"/>
  <c r="BM70" i="1" s="1"/>
  <c r="BN70" i="1" s="1"/>
  <c r="BO70" i="1" s="1"/>
  <c r="BP70" i="1" s="1"/>
  <c r="BQ70" i="1" s="1"/>
  <c r="BR70" i="1" s="1"/>
  <c r="BS70" i="1" s="1"/>
  <c r="BT70" i="1" s="1"/>
  <c r="BU70" i="1" s="1"/>
  <c r="BV70" i="1" s="1"/>
  <c r="BW70" i="1" s="1"/>
  <c r="BX70" i="1" s="1"/>
  <c r="BY70" i="1" s="1"/>
  <c r="CA70" i="1" s="1"/>
  <c r="CB70" i="1" s="1"/>
  <c r="CC70" i="1" s="1"/>
  <c r="CD70" i="1" s="1"/>
  <c r="CE70" i="1" s="1"/>
  <c r="CF70" i="1" s="1"/>
  <c r="CG70" i="1" s="1"/>
  <c r="CH70" i="1" s="1"/>
  <c r="CI70" i="1" s="1"/>
  <c r="CJ70" i="1" s="1"/>
  <c r="CK70" i="1" s="1"/>
  <c r="CP77" i="4"/>
  <c r="HA77" i="4" s="1"/>
  <c r="CP69" i="4"/>
  <c r="HA69" i="4" s="1"/>
  <c r="X346" i="6"/>
  <c r="Y346" i="6" s="1"/>
  <c r="Z346" i="6" s="1"/>
  <c r="AA346" i="6" s="1"/>
  <c r="AB346" i="6" s="1"/>
  <c r="AC346" i="6" s="1"/>
  <c r="AD346" i="6" s="1"/>
  <c r="AE346" i="6" s="1"/>
  <c r="AF346" i="6" s="1"/>
  <c r="AG346" i="6" s="1"/>
  <c r="AH346" i="6" s="1"/>
  <c r="AI346" i="6" s="1"/>
  <c r="AJ346" i="6" s="1"/>
  <c r="AK346" i="6" s="1"/>
  <c r="AL346" i="6" s="1"/>
  <c r="AM346" i="6" s="1"/>
  <c r="AN346" i="6" s="1"/>
  <c r="AO346" i="6" s="1"/>
  <c r="AP346" i="6" s="1"/>
  <c r="AQ346" i="6" s="1"/>
  <c r="AR346" i="6" s="1"/>
  <c r="AS346" i="6" s="1"/>
  <c r="AT346" i="6" s="1"/>
  <c r="AU346" i="6" s="1"/>
  <c r="AV346" i="6" s="1"/>
  <c r="AW346" i="6" s="1"/>
  <c r="AX346" i="6" s="1"/>
  <c r="AY346" i="6" s="1"/>
  <c r="AZ346" i="6" s="1"/>
  <c r="BA346" i="6" s="1"/>
  <c r="BB346" i="6" s="1"/>
  <c r="AB350" i="6"/>
  <c r="AC350" i="6" s="1"/>
  <c r="AD350" i="6" s="1"/>
  <c r="AE350" i="6" s="1"/>
  <c r="AF350" i="6" s="1"/>
  <c r="AG350" i="6" s="1"/>
  <c r="AH350" i="6" s="1"/>
  <c r="AI350" i="6" s="1"/>
  <c r="AJ350" i="6" s="1"/>
  <c r="AK350" i="6" s="1"/>
  <c r="AL350" i="6" s="1"/>
  <c r="AM350" i="6" s="1"/>
  <c r="AN350" i="6" s="1"/>
  <c r="AO350" i="6" s="1"/>
  <c r="AP350" i="6" s="1"/>
  <c r="AQ350" i="6" s="1"/>
  <c r="AR350" i="6" s="1"/>
  <c r="AS350" i="6" s="1"/>
  <c r="AT350" i="6" s="1"/>
  <c r="AU350" i="6" s="1"/>
  <c r="AV350" i="6" s="1"/>
  <c r="AW350" i="6" s="1"/>
  <c r="AX350" i="6" s="1"/>
  <c r="AY350" i="6" s="1"/>
  <c r="AZ350" i="6" s="1"/>
  <c r="BA350" i="6" s="1"/>
  <c r="BB350" i="6" s="1"/>
  <c r="X285" i="6"/>
  <c r="Y285" i="6" s="1"/>
  <c r="Z285" i="6" s="1"/>
  <c r="AA285" i="6" s="1"/>
  <c r="AB285" i="6" s="1"/>
  <c r="AC285" i="6" s="1"/>
  <c r="AD285" i="6" s="1"/>
  <c r="AE285" i="6" s="1"/>
  <c r="AF285" i="6" s="1"/>
  <c r="AG285" i="6" s="1"/>
  <c r="AH285" i="6" s="1"/>
  <c r="AI285" i="6" s="1"/>
  <c r="AJ285" i="6" s="1"/>
  <c r="AK285" i="6" s="1"/>
  <c r="AL285" i="6" s="1"/>
  <c r="AM285" i="6" s="1"/>
  <c r="AN285" i="6" s="1"/>
  <c r="AO285" i="6" s="1"/>
  <c r="AP285" i="6" s="1"/>
  <c r="AQ285" i="6" s="1"/>
  <c r="AR285" i="6" s="1"/>
  <c r="AS285" i="6" s="1"/>
  <c r="AT285" i="6" s="1"/>
  <c r="AU285" i="6" s="1"/>
  <c r="AV285" i="6" s="1"/>
  <c r="AW285" i="6" s="1"/>
  <c r="AX285" i="6" s="1"/>
  <c r="AY285" i="6" s="1"/>
  <c r="AZ285" i="6" s="1"/>
  <c r="BA285" i="6" s="1"/>
  <c r="BB285" i="6" s="1"/>
  <c r="X283" i="6"/>
  <c r="Y283" i="6" s="1"/>
  <c r="Z283" i="6" s="1"/>
  <c r="AA283" i="6" s="1"/>
  <c r="AB283" i="6" s="1"/>
  <c r="AC283" i="6" s="1"/>
  <c r="AD283" i="6" s="1"/>
  <c r="AE283" i="6" s="1"/>
  <c r="AF283" i="6" s="1"/>
  <c r="AG283" i="6" s="1"/>
  <c r="AH283" i="6" s="1"/>
  <c r="AI283" i="6" s="1"/>
  <c r="AJ283" i="6" s="1"/>
  <c r="AK283" i="6" s="1"/>
  <c r="AL283" i="6" s="1"/>
  <c r="AM283" i="6" s="1"/>
  <c r="AN283" i="6" s="1"/>
  <c r="AO283" i="6" s="1"/>
  <c r="AP283" i="6" s="1"/>
  <c r="AQ283" i="6" s="1"/>
  <c r="AR283" i="6" s="1"/>
  <c r="AS283" i="6" s="1"/>
  <c r="AT283" i="6" s="1"/>
  <c r="AU283" i="6" s="1"/>
  <c r="AV283" i="6" s="1"/>
  <c r="AW283" i="6" s="1"/>
  <c r="AX283" i="6" s="1"/>
  <c r="AY283" i="6" s="1"/>
  <c r="AZ283" i="6" s="1"/>
  <c r="BA283" i="6" s="1"/>
  <c r="BB283" i="6" s="1"/>
  <c r="AT362" i="6"/>
  <c r="AU362" i="6" s="1"/>
  <c r="AV362" i="6" s="1"/>
  <c r="AW362" i="6" s="1"/>
  <c r="V275" i="6"/>
  <c r="W275" i="6" s="1"/>
  <c r="X275" i="6" s="1"/>
  <c r="Y275" i="6" s="1"/>
  <c r="Z275" i="6" s="1"/>
  <c r="AA275" i="6" s="1"/>
  <c r="AB275" i="6" s="1"/>
  <c r="AC275" i="6" s="1"/>
  <c r="AD275" i="6" s="1"/>
  <c r="AE275" i="6" s="1"/>
  <c r="AF275" i="6" s="1"/>
  <c r="AG275" i="6" s="1"/>
  <c r="AH275" i="6" s="1"/>
  <c r="AI275" i="6" s="1"/>
  <c r="AJ275" i="6" s="1"/>
  <c r="AK275" i="6" s="1"/>
  <c r="AL275" i="6" s="1"/>
  <c r="AM275" i="6" s="1"/>
  <c r="AN275" i="6" s="1"/>
  <c r="AO275" i="6" s="1"/>
  <c r="AP275" i="6" s="1"/>
  <c r="AQ275" i="6" s="1"/>
  <c r="AR275" i="6" s="1"/>
  <c r="AS275" i="6" s="1"/>
  <c r="AT275" i="6" s="1"/>
  <c r="AU275" i="6" s="1"/>
  <c r="AV275" i="6" s="1"/>
  <c r="AW275" i="6" s="1"/>
  <c r="AX275" i="6" s="1"/>
  <c r="AY275" i="6" s="1"/>
  <c r="AZ275" i="6" s="1"/>
  <c r="BA275" i="6" s="1"/>
  <c r="BB275" i="6" s="1"/>
  <c r="V289" i="6"/>
  <c r="W289" i="6" s="1"/>
  <c r="V287" i="6"/>
  <c r="W287" i="6" s="1"/>
  <c r="V299" i="6"/>
  <c r="W299" i="6" s="1"/>
  <c r="X299" i="6" s="1"/>
  <c r="Y299" i="6" s="1"/>
  <c r="Z299" i="6" s="1"/>
  <c r="AA299" i="6" s="1"/>
  <c r="AB299" i="6" s="1"/>
  <c r="AC299" i="6" s="1"/>
  <c r="AD299" i="6" s="1"/>
  <c r="AE299" i="6" s="1"/>
  <c r="AF299" i="6" s="1"/>
  <c r="AG299" i="6" s="1"/>
  <c r="AH299" i="6" s="1"/>
  <c r="AI299" i="6" s="1"/>
  <c r="AJ299" i="6" s="1"/>
  <c r="AK299" i="6" s="1"/>
  <c r="AL299" i="6" s="1"/>
  <c r="AM299" i="6" s="1"/>
  <c r="AN299" i="6" s="1"/>
  <c r="AO299" i="6" s="1"/>
  <c r="AP299" i="6" s="1"/>
  <c r="AQ299" i="6" s="1"/>
  <c r="AR299" i="6" s="1"/>
  <c r="AS299" i="6" s="1"/>
  <c r="AT299" i="6" s="1"/>
  <c r="AU299" i="6" s="1"/>
  <c r="AV299" i="6" s="1"/>
  <c r="AW299" i="6" s="1"/>
  <c r="AX299" i="6" s="1"/>
  <c r="AY299" i="6" s="1"/>
  <c r="AZ299" i="6" s="1"/>
  <c r="BA299" i="6" s="1"/>
  <c r="BB299" i="6" s="1"/>
  <c r="V295" i="6"/>
  <c r="W295" i="6" s="1"/>
  <c r="X295" i="6" s="1"/>
  <c r="Y295" i="6" s="1"/>
  <c r="Z295" i="6" s="1"/>
  <c r="AA295" i="6" s="1"/>
  <c r="AB295" i="6" s="1"/>
  <c r="AC295" i="6" s="1"/>
  <c r="AD295" i="6" s="1"/>
  <c r="AE295" i="6" s="1"/>
  <c r="AF295" i="6" s="1"/>
  <c r="AG295" i="6" s="1"/>
  <c r="AH295" i="6" s="1"/>
  <c r="AI295" i="6" s="1"/>
  <c r="AJ295" i="6" s="1"/>
  <c r="AK295" i="6" s="1"/>
  <c r="AL295" i="6" s="1"/>
  <c r="AM295" i="6" s="1"/>
  <c r="AN295" i="6" s="1"/>
  <c r="AO295" i="6" s="1"/>
  <c r="AP295" i="6" s="1"/>
  <c r="AQ295" i="6" s="1"/>
  <c r="AR295" i="6" s="1"/>
  <c r="AS295" i="6" s="1"/>
  <c r="AT295" i="6" s="1"/>
  <c r="AU295" i="6" s="1"/>
  <c r="AV295" i="6" s="1"/>
  <c r="AW295" i="6" s="1"/>
  <c r="AX295" i="6" s="1"/>
  <c r="AY295" i="6" s="1"/>
  <c r="AZ295" i="6" s="1"/>
  <c r="BA295" i="6" s="1"/>
  <c r="BB295" i="6" s="1"/>
  <c r="V263" i="6"/>
  <c r="W263" i="6" s="1"/>
  <c r="AH293" i="6"/>
  <c r="AI293" i="6" s="1"/>
  <c r="R291" i="6"/>
  <c r="S291" i="6" s="1"/>
  <c r="T291" i="6" s="1"/>
  <c r="U291" i="6" s="1"/>
  <c r="X71" i="4"/>
  <c r="Y71" i="4"/>
  <c r="Z71" i="4" s="1"/>
  <c r="AA71" i="4" s="1"/>
  <c r="AA43" i="4"/>
  <c r="AB43" i="4" s="1"/>
  <c r="AC43" i="4" s="1"/>
  <c r="AD43" i="4" s="1"/>
  <c r="AE43" i="4" s="1"/>
  <c r="AF43" i="4" s="1"/>
  <c r="AG43" i="4" s="1"/>
  <c r="AH43" i="4" s="1"/>
  <c r="AI43" i="4" s="1"/>
  <c r="AJ43" i="4" s="1"/>
  <c r="AK43" i="4" s="1"/>
  <c r="AL43" i="4" s="1"/>
  <c r="AM43" i="4" s="1"/>
  <c r="AN43" i="4" s="1"/>
  <c r="AO43" i="4" s="1"/>
  <c r="AP43" i="4" s="1"/>
  <c r="AQ43" i="4" s="1"/>
  <c r="AR43" i="4" s="1"/>
  <c r="AS43" i="4" s="1"/>
  <c r="AT43" i="4" s="1"/>
  <c r="AU43" i="4" s="1"/>
  <c r="AV43" i="4" s="1"/>
  <c r="AW43" i="4" s="1"/>
  <c r="AX43" i="4" s="1"/>
  <c r="AY43" i="4" s="1"/>
  <c r="AZ43" i="4" s="1"/>
  <c r="BA43" i="4" s="1"/>
  <c r="BB43" i="4" s="1"/>
  <c r="BC43" i="4" s="1"/>
  <c r="BD43" i="4" s="1"/>
  <c r="BE43" i="4" s="1"/>
  <c r="BF43" i="4" s="1"/>
  <c r="BG43" i="4" s="1"/>
  <c r="BH43" i="4" s="1"/>
  <c r="BI43" i="4" s="1"/>
  <c r="BJ43" i="4" s="1"/>
  <c r="BK43" i="4" s="1"/>
  <c r="BL43" i="4" s="1"/>
  <c r="BM43" i="4" s="1"/>
  <c r="BN43" i="4" s="1"/>
  <c r="BO43" i="4" s="1"/>
  <c r="BP43" i="4" s="1"/>
  <c r="BQ43" i="4" s="1"/>
  <c r="BR43" i="4" s="1"/>
  <c r="BS43" i="4" s="1"/>
  <c r="BT43" i="4" s="1"/>
  <c r="BU43" i="4" s="1"/>
  <c r="BV43" i="4" s="1"/>
  <c r="BW43" i="4" s="1"/>
  <c r="BX43" i="4" s="1"/>
  <c r="BY43" i="4" s="1"/>
  <c r="BZ43" i="4" s="1"/>
  <c r="CA43" i="4" s="1"/>
  <c r="CB43" i="4" s="1"/>
  <c r="CC43" i="4" s="1"/>
  <c r="CD43" i="4" s="1"/>
  <c r="CE43" i="4" s="1"/>
  <c r="CF43" i="4" s="1"/>
  <c r="CG43" i="4" s="1"/>
  <c r="CH43" i="4" s="1"/>
  <c r="CI43" i="4" s="1"/>
  <c r="CJ43" i="4" s="1"/>
  <c r="CK43" i="4" s="1"/>
  <c r="CL43" i="4" s="1"/>
  <c r="CM43" i="4" s="1"/>
  <c r="CN43" i="4" s="1"/>
  <c r="CO43" i="4" s="1"/>
  <c r="X124" i="6"/>
  <c r="Y124" i="6" s="1"/>
  <c r="Z124" i="6" s="1"/>
  <c r="AA124" i="6" s="1"/>
  <c r="AB124" i="6" s="1"/>
  <c r="AC124" i="6" s="1"/>
  <c r="AD124" i="6" s="1"/>
  <c r="AE124" i="6" s="1"/>
  <c r="AF124" i="6" s="1"/>
  <c r="AG124" i="6" s="1"/>
  <c r="AH124" i="6" s="1"/>
  <c r="AI124" i="6" s="1"/>
  <c r="AJ124" i="6" s="1"/>
  <c r="AK124" i="6" s="1"/>
  <c r="AL124" i="6" s="1"/>
  <c r="AM124" i="6" s="1"/>
  <c r="AN124" i="6" s="1"/>
  <c r="AO124" i="6" s="1"/>
  <c r="AP124" i="6" s="1"/>
  <c r="AQ124" i="6" s="1"/>
  <c r="AR124" i="6" s="1"/>
  <c r="AS124" i="6" s="1"/>
  <c r="AT124" i="6" s="1"/>
  <c r="AU124" i="6" s="1"/>
  <c r="AV124" i="6" s="1"/>
  <c r="AW124" i="6" s="1"/>
  <c r="AX124" i="6" s="1"/>
  <c r="AY124" i="6" s="1"/>
  <c r="AZ124" i="6" s="1"/>
  <c r="BA124" i="6" s="1"/>
  <c r="BB124" i="6" s="1"/>
  <c r="Z134" i="6"/>
  <c r="AA134" i="6" s="1"/>
  <c r="X120" i="6"/>
  <c r="Y120" i="6" s="1"/>
  <c r="Z120" i="6" s="1"/>
  <c r="AA120" i="6" s="1"/>
  <c r="AB120" i="6" s="1"/>
  <c r="AC120" i="6" s="1"/>
  <c r="AD120" i="6" s="1"/>
  <c r="AE120" i="6" s="1"/>
  <c r="AF120" i="6" s="1"/>
  <c r="AG120" i="6" s="1"/>
  <c r="AH120" i="6" s="1"/>
  <c r="AI120" i="6" s="1"/>
  <c r="AJ120" i="6" s="1"/>
  <c r="AK120" i="6" s="1"/>
  <c r="AL120" i="6" s="1"/>
  <c r="AM120" i="6" s="1"/>
  <c r="AN120" i="6" s="1"/>
  <c r="AO120" i="6" s="1"/>
  <c r="AP120" i="6" s="1"/>
  <c r="AQ120" i="6" s="1"/>
  <c r="AR120" i="6" s="1"/>
  <c r="AS120" i="6" s="1"/>
  <c r="AT120" i="6" s="1"/>
  <c r="AU120" i="6" s="1"/>
  <c r="AV120" i="6" s="1"/>
  <c r="AW120" i="6" s="1"/>
  <c r="AX120" i="6" s="1"/>
  <c r="AY120" i="6" s="1"/>
  <c r="AZ120" i="6" s="1"/>
  <c r="BA120" i="6" s="1"/>
  <c r="BB120" i="6" s="1"/>
  <c r="X41" i="6"/>
  <c r="Y41" i="6" s="1"/>
  <c r="Z41" i="6" s="1"/>
  <c r="AA41" i="6" s="1"/>
  <c r="AB41" i="6" s="1"/>
  <c r="AC41" i="6" s="1"/>
  <c r="AD41" i="6" s="1"/>
  <c r="AE41" i="6" s="1"/>
  <c r="AF41" i="6" s="1"/>
  <c r="AG41" i="6" s="1"/>
  <c r="AH41" i="6" s="1"/>
  <c r="AI41" i="6" s="1"/>
  <c r="AJ41" i="6" s="1"/>
  <c r="AK41" i="6" s="1"/>
  <c r="AL41" i="6" s="1"/>
  <c r="AM41" i="6" s="1"/>
  <c r="AN41" i="6" s="1"/>
  <c r="AO41" i="6" s="1"/>
  <c r="AP41" i="6" s="1"/>
  <c r="AQ41" i="6" s="1"/>
  <c r="AR41" i="6" s="1"/>
  <c r="AS41" i="6" s="1"/>
  <c r="AT41" i="6" s="1"/>
  <c r="AU41" i="6" s="1"/>
  <c r="AV41" i="6" s="1"/>
  <c r="AW41" i="6" s="1"/>
  <c r="AX41" i="6" s="1"/>
  <c r="AY41" i="6" s="1"/>
  <c r="AZ41" i="6" s="1"/>
  <c r="BA41" i="6" s="1"/>
  <c r="BB41" i="6" s="1"/>
  <c r="X37" i="6"/>
  <c r="Y37" i="6" s="1"/>
  <c r="Z37" i="6" s="1"/>
  <c r="AA37" i="6" s="1"/>
  <c r="AB37" i="6" s="1"/>
  <c r="AC37" i="6" s="1"/>
  <c r="AD37" i="6" s="1"/>
  <c r="AE37" i="6" s="1"/>
  <c r="AF37" i="6" s="1"/>
  <c r="AG37" i="6" s="1"/>
  <c r="AH37" i="6" s="1"/>
  <c r="AI37" i="6" s="1"/>
  <c r="AJ37" i="6" s="1"/>
  <c r="AK37" i="6" s="1"/>
  <c r="AL37" i="6" s="1"/>
  <c r="AM37" i="6" s="1"/>
  <c r="AN37" i="6" s="1"/>
  <c r="AO37" i="6" s="1"/>
  <c r="AP37" i="6" s="1"/>
  <c r="AQ37" i="6" s="1"/>
  <c r="AR37" i="6" s="1"/>
  <c r="AS37" i="6" s="1"/>
  <c r="AT37" i="6" s="1"/>
  <c r="AU37" i="6" s="1"/>
  <c r="AV37" i="6" s="1"/>
  <c r="AW37" i="6" s="1"/>
  <c r="AX37" i="6" s="1"/>
  <c r="AY37" i="6" s="1"/>
  <c r="AZ37" i="6" s="1"/>
  <c r="BA37" i="6" s="1"/>
  <c r="BB37" i="6" s="1"/>
  <c r="AB217" i="6"/>
  <c r="AC217" i="6" s="1"/>
  <c r="AD217" i="6" s="1"/>
  <c r="AE217" i="6" s="1"/>
  <c r="AF217" i="6" s="1"/>
  <c r="AG217" i="6" s="1"/>
  <c r="AH217" i="6" s="1"/>
  <c r="AI217" i="6" s="1"/>
  <c r="AJ217" i="6" s="1"/>
  <c r="AK217" i="6" s="1"/>
  <c r="AL217" i="6" s="1"/>
  <c r="AM217" i="6" s="1"/>
  <c r="AN217" i="6" s="1"/>
  <c r="AO217" i="6" s="1"/>
  <c r="AP217" i="6" s="1"/>
  <c r="AQ217" i="6" s="1"/>
  <c r="AR217" i="6" s="1"/>
  <c r="AS217" i="6" s="1"/>
  <c r="AT217" i="6" s="1"/>
  <c r="AU217" i="6" s="1"/>
  <c r="AV217" i="6" s="1"/>
  <c r="AW217" i="6" s="1"/>
  <c r="AX217" i="6" s="1"/>
  <c r="AY217" i="6" s="1"/>
  <c r="AZ217" i="6" s="1"/>
  <c r="BA217" i="6" s="1"/>
  <c r="BB217" i="6" s="1"/>
  <c r="AB191" i="6"/>
  <c r="AC191" i="6" s="1"/>
  <c r="AD191" i="6" s="1"/>
  <c r="AE191" i="6" s="1"/>
  <c r="AF191" i="6" s="1"/>
  <c r="AG191" i="6" s="1"/>
  <c r="AH191" i="6" s="1"/>
  <c r="AI191" i="6" s="1"/>
  <c r="AJ191" i="6" s="1"/>
  <c r="AK191" i="6" s="1"/>
  <c r="AL191" i="6" s="1"/>
  <c r="AM191" i="6" s="1"/>
  <c r="AN191" i="6" s="1"/>
  <c r="AO191" i="6" s="1"/>
  <c r="AP191" i="6" s="1"/>
  <c r="AQ191" i="6" s="1"/>
  <c r="AR191" i="6" s="1"/>
  <c r="AS191" i="6" s="1"/>
  <c r="AT191" i="6" s="1"/>
  <c r="AU191" i="6" s="1"/>
  <c r="AV191" i="6" s="1"/>
  <c r="AW191" i="6" s="1"/>
  <c r="AX191" i="6" s="1"/>
  <c r="AY191" i="6" s="1"/>
  <c r="AZ191" i="6" s="1"/>
  <c r="BA191" i="6" s="1"/>
  <c r="BB191" i="6" s="1"/>
  <c r="X98" i="6"/>
  <c r="Y98" i="6" s="1"/>
  <c r="Z98" i="6" s="1"/>
  <c r="AA98" i="6" s="1"/>
  <c r="AB98" i="6" s="1"/>
  <c r="AC98" i="6" s="1"/>
  <c r="AD98" i="6" s="1"/>
  <c r="AE98" i="6" s="1"/>
  <c r="AF98" i="6" s="1"/>
  <c r="AG98" i="6" s="1"/>
  <c r="AH98" i="6" s="1"/>
  <c r="AI98" i="6" s="1"/>
  <c r="AJ98" i="6" s="1"/>
  <c r="AK98" i="6" s="1"/>
  <c r="AL98" i="6" s="1"/>
  <c r="AM98" i="6" s="1"/>
  <c r="AN98" i="6" s="1"/>
  <c r="AO98" i="6" s="1"/>
  <c r="AP98" i="6" s="1"/>
  <c r="AQ98" i="6" s="1"/>
  <c r="AR98" i="6" s="1"/>
  <c r="AS98" i="6" s="1"/>
  <c r="AT98" i="6" s="1"/>
  <c r="AU98" i="6" s="1"/>
  <c r="AV98" i="6" s="1"/>
  <c r="AW98" i="6" s="1"/>
  <c r="AX98" i="6" s="1"/>
  <c r="AY98" i="6" s="1"/>
  <c r="AZ98" i="6" s="1"/>
  <c r="BA98" i="6" s="1"/>
  <c r="BB98" i="6" s="1"/>
  <c r="X225" i="6"/>
  <c r="Y225" i="6" s="1"/>
  <c r="Z225" i="6" s="1"/>
  <c r="AA225" i="6" s="1"/>
  <c r="AB225" i="6" s="1"/>
  <c r="AC225" i="6" s="1"/>
  <c r="AD225" i="6" s="1"/>
  <c r="AE225" i="6" s="1"/>
  <c r="AF225" i="6" s="1"/>
  <c r="AG225" i="6" s="1"/>
  <c r="AH225" i="6" s="1"/>
  <c r="AI225" i="6" s="1"/>
  <c r="AJ225" i="6" s="1"/>
  <c r="AK225" i="6" s="1"/>
  <c r="AL225" i="6" s="1"/>
  <c r="AM225" i="6" s="1"/>
  <c r="AN225" i="6" s="1"/>
  <c r="AO225" i="6" s="1"/>
  <c r="AP225" i="6" s="1"/>
  <c r="AQ225" i="6" s="1"/>
  <c r="AR225" i="6" s="1"/>
  <c r="AS225" i="6" s="1"/>
  <c r="AT225" i="6" s="1"/>
  <c r="AU225" i="6" s="1"/>
  <c r="AV225" i="6" s="1"/>
  <c r="AW225" i="6" s="1"/>
  <c r="AX225" i="6" s="1"/>
  <c r="AY225" i="6" s="1"/>
  <c r="AZ225" i="6" s="1"/>
  <c r="BA225" i="6" s="1"/>
  <c r="BB225" i="6" s="1"/>
  <c r="X55" i="6"/>
  <c r="Y55" i="6" s="1"/>
  <c r="Z55" i="6" s="1"/>
  <c r="AA55" i="6" s="1"/>
  <c r="AB55" i="6" s="1"/>
  <c r="AC55" i="6" s="1"/>
  <c r="AD55" i="6" s="1"/>
  <c r="AE55" i="6" s="1"/>
  <c r="AF55" i="6" s="1"/>
  <c r="AG55" i="6" s="1"/>
  <c r="AH55" i="6" s="1"/>
  <c r="AI55" i="6" s="1"/>
  <c r="AJ55" i="6" s="1"/>
  <c r="AK55" i="6" s="1"/>
  <c r="AL55" i="6" s="1"/>
  <c r="AM55" i="6" s="1"/>
  <c r="AN55" i="6" s="1"/>
  <c r="AO55" i="6" s="1"/>
  <c r="AP55" i="6" s="1"/>
  <c r="AQ55" i="6" s="1"/>
  <c r="AR55" i="6" s="1"/>
  <c r="AS55" i="6" s="1"/>
  <c r="AT55" i="6" s="1"/>
  <c r="AU55" i="6" s="1"/>
  <c r="AV55" i="6" s="1"/>
  <c r="AW55" i="6" s="1"/>
  <c r="AX55" i="6" s="1"/>
  <c r="AY55" i="6" s="1"/>
  <c r="AZ55" i="6" s="1"/>
  <c r="BA55" i="6" s="1"/>
  <c r="BB55" i="6" s="1"/>
  <c r="X241" i="6"/>
  <c r="Y241" i="6" s="1"/>
  <c r="Z241" i="6" s="1"/>
  <c r="AA241" i="6" s="1"/>
  <c r="AB241" i="6" s="1"/>
  <c r="AC241" i="6" s="1"/>
  <c r="AD241" i="6" s="1"/>
  <c r="AE241" i="6" s="1"/>
  <c r="AF241" i="6" s="1"/>
  <c r="AG241" i="6" s="1"/>
  <c r="AH241" i="6" s="1"/>
  <c r="AI241" i="6" s="1"/>
  <c r="AJ241" i="6" s="1"/>
  <c r="AK241" i="6" s="1"/>
  <c r="AL241" i="6" s="1"/>
  <c r="AM241" i="6" s="1"/>
  <c r="AN241" i="6" s="1"/>
  <c r="AO241" i="6" s="1"/>
  <c r="AP241" i="6" s="1"/>
  <c r="AQ241" i="6" s="1"/>
  <c r="AR241" i="6" s="1"/>
  <c r="AS241" i="6" s="1"/>
  <c r="AT241" i="6" s="1"/>
  <c r="AU241" i="6" s="1"/>
  <c r="AV241" i="6" s="1"/>
  <c r="AW241" i="6" s="1"/>
  <c r="AX241" i="6" s="1"/>
  <c r="AY241" i="6" s="1"/>
  <c r="AZ241" i="6" s="1"/>
  <c r="BA241" i="6" s="1"/>
  <c r="BB241" i="6" s="1"/>
  <c r="X11" i="6"/>
  <c r="Y11" i="6" s="1"/>
  <c r="Z11" i="6" s="1"/>
  <c r="AA11" i="6" s="1"/>
  <c r="AB11" i="6" s="1"/>
  <c r="AC11" i="6" s="1"/>
  <c r="AD11" i="6" s="1"/>
  <c r="AE11" i="6" s="1"/>
  <c r="AF11" i="6" s="1"/>
  <c r="AG11" i="6" s="1"/>
  <c r="AH11" i="6" s="1"/>
  <c r="AI11" i="6" s="1"/>
  <c r="AJ11" i="6" s="1"/>
  <c r="AK11" i="6" s="1"/>
  <c r="AL11" i="6" s="1"/>
  <c r="AM11" i="6" s="1"/>
  <c r="AN11" i="6" s="1"/>
  <c r="AO11" i="6" s="1"/>
  <c r="AP11" i="6" s="1"/>
  <c r="AQ11" i="6" s="1"/>
  <c r="AR11" i="6" s="1"/>
  <c r="AS11" i="6" s="1"/>
  <c r="AT11" i="6" s="1"/>
  <c r="AU11" i="6" s="1"/>
  <c r="AV11" i="6" s="1"/>
  <c r="AW11" i="6" s="1"/>
  <c r="AX11" i="6" s="1"/>
  <c r="AY11" i="6" s="1"/>
  <c r="AZ11" i="6" s="1"/>
  <c r="BA11" i="6" s="1"/>
  <c r="BB11" i="6" s="1"/>
  <c r="V132" i="6"/>
  <c r="W132" i="6" s="1"/>
  <c r="X132" i="6" s="1"/>
  <c r="Y132" i="6" s="1"/>
  <c r="V223" i="6"/>
  <c r="W223" i="6" s="1"/>
  <c r="X223" i="6" s="1"/>
  <c r="Y223" i="6" s="1"/>
  <c r="Z223" i="6" s="1"/>
  <c r="AA223" i="6" s="1"/>
  <c r="AB223" i="6" s="1"/>
  <c r="AC223" i="6" s="1"/>
  <c r="AD223" i="6" s="1"/>
  <c r="AE223" i="6" s="1"/>
  <c r="AF223" i="6" s="1"/>
  <c r="AG223" i="6" s="1"/>
  <c r="AH223" i="6" s="1"/>
  <c r="AI223" i="6" s="1"/>
  <c r="AJ223" i="6" s="1"/>
  <c r="AK223" i="6" s="1"/>
  <c r="AL223" i="6" s="1"/>
  <c r="AM223" i="6" s="1"/>
  <c r="AN223" i="6" s="1"/>
  <c r="AO223" i="6" s="1"/>
  <c r="AP223" i="6" s="1"/>
  <c r="AQ223" i="6" s="1"/>
  <c r="AR223" i="6" s="1"/>
  <c r="AS223" i="6" s="1"/>
  <c r="AT223" i="6" s="1"/>
  <c r="AU223" i="6" s="1"/>
  <c r="AV223" i="6" s="1"/>
  <c r="AW223" i="6" s="1"/>
  <c r="AX223" i="6" s="1"/>
  <c r="AY223" i="6" s="1"/>
  <c r="AZ223" i="6" s="1"/>
  <c r="BA223" i="6" s="1"/>
  <c r="BB223" i="6" s="1"/>
  <c r="V110" i="6"/>
  <c r="W110" i="6" s="1"/>
  <c r="X110" i="6" s="1"/>
  <c r="Y110" i="6" s="1"/>
  <c r="Z110" i="6" s="1"/>
  <c r="AA110" i="6" s="1"/>
  <c r="AB110" i="6" s="1"/>
  <c r="AC110" i="6" s="1"/>
  <c r="AD110" i="6" s="1"/>
  <c r="AE110" i="6" s="1"/>
  <c r="AF110" i="6" s="1"/>
  <c r="AG110" i="6" s="1"/>
  <c r="AH110" i="6" s="1"/>
  <c r="AI110" i="6" s="1"/>
  <c r="AJ110" i="6" s="1"/>
  <c r="AK110" i="6" s="1"/>
  <c r="AL110" i="6" s="1"/>
  <c r="AM110" i="6" s="1"/>
  <c r="AN110" i="6" s="1"/>
  <c r="AO110" i="6" s="1"/>
  <c r="AP110" i="6" s="1"/>
  <c r="AQ110" i="6" s="1"/>
  <c r="AR110" i="6" s="1"/>
  <c r="AS110" i="6" s="1"/>
  <c r="AT110" i="6" s="1"/>
  <c r="AU110" i="6" s="1"/>
  <c r="AV110" i="6" s="1"/>
  <c r="AW110" i="6" s="1"/>
  <c r="AX110" i="6" s="1"/>
  <c r="AY110" i="6" s="1"/>
  <c r="AZ110" i="6" s="1"/>
  <c r="BA110" i="6" s="1"/>
  <c r="BB110" i="6" s="1"/>
  <c r="Z203" i="6"/>
  <c r="AA203" i="6" s="1"/>
  <c r="AB203" i="6" s="1"/>
  <c r="AC203" i="6" s="1"/>
  <c r="AD203" i="6" s="1"/>
  <c r="AE203" i="6" s="1"/>
  <c r="AF203" i="6" s="1"/>
  <c r="AG203" i="6" s="1"/>
  <c r="AH203" i="6" s="1"/>
  <c r="AI203" i="6" s="1"/>
  <c r="AJ203" i="6" s="1"/>
  <c r="AK203" i="6" s="1"/>
  <c r="AL203" i="6" s="1"/>
  <c r="AM203" i="6" s="1"/>
  <c r="AN203" i="6" s="1"/>
  <c r="AO203" i="6" s="1"/>
  <c r="AP203" i="6" s="1"/>
  <c r="AQ203" i="6" s="1"/>
  <c r="AR203" i="6" s="1"/>
  <c r="AS203" i="6" s="1"/>
  <c r="AT203" i="6" s="1"/>
  <c r="AU203" i="6" s="1"/>
  <c r="AV203" i="6" s="1"/>
  <c r="AW203" i="6" s="1"/>
  <c r="AX203" i="6" s="1"/>
  <c r="AY203" i="6" s="1"/>
  <c r="AZ203" i="6" s="1"/>
  <c r="BA203" i="6" s="1"/>
  <c r="BB203" i="6" s="1"/>
  <c r="Z136" i="6"/>
  <c r="AA136" i="6" s="1"/>
  <c r="AB136" i="6" s="1"/>
  <c r="AC136" i="6" s="1"/>
  <c r="AD136" i="6" s="1"/>
  <c r="AE136" i="6" s="1"/>
  <c r="AF136" i="6" s="1"/>
  <c r="AG136" i="6" s="1"/>
  <c r="AH136" i="6" s="1"/>
  <c r="AI136" i="6" s="1"/>
  <c r="AJ136" i="6" s="1"/>
  <c r="AK136" i="6" s="1"/>
  <c r="AL136" i="6" s="1"/>
  <c r="AM136" i="6" s="1"/>
  <c r="AN136" i="6" s="1"/>
  <c r="AO136" i="6" s="1"/>
  <c r="AP136" i="6" s="1"/>
  <c r="AQ136" i="6" s="1"/>
  <c r="AR136" i="6" s="1"/>
  <c r="AS136" i="6" s="1"/>
  <c r="AT136" i="6" s="1"/>
  <c r="AU136" i="6" s="1"/>
  <c r="AV136" i="6" s="1"/>
  <c r="AW136" i="6" s="1"/>
  <c r="AX136" i="6" s="1"/>
  <c r="AY136" i="6" s="1"/>
  <c r="AZ136" i="6" s="1"/>
  <c r="BA136" i="6" s="1"/>
  <c r="BB136" i="6" s="1"/>
  <c r="V94" i="6"/>
  <c r="W94" i="6" s="1"/>
  <c r="X94" i="6" s="1"/>
  <c r="Y94" i="6" s="1"/>
  <c r="Z94" i="6" s="1"/>
  <c r="AA94" i="6" s="1"/>
  <c r="AB94" i="6" s="1"/>
  <c r="AC94" i="6" s="1"/>
  <c r="AD94" i="6" s="1"/>
  <c r="AE94" i="6" s="1"/>
  <c r="AF94" i="6" s="1"/>
  <c r="AG94" i="6" s="1"/>
  <c r="AH94" i="6" s="1"/>
  <c r="AI94" i="6" s="1"/>
  <c r="AJ94" i="6" s="1"/>
  <c r="AK94" i="6" s="1"/>
  <c r="AL94" i="6" s="1"/>
  <c r="AM94" i="6" s="1"/>
  <c r="AN94" i="6" s="1"/>
  <c r="AO94" i="6" s="1"/>
  <c r="AP94" i="6" s="1"/>
  <c r="AQ94" i="6" s="1"/>
  <c r="AR94" i="6" s="1"/>
  <c r="AS94" i="6" s="1"/>
  <c r="AT94" i="6" s="1"/>
  <c r="AU94" i="6" s="1"/>
  <c r="AV94" i="6" s="1"/>
  <c r="AW94" i="6" s="1"/>
  <c r="AX94" i="6" s="1"/>
  <c r="AY94" i="6" s="1"/>
  <c r="AZ94" i="6" s="1"/>
  <c r="BA94" i="6" s="1"/>
  <c r="BB94" i="6" s="1"/>
  <c r="V247" i="6"/>
  <c r="W247" i="6" s="1"/>
  <c r="Z114" i="6"/>
  <c r="AA114" i="6" s="1"/>
  <c r="AB114" i="6" s="1"/>
  <c r="AC114" i="6" s="1"/>
  <c r="AD114" i="6" s="1"/>
  <c r="AE114" i="6" s="1"/>
  <c r="AF114" i="6" s="1"/>
  <c r="AG114" i="6" s="1"/>
  <c r="AH114" i="6" s="1"/>
  <c r="AI114" i="6" s="1"/>
  <c r="AJ114" i="6" s="1"/>
  <c r="AK114" i="6" s="1"/>
  <c r="AL114" i="6" s="1"/>
  <c r="AM114" i="6" s="1"/>
  <c r="AN114" i="6" s="1"/>
  <c r="AO114" i="6" s="1"/>
  <c r="AP114" i="6" s="1"/>
  <c r="AQ114" i="6" s="1"/>
  <c r="AR114" i="6" s="1"/>
  <c r="AS114" i="6" s="1"/>
  <c r="AT114" i="6" s="1"/>
  <c r="AU114" i="6" s="1"/>
  <c r="AV114" i="6" s="1"/>
  <c r="AW114" i="6" s="1"/>
  <c r="AX114" i="6" s="1"/>
  <c r="AY114" i="6" s="1"/>
  <c r="AZ114" i="6" s="1"/>
  <c r="BA114" i="6" s="1"/>
  <c r="BB114" i="6" s="1"/>
  <c r="V249" i="6"/>
  <c r="W249" i="6" s="1"/>
  <c r="V108" i="6"/>
  <c r="W108" i="6" s="1"/>
  <c r="X108" i="6" s="1"/>
  <c r="Y108" i="6" s="1"/>
  <c r="Z108" i="6" s="1"/>
  <c r="AA108" i="6" s="1"/>
  <c r="AB108" i="6" s="1"/>
  <c r="AC108" i="6" s="1"/>
  <c r="AD108" i="6" s="1"/>
  <c r="AE108" i="6" s="1"/>
  <c r="AF108" i="6" s="1"/>
  <c r="AG108" i="6" s="1"/>
  <c r="AH108" i="6" s="1"/>
  <c r="AI108" i="6" s="1"/>
  <c r="AJ108" i="6" s="1"/>
  <c r="AK108" i="6" s="1"/>
  <c r="AL108" i="6" s="1"/>
  <c r="AM108" i="6" s="1"/>
  <c r="AN108" i="6" s="1"/>
  <c r="AO108" i="6" s="1"/>
  <c r="AP108" i="6" s="1"/>
  <c r="AQ108" i="6" s="1"/>
  <c r="AR108" i="6" s="1"/>
  <c r="AS108" i="6" s="1"/>
  <c r="AT108" i="6" s="1"/>
  <c r="AU108" i="6" s="1"/>
  <c r="AV108" i="6" s="1"/>
  <c r="AW108" i="6" s="1"/>
  <c r="AX108" i="6" s="1"/>
  <c r="AY108" i="6" s="1"/>
  <c r="AZ108" i="6" s="1"/>
  <c r="BA108" i="6" s="1"/>
  <c r="BB108" i="6" s="1"/>
  <c r="V199" i="6"/>
  <c r="W199" i="6" s="1"/>
  <c r="X199" i="6" s="1"/>
  <c r="Y199" i="6" s="1"/>
  <c r="Z199" i="6" s="1"/>
  <c r="AA199" i="6" s="1"/>
  <c r="AB199" i="6" s="1"/>
  <c r="AC199" i="6" s="1"/>
  <c r="AD199" i="6" s="1"/>
  <c r="AE199" i="6" s="1"/>
  <c r="AF199" i="6" s="1"/>
  <c r="AG199" i="6" s="1"/>
  <c r="AH199" i="6" s="1"/>
  <c r="AI199" i="6" s="1"/>
  <c r="AJ199" i="6" s="1"/>
  <c r="AK199" i="6" s="1"/>
  <c r="AL199" i="6" s="1"/>
  <c r="AM199" i="6" s="1"/>
  <c r="AN199" i="6" s="1"/>
  <c r="AO199" i="6" s="1"/>
  <c r="AP199" i="6" s="1"/>
  <c r="AQ199" i="6" s="1"/>
  <c r="AR199" i="6" s="1"/>
  <c r="AS199" i="6" s="1"/>
  <c r="AT199" i="6" s="1"/>
  <c r="AU199" i="6" s="1"/>
  <c r="AV199" i="6" s="1"/>
  <c r="AW199" i="6" s="1"/>
  <c r="AX199" i="6" s="1"/>
  <c r="AY199" i="6" s="1"/>
  <c r="AZ199" i="6" s="1"/>
  <c r="BA199" i="6" s="1"/>
  <c r="BB199" i="6" s="1"/>
  <c r="V102" i="6"/>
  <c r="W102" i="6" s="1"/>
  <c r="X102" i="6" s="1"/>
  <c r="Y102" i="6" s="1"/>
  <c r="Z102" i="6" s="1"/>
  <c r="AA102" i="6" s="1"/>
  <c r="AB102" i="6" s="1"/>
  <c r="AC102" i="6" s="1"/>
  <c r="AD102" i="6" s="1"/>
  <c r="AE102" i="6" s="1"/>
  <c r="AF102" i="6" s="1"/>
  <c r="AG102" i="6" s="1"/>
  <c r="AH102" i="6" s="1"/>
  <c r="AI102" i="6" s="1"/>
  <c r="AJ102" i="6" s="1"/>
  <c r="AK102" i="6" s="1"/>
  <c r="AL102" i="6" s="1"/>
  <c r="AM102" i="6" s="1"/>
  <c r="AN102" i="6" s="1"/>
  <c r="AO102" i="6" s="1"/>
  <c r="AP102" i="6" s="1"/>
  <c r="AQ102" i="6" s="1"/>
  <c r="AR102" i="6" s="1"/>
  <c r="AS102" i="6" s="1"/>
  <c r="AT102" i="6" s="1"/>
  <c r="AU102" i="6" s="1"/>
  <c r="AV102" i="6" s="1"/>
  <c r="AW102" i="6" s="1"/>
  <c r="AX102" i="6" s="1"/>
  <c r="AY102" i="6" s="1"/>
  <c r="AZ102" i="6" s="1"/>
  <c r="BA102" i="6" s="1"/>
  <c r="BB102" i="6" s="1"/>
  <c r="V39" i="6"/>
  <c r="W39" i="6" s="1"/>
  <c r="X39" i="6" s="1"/>
  <c r="Y39" i="6" s="1"/>
  <c r="Z39" i="6" s="1"/>
  <c r="AA39" i="6" s="1"/>
  <c r="AB39" i="6" s="1"/>
  <c r="AC39" i="6" s="1"/>
  <c r="AD39" i="6" s="1"/>
  <c r="AE39" i="6" s="1"/>
  <c r="AF39" i="6" s="1"/>
  <c r="AG39" i="6" s="1"/>
  <c r="AH39" i="6" s="1"/>
  <c r="AI39" i="6" s="1"/>
  <c r="AJ39" i="6" s="1"/>
  <c r="AK39" i="6" s="1"/>
  <c r="AL39" i="6" s="1"/>
  <c r="AM39" i="6" s="1"/>
  <c r="AN39" i="6" s="1"/>
  <c r="AO39" i="6" s="1"/>
  <c r="AP39" i="6" s="1"/>
  <c r="AQ39" i="6" s="1"/>
  <c r="AR39" i="6" s="1"/>
  <c r="AS39" i="6" s="1"/>
  <c r="AT39" i="6" s="1"/>
  <c r="AU39" i="6" s="1"/>
  <c r="AV39" i="6" s="1"/>
  <c r="AW39" i="6" s="1"/>
  <c r="AX39" i="6" s="1"/>
  <c r="AY39" i="6" s="1"/>
  <c r="AZ39" i="6" s="1"/>
  <c r="BA39" i="6" s="1"/>
  <c r="BB39" i="6" s="1"/>
  <c r="V215" i="6"/>
  <c r="W215" i="6" s="1"/>
  <c r="X215" i="6" s="1"/>
  <c r="Y215" i="6" s="1"/>
  <c r="Z215" i="6" s="1"/>
  <c r="AA215" i="6" s="1"/>
  <c r="AB215" i="6" s="1"/>
  <c r="AC215" i="6" s="1"/>
  <c r="AD215" i="6" s="1"/>
  <c r="AE215" i="6" s="1"/>
  <c r="AF215" i="6" s="1"/>
  <c r="AG215" i="6" s="1"/>
  <c r="AH215" i="6" s="1"/>
  <c r="AI215" i="6" s="1"/>
  <c r="AJ215" i="6" s="1"/>
  <c r="AK215" i="6" s="1"/>
  <c r="AL215" i="6" s="1"/>
  <c r="AM215" i="6" s="1"/>
  <c r="AN215" i="6" s="1"/>
  <c r="AO215" i="6" s="1"/>
  <c r="AP215" i="6" s="1"/>
  <c r="AQ215" i="6" s="1"/>
  <c r="AR215" i="6" s="1"/>
  <c r="AS215" i="6" s="1"/>
  <c r="AT215" i="6" s="1"/>
  <c r="AU215" i="6" s="1"/>
  <c r="AV215" i="6" s="1"/>
  <c r="AW215" i="6" s="1"/>
  <c r="AX215" i="6" s="1"/>
  <c r="AY215" i="6" s="1"/>
  <c r="AZ215" i="6" s="1"/>
  <c r="BA215" i="6" s="1"/>
  <c r="BB215" i="6" s="1"/>
  <c r="V158" i="6"/>
  <c r="W158" i="6" s="1"/>
  <c r="X158" i="6" s="1"/>
  <c r="Y158" i="6" s="1"/>
  <c r="Z158" i="6" s="1"/>
  <c r="AA158" i="6" s="1"/>
  <c r="AB158" i="6" s="1"/>
  <c r="AC158" i="6" s="1"/>
  <c r="AD158" i="6" s="1"/>
  <c r="AE158" i="6" s="1"/>
  <c r="AF158" i="6" s="1"/>
  <c r="AG158" i="6" s="1"/>
  <c r="AH158" i="6" s="1"/>
  <c r="AI158" i="6" s="1"/>
  <c r="AJ158" i="6" s="1"/>
  <c r="AK158" i="6" s="1"/>
  <c r="AL158" i="6" s="1"/>
  <c r="AM158" i="6" s="1"/>
  <c r="AN158" i="6" s="1"/>
  <c r="AO158" i="6" s="1"/>
  <c r="AP158" i="6" s="1"/>
  <c r="AQ158" i="6" s="1"/>
  <c r="AR158" i="6" s="1"/>
  <c r="AS158" i="6" s="1"/>
  <c r="AT158" i="6" s="1"/>
  <c r="AU158" i="6" s="1"/>
  <c r="AV158" i="6" s="1"/>
  <c r="AW158" i="6" s="1"/>
  <c r="AX158" i="6" s="1"/>
  <c r="AY158" i="6" s="1"/>
  <c r="AZ158" i="6" s="1"/>
  <c r="BA158" i="6" s="1"/>
  <c r="BB158" i="6" s="1"/>
  <c r="V7" i="6"/>
  <c r="W7" i="6" s="1"/>
  <c r="X7" i="6" s="1"/>
  <c r="Y7" i="6" s="1"/>
  <c r="Z7" i="6" s="1"/>
  <c r="AA7" i="6" s="1"/>
  <c r="AB7" i="6" s="1"/>
  <c r="AC7" i="6" s="1"/>
  <c r="AD7" i="6" s="1"/>
  <c r="AE7" i="6" s="1"/>
  <c r="AF7" i="6" s="1"/>
  <c r="AG7" i="6" s="1"/>
  <c r="AH7" i="6" s="1"/>
  <c r="AI7" i="6" s="1"/>
  <c r="AJ7" i="6" s="1"/>
  <c r="AK7" i="6" s="1"/>
  <c r="AL7" i="6" s="1"/>
  <c r="AM7" i="6" s="1"/>
  <c r="AN7" i="6" s="1"/>
  <c r="AO7" i="6" s="1"/>
  <c r="AP7" i="6" s="1"/>
  <c r="AQ7" i="6" s="1"/>
  <c r="AR7" i="6" s="1"/>
  <c r="AS7" i="6" s="1"/>
  <c r="AT7" i="6" s="1"/>
  <c r="AU7" i="6" s="1"/>
  <c r="AV7" i="6" s="1"/>
  <c r="AW7" i="6" s="1"/>
  <c r="AX7" i="6" s="1"/>
  <c r="AY7" i="6" s="1"/>
  <c r="AZ7" i="6" s="1"/>
  <c r="BA7" i="6" s="1"/>
  <c r="BB7" i="6" s="1"/>
  <c r="Z209" i="6"/>
  <c r="AA209" i="6" s="1"/>
  <c r="AB209" i="6" s="1"/>
  <c r="AC209" i="6" s="1"/>
  <c r="AD209" i="6" s="1"/>
  <c r="AE209" i="6" s="1"/>
  <c r="AF209" i="6" s="1"/>
  <c r="AG209" i="6" s="1"/>
  <c r="AH209" i="6" s="1"/>
  <c r="AI209" i="6" s="1"/>
  <c r="AJ209" i="6" s="1"/>
  <c r="AK209" i="6" s="1"/>
  <c r="AL209" i="6" s="1"/>
  <c r="AM209" i="6" s="1"/>
  <c r="AN209" i="6" s="1"/>
  <c r="AO209" i="6" s="1"/>
  <c r="AP209" i="6" s="1"/>
  <c r="AQ209" i="6" s="1"/>
  <c r="AR209" i="6" s="1"/>
  <c r="AS209" i="6" s="1"/>
  <c r="AT209" i="6" s="1"/>
  <c r="AU209" i="6" s="1"/>
  <c r="AV209" i="6" s="1"/>
  <c r="AW209" i="6" s="1"/>
  <c r="AX209" i="6" s="1"/>
  <c r="AY209" i="6" s="1"/>
  <c r="AZ209" i="6" s="1"/>
  <c r="BA209" i="6" s="1"/>
  <c r="BB209" i="6" s="1"/>
  <c r="V128" i="6"/>
  <c r="W128" i="6" s="1"/>
  <c r="X128" i="6" s="1"/>
  <c r="Y128" i="6" s="1"/>
  <c r="Z128" i="6" s="1"/>
  <c r="AA128" i="6" s="1"/>
  <c r="AB128" i="6" s="1"/>
  <c r="AC128" i="6" s="1"/>
  <c r="AD128" i="6" s="1"/>
  <c r="AE128" i="6" s="1"/>
  <c r="AF128" i="6" s="1"/>
  <c r="AG128" i="6" s="1"/>
  <c r="AH128" i="6" s="1"/>
  <c r="AI128" i="6" s="1"/>
  <c r="AJ128" i="6" s="1"/>
  <c r="AK128" i="6" s="1"/>
  <c r="AL128" i="6" s="1"/>
  <c r="AM128" i="6" s="1"/>
  <c r="AN128" i="6" s="1"/>
  <c r="AO128" i="6" s="1"/>
  <c r="AP128" i="6" s="1"/>
  <c r="AQ128" i="6" s="1"/>
  <c r="AR128" i="6" s="1"/>
  <c r="AS128" i="6" s="1"/>
  <c r="AT128" i="6" s="1"/>
  <c r="AU128" i="6" s="1"/>
  <c r="AV128" i="6" s="1"/>
  <c r="AW128" i="6" s="1"/>
  <c r="AX128" i="6" s="1"/>
  <c r="AY128" i="6" s="1"/>
  <c r="AZ128" i="6" s="1"/>
  <c r="BA128" i="6" s="1"/>
  <c r="BB128" i="6" s="1"/>
  <c r="V25" i="6"/>
  <c r="W25" i="6" s="1"/>
  <c r="X25" i="6" s="1"/>
  <c r="Y25" i="6" s="1"/>
  <c r="Z25" i="6" s="1"/>
  <c r="AA25" i="6" s="1"/>
  <c r="AB25" i="6" s="1"/>
  <c r="AC25" i="6" s="1"/>
  <c r="AD25" i="6" s="1"/>
  <c r="AE25" i="6" s="1"/>
  <c r="AF25" i="6" s="1"/>
  <c r="AG25" i="6" s="1"/>
  <c r="AH25" i="6" s="1"/>
  <c r="AI25" i="6" s="1"/>
  <c r="AJ25" i="6" s="1"/>
  <c r="AK25" i="6" s="1"/>
  <c r="AL25" i="6" s="1"/>
  <c r="AM25" i="6" s="1"/>
  <c r="AN25" i="6" s="1"/>
  <c r="AO25" i="6" s="1"/>
  <c r="AP25" i="6" s="1"/>
  <c r="AQ25" i="6" s="1"/>
  <c r="AR25" i="6" s="1"/>
  <c r="AS25" i="6" s="1"/>
  <c r="AT25" i="6" s="1"/>
  <c r="AU25" i="6" s="1"/>
  <c r="AV25" i="6" s="1"/>
  <c r="AW25" i="6" s="1"/>
  <c r="AX25" i="6" s="1"/>
  <c r="AY25" i="6" s="1"/>
  <c r="AZ25" i="6" s="1"/>
  <c r="BA25" i="6" s="1"/>
  <c r="BB25" i="6" s="1"/>
  <c r="V245" i="6"/>
  <c r="W245" i="6" s="1"/>
  <c r="Z193" i="6"/>
  <c r="AA193" i="6" s="1"/>
  <c r="R106" i="6"/>
  <c r="S106" i="6" s="1"/>
  <c r="T106" i="6" s="1"/>
  <c r="U106" i="6" s="1"/>
  <c r="CP65" i="6"/>
  <c r="CP45" i="6"/>
  <c r="R112" i="6"/>
  <c r="S112" i="6" s="1"/>
  <c r="T112" i="6" s="1"/>
  <c r="U112" i="6" s="1"/>
  <c r="AH27" i="6"/>
  <c r="AI27" i="6" s="1"/>
  <c r="AJ27" i="6" s="1"/>
  <c r="AK27" i="6" s="1"/>
  <c r="AL27" i="6" s="1"/>
  <c r="AM27" i="6" s="1"/>
  <c r="AN27" i="6" s="1"/>
  <c r="AO27" i="6" s="1"/>
  <c r="AP27" i="6" s="1"/>
  <c r="AQ27" i="6" s="1"/>
  <c r="AR27" i="6" s="1"/>
  <c r="AS27" i="6" s="1"/>
  <c r="AT27" i="6" s="1"/>
  <c r="AU27" i="6" s="1"/>
  <c r="AV27" i="6" s="1"/>
  <c r="AW27" i="6" s="1"/>
  <c r="AX27" i="6" s="1"/>
  <c r="AY27" i="6" s="1"/>
  <c r="AZ27" i="6" s="1"/>
  <c r="BA27" i="6" s="1"/>
  <c r="BB27" i="6" s="1"/>
  <c r="AH140" i="6"/>
  <c r="AI140" i="6" s="1"/>
  <c r="AJ140" i="6" s="1"/>
  <c r="AK140" i="6" s="1"/>
  <c r="Z122" i="6"/>
  <c r="AA122" i="6" s="1"/>
  <c r="AB122" i="6" s="1"/>
  <c r="AC122" i="6" s="1"/>
  <c r="AD122" i="6" s="1"/>
  <c r="AE122" i="6" s="1"/>
  <c r="AF122" i="6" s="1"/>
  <c r="AG122" i="6" s="1"/>
  <c r="AH122" i="6" s="1"/>
  <c r="AI122" i="6" s="1"/>
  <c r="AJ122" i="6" s="1"/>
  <c r="AK122" i="6" s="1"/>
  <c r="AL122" i="6" s="1"/>
  <c r="AM122" i="6" s="1"/>
  <c r="AN122" i="6" s="1"/>
  <c r="AO122" i="6" s="1"/>
  <c r="AP122" i="6" s="1"/>
  <c r="AQ122" i="6" s="1"/>
  <c r="AR122" i="6" s="1"/>
  <c r="AS122" i="6" s="1"/>
  <c r="AT122" i="6" s="1"/>
  <c r="AU122" i="6" s="1"/>
  <c r="AV122" i="6" s="1"/>
  <c r="AW122" i="6" s="1"/>
  <c r="AX122" i="6" s="1"/>
  <c r="AY122" i="6" s="1"/>
  <c r="AZ122" i="6" s="1"/>
  <c r="BA122" i="6" s="1"/>
  <c r="BB122" i="6" s="1"/>
  <c r="V233" i="6"/>
  <c r="W233" i="6" s="1"/>
  <c r="X233" i="6" s="1"/>
  <c r="Y233" i="6" s="1"/>
  <c r="Z233" i="6" s="1"/>
  <c r="AA233" i="6" s="1"/>
  <c r="AB233" i="6" s="1"/>
  <c r="AC233" i="6" s="1"/>
  <c r="AD233" i="6" s="1"/>
  <c r="AE233" i="6" s="1"/>
  <c r="AF233" i="6" s="1"/>
  <c r="AG233" i="6" s="1"/>
  <c r="AH233" i="6" s="1"/>
  <c r="AI233" i="6" s="1"/>
  <c r="AJ233" i="6" s="1"/>
  <c r="AK233" i="6" s="1"/>
  <c r="AL233" i="6" s="1"/>
  <c r="AM233" i="6" s="1"/>
  <c r="AN233" i="6" s="1"/>
  <c r="AO233" i="6" s="1"/>
  <c r="AP233" i="6" s="1"/>
  <c r="AQ233" i="6" s="1"/>
  <c r="AR233" i="6" s="1"/>
  <c r="AS233" i="6" s="1"/>
  <c r="AT233" i="6" s="1"/>
  <c r="AU233" i="6" s="1"/>
  <c r="AV233" i="6" s="1"/>
  <c r="AW233" i="6" s="1"/>
  <c r="AX233" i="6" s="1"/>
  <c r="AY233" i="6" s="1"/>
  <c r="AZ233" i="6" s="1"/>
  <c r="BA233" i="6" s="1"/>
  <c r="BB233" i="6" s="1"/>
  <c r="V219" i="6"/>
  <c r="W219" i="6" s="1"/>
  <c r="X219" i="6" s="1"/>
  <c r="Y219" i="6" s="1"/>
  <c r="Z219" i="6" s="1"/>
  <c r="AA219" i="6" s="1"/>
  <c r="AB219" i="6" s="1"/>
  <c r="AC219" i="6" s="1"/>
  <c r="AD219" i="6" s="1"/>
  <c r="AE219" i="6" s="1"/>
  <c r="AF219" i="6" s="1"/>
  <c r="AG219" i="6" s="1"/>
  <c r="AH219" i="6" s="1"/>
  <c r="AI219" i="6" s="1"/>
  <c r="AJ219" i="6" s="1"/>
  <c r="AK219" i="6" s="1"/>
  <c r="AL219" i="6" s="1"/>
  <c r="AM219" i="6" s="1"/>
  <c r="AN219" i="6" s="1"/>
  <c r="AO219" i="6" s="1"/>
  <c r="AP219" i="6" s="1"/>
  <c r="AQ219" i="6" s="1"/>
  <c r="AR219" i="6" s="1"/>
  <c r="AS219" i="6" s="1"/>
  <c r="AT219" i="6" s="1"/>
  <c r="AU219" i="6" s="1"/>
  <c r="AV219" i="6" s="1"/>
  <c r="AW219" i="6" s="1"/>
  <c r="AX219" i="6" s="1"/>
  <c r="AY219" i="6" s="1"/>
  <c r="AZ219" i="6" s="1"/>
  <c r="BA219" i="6" s="1"/>
  <c r="BB219" i="6" s="1"/>
  <c r="V47" i="6"/>
  <c r="W47" i="6" s="1"/>
  <c r="X47" i="6" s="1"/>
  <c r="Y47" i="6" s="1"/>
  <c r="Z47" i="6" s="1"/>
  <c r="AA47" i="6" s="1"/>
  <c r="AB47" i="6" s="1"/>
  <c r="AC47" i="6" s="1"/>
  <c r="AD47" i="6" s="1"/>
  <c r="AE47" i="6" s="1"/>
  <c r="AF47" i="6" s="1"/>
  <c r="AG47" i="6" s="1"/>
  <c r="AH47" i="6" s="1"/>
  <c r="AI47" i="6" s="1"/>
  <c r="AJ47" i="6" s="1"/>
  <c r="AK47" i="6" s="1"/>
  <c r="AL47" i="6" s="1"/>
  <c r="AM47" i="6" s="1"/>
  <c r="AN47" i="6" s="1"/>
  <c r="AO47" i="6" s="1"/>
  <c r="AP47" i="6" s="1"/>
  <c r="AQ47" i="6" s="1"/>
  <c r="AR47" i="6" s="1"/>
  <c r="AS47" i="6" s="1"/>
  <c r="AT47" i="6" s="1"/>
  <c r="AU47" i="6" s="1"/>
  <c r="AV47" i="6" s="1"/>
  <c r="AW47" i="6" s="1"/>
  <c r="AX47" i="6" s="1"/>
  <c r="AY47" i="6" s="1"/>
  <c r="AZ47" i="6" s="1"/>
  <c r="BA47" i="6" s="1"/>
  <c r="BB47" i="6" s="1"/>
  <c r="AH205" i="6"/>
  <c r="AL142" i="6"/>
  <c r="AM142" i="6" s="1"/>
  <c r="AN142" i="6" s="1"/>
  <c r="AO142" i="6" s="1"/>
  <c r="AP142" i="6" s="1"/>
  <c r="AQ142" i="6" s="1"/>
  <c r="AR142" i="6" s="1"/>
  <c r="AS142" i="6" s="1"/>
  <c r="AT142" i="6" s="1"/>
  <c r="AU142" i="6" s="1"/>
  <c r="AV142" i="6" s="1"/>
  <c r="AW142" i="6" s="1"/>
  <c r="AX142" i="6" s="1"/>
  <c r="AY142" i="6" s="1"/>
  <c r="AZ142" i="6" s="1"/>
  <c r="BA142" i="6" s="1"/>
  <c r="BB142" i="6" s="1"/>
  <c r="AX67" i="6"/>
  <c r="CP269" i="6"/>
  <c r="CP221" i="6"/>
  <c r="CP189" i="6"/>
  <c r="CP183" i="6"/>
  <c r="CP126" i="6"/>
  <c r="X69" i="6"/>
  <c r="Y69" i="6" s="1"/>
  <c r="Z69" i="6" s="1"/>
  <c r="AA69" i="6" s="1"/>
  <c r="AB69" i="6" s="1"/>
  <c r="AC69" i="6" s="1"/>
  <c r="AD69" i="6" s="1"/>
  <c r="AE69" i="6" s="1"/>
  <c r="AF69" i="6" s="1"/>
  <c r="AG69" i="6" s="1"/>
  <c r="AH69" i="6" s="1"/>
  <c r="AI69" i="6" s="1"/>
  <c r="AJ69" i="6" s="1"/>
  <c r="AK69" i="6" s="1"/>
  <c r="AL69" i="6" s="1"/>
  <c r="AM69" i="6" s="1"/>
  <c r="AN69" i="6" s="1"/>
  <c r="AO69" i="6" s="1"/>
  <c r="AP69" i="6" s="1"/>
  <c r="AQ69" i="6" s="1"/>
  <c r="AR69" i="6" s="1"/>
  <c r="AS69" i="6" s="1"/>
  <c r="AT69" i="6" s="1"/>
  <c r="AU69" i="6" s="1"/>
  <c r="AV69" i="6" s="1"/>
  <c r="AW69" i="6" s="1"/>
  <c r="AX69" i="6" s="1"/>
  <c r="AY69" i="6" s="1"/>
  <c r="AZ69" i="6" s="1"/>
  <c r="BA69" i="6" s="1"/>
  <c r="BB69" i="6" s="1"/>
  <c r="CP33" i="6"/>
  <c r="CP31" i="6"/>
  <c r="CP9" i="6"/>
  <c r="CP59" i="4"/>
  <c r="N8" i="5"/>
  <c r="I14" i="5" s="1"/>
  <c r="M397" i="6"/>
  <c r="H402" i="6" s="1"/>
  <c r="E404" i="6" s="1"/>
  <c r="O3" i="6"/>
  <c r="P3" i="5"/>
  <c r="P8" i="5" s="1"/>
  <c r="K14" i="5" s="1"/>
  <c r="F16" i="5"/>
  <c r="F13" i="5" s="1"/>
  <c r="N57" i="6"/>
  <c r="O3" i="4"/>
  <c r="T82" i="4"/>
  <c r="O87" i="4" s="1"/>
  <c r="GZ71" i="1"/>
  <c r="HA70" i="1"/>
  <c r="GZ69" i="1"/>
  <c r="HA68" i="1"/>
  <c r="GZ67" i="1"/>
  <c r="HA66" i="1"/>
  <c r="GZ65" i="1"/>
  <c r="HA64" i="1"/>
  <c r="GZ63" i="1"/>
  <c r="E17" i="5" l="1"/>
  <c r="E22" i="5"/>
  <c r="CP150" i="6"/>
  <c r="CP53" i="6"/>
  <c r="CP100" i="6"/>
  <c r="CP148" i="6"/>
  <c r="CP160" i="6"/>
  <c r="CP185" i="6"/>
  <c r="CP297" i="6"/>
  <c r="CP239" i="6"/>
  <c r="CP49" i="6"/>
  <c r="CP63" i="6"/>
  <c r="CP211" i="6"/>
  <c r="CP229" i="6"/>
  <c r="CP21" i="6"/>
  <c r="CP116" i="6"/>
  <c r="CP138" i="6"/>
  <c r="CP146" i="6"/>
  <c r="CP201" i="6"/>
  <c r="CP237" i="6"/>
  <c r="CP279" i="6"/>
  <c r="CP303" i="6"/>
  <c r="CP156" i="6"/>
  <c r="CP348" i="6"/>
  <c r="CP281" i="6"/>
  <c r="CP273" i="6"/>
  <c r="CP360" i="6"/>
  <c r="CP195" i="6"/>
  <c r="CP13" i="6"/>
  <c r="CP61" i="6"/>
  <c r="CP197" i="6"/>
  <c r="CP35" i="6"/>
  <c r="CP213" i="6"/>
  <c r="CP17" i="6"/>
  <c r="CP227" i="6"/>
  <c r="CP29" i="6"/>
  <c r="CP187" i="6"/>
  <c r="CP301" i="6"/>
  <c r="CP104" i="6"/>
  <c r="CP231" i="6"/>
  <c r="CP118" i="6"/>
  <c r="CP96" i="6"/>
  <c r="CP152" i="6"/>
  <c r="CP59" i="6"/>
  <c r="CP92" i="6"/>
  <c r="CP154" i="6"/>
  <c r="CP130" i="6"/>
  <c r="CP15" i="6"/>
  <c r="CP243" i="6"/>
  <c r="CP51" i="6"/>
  <c r="CP207" i="6"/>
  <c r="BC217" i="6"/>
  <c r="BD217" i="6" s="1"/>
  <c r="BE217" i="6" s="1"/>
  <c r="BF217" i="6" s="1"/>
  <c r="BG217" i="6" s="1"/>
  <c r="BH217" i="6" s="1"/>
  <c r="BI217" i="6" s="1"/>
  <c r="BJ217" i="6" s="1"/>
  <c r="BK217" i="6" s="1"/>
  <c r="BL217" i="6" s="1"/>
  <c r="BM217" i="6" s="1"/>
  <c r="BN217" i="6" s="1"/>
  <c r="BO217" i="6" s="1"/>
  <c r="BP217" i="6" s="1"/>
  <c r="BQ217" i="6" s="1"/>
  <c r="BR217" i="6" s="1"/>
  <c r="BS217" i="6" s="1"/>
  <c r="BT217" i="6" s="1"/>
  <c r="BU217" i="6" s="1"/>
  <c r="BV217" i="6" s="1"/>
  <c r="BW217" i="6" s="1"/>
  <c r="BX217" i="6" s="1"/>
  <c r="BY217" i="6" s="1"/>
  <c r="BZ217" i="6" s="1"/>
  <c r="CA217" i="6" s="1"/>
  <c r="CB217" i="6" s="1"/>
  <c r="CC217" i="6" s="1"/>
  <c r="CD217" i="6" s="1"/>
  <c r="CE217" i="6" s="1"/>
  <c r="CF217" i="6" s="1"/>
  <c r="CG217" i="6" s="1"/>
  <c r="CH217" i="6" s="1"/>
  <c r="CI217" i="6" s="1"/>
  <c r="CJ217" i="6" s="1"/>
  <c r="CK217" i="6" s="1"/>
  <c r="CL217" i="6" s="1"/>
  <c r="CM217" i="6" s="1"/>
  <c r="CN217" i="6" s="1"/>
  <c r="CO217" i="6" s="1"/>
  <c r="BC69" i="6"/>
  <c r="BD69" i="6" s="1"/>
  <c r="BE69" i="6" s="1"/>
  <c r="BF69" i="6" s="1"/>
  <c r="BG69" i="6" s="1"/>
  <c r="BH69" i="6" s="1"/>
  <c r="BI69" i="6" s="1"/>
  <c r="BJ69" i="6" s="1"/>
  <c r="BK69" i="6" s="1"/>
  <c r="BL69" i="6" s="1"/>
  <c r="BM69" i="6" s="1"/>
  <c r="BN69" i="6" s="1"/>
  <c r="BO69" i="6" s="1"/>
  <c r="BP69" i="6" s="1"/>
  <c r="BQ69" i="6" s="1"/>
  <c r="BR69" i="6" s="1"/>
  <c r="BS69" i="6" s="1"/>
  <c r="BT69" i="6" s="1"/>
  <c r="BU69" i="6" s="1"/>
  <c r="BV69" i="6" s="1"/>
  <c r="BW69" i="6" s="1"/>
  <c r="BX69" i="6" s="1"/>
  <c r="BY69" i="6" s="1"/>
  <c r="BZ69" i="6" s="1"/>
  <c r="CA69" i="6" s="1"/>
  <c r="CB69" i="6" s="1"/>
  <c r="CC69" i="6" s="1"/>
  <c r="CD69" i="6" s="1"/>
  <c r="CE69" i="6" s="1"/>
  <c r="CF69" i="6" s="1"/>
  <c r="CG69" i="6" s="1"/>
  <c r="CH69" i="6" s="1"/>
  <c r="CI69" i="6" s="1"/>
  <c r="CJ69" i="6" s="1"/>
  <c r="CK69" i="6" s="1"/>
  <c r="CL69" i="6" s="1"/>
  <c r="CM69" i="6" s="1"/>
  <c r="CN69" i="6" s="1"/>
  <c r="CO69" i="6" s="1"/>
  <c r="BC142" i="6"/>
  <c r="BD142" i="6" s="1"/>
  <c r="BE142" i="6" s="1"/>
  <c r="BF142" i="6" s="1"/>
  <c r="BG142" i="6" s="1"/>
  <c r="BH142" i="6" s="1"/>
  <c r="BI142" i="6" s="1"/>
  <c r="BJ142" i="6" s="1"/>
  <c r="BK142" i="6" s="1"/>
  <c r="BL142" i="6" s="1"/>
  <c r="BM142" i="6" s="1"/>
  <c r="BN142" i="6" s="1"/>
  <c r="BO142" i="6" s="1"/>
  <c r="BP142" i="6" s="1"/>
  <c r="BQ142" i="6" s="1"/>
  <c r="BR142" i="6" s="1"/>
  <c r="BS142" i="6" s="1"/>
  <c r="BT142" i="6" s="1"/>
  <c r="BU142" i="6" s="1"/>
  <c r="BV142" i="6" s="1"/>
  <c r="BW142" i="6" s="1"/>
  <c r="BX142" i="6" s="1"/>
  <c r="BY142" i="6" s="1"/>
  <c r="BZ142" i="6" s="1"/>
  <c r="CA142" i="6" s="1"/>
  <c r="CB142" i="6" s="1"/>
  <c r="CC142" i="6" s="1"/>
  <c r="CD142" i="6" s="1"/>
  <c r="CE142" i="6" s="1"/>
  <c r="CF142" i="6" s="1"/>
  <c r="CG142" i="6" s="1"/>
  <c r="CH142" i="6" s="1"/>
  <c r="CI142" i="6" s="1"/>
  <c r="CJ142" i="6" s="1"/>
  <c r="CK142" i="6" s="1"/>
  <c r="CL142" i="6" s="1"/>
  <c r="CM142" i="6" s="1"/>
  <c r="CN142" i="6" s="1"/>
  <c r="CO142" i="6" s="1"/>
  <c r="BC47" i="6"/>
  <c r="BD47" i="6" s="1"/>
  <c r="BE47" i="6" s="1"/>
  <c r="BF47" i="6" s="1"/>
  <c r="BG47" i="6" s="1"/>
  <c r="BH47" i="6" s="1"/>
  <c r="BI47" i="6" s="1"/>
  <c r="BJ47" i="6" s="1"/>
  <c r="BK47" i="6" s="1"/>
  <c r="BL47" i="6" s="1"/>
  <c r="BM47" i="6" s="1"/>
  <c r="BN47" i="6" s="1"/>
  <c r="BO47" i="6" s="1"/>
  <c r="BP47" i="6" s="1"/>
  <c r="BQ47" i="6" s="1"/>
  <c r="BR47" i="6" s="1"/>
  <c r="BS47" i="6" s="1"/>
  <c r="BT47" i="6" s="1"/>
  <c r="BU47" i="6" s="1"/>
  <c r="BV47" i="6" s="1"/>
  <c r="BW47" i="6" s="1"/>
  <c r="BX47" i="6" s="1"/>
  <c r="BY47" i="6" s="1"/>
  <c r="BZ47" i="6" s="1"/>
  <c r="CA47" i="6" s="1"/>
  <c r="CB47" i="6" s="1"/>
  <c r="CC47" i="6" s="1"/>
  <c r="CD47" i="6" s="1"/>
  <c r="CE47" i="6" s="1"/>
  <c r="CF47" i="6" s="1"/>
  <c r="CG47" i="6" s="1"/>
  <c r="CH47" i="6" s="1"/>
  <c r="CI47" i="6" s="1"/>
  <c r="CJ47" i="6" s="1"/>
  <c r="CK47" i="6" s="1"/>
  <c r="CL47" i="6" s="1"/>
  <c r="CM47" i="6" s="1"/>
  <c r="CN47" i="6" s="1"/>
  <c r="CO47" i="6" s="1"/>
  <c r="BC233" i="6"/>
  <c r="BD233" i="6" s="1"/>
  <c r="BE233" i="6" s="1"/>
  <c r="BF233" i="6" s="1"/>
  <c r="BG233" i="6" s="1"/>
  <c r="BH233" i="6" s="1"/>
  <c r="BI233" i="6" s="1"/>
  <c r="BJ233" i="6" s="1"/>
  <c r="BK233" i="6" s="1"/>
  <c r="BL233" i="6" s="1"/>
  <c r="BM233" i="6" s="1"/>
  <c r="BN233" i="6" s="1"/>
  <c r="BO233" i="6" s="1"/>
  <c r="BP233" i="6" s="1"/>
  <c r="BQ233" i="6" s="1"/>
  <c r="BR233" i="6" s="1"/>
  <c r="BS233" i="6" s="1"/>
  <c r="BT233" i="6" s="1"/>
  <c r="BU233" i="6" s="1"/>
  <c r="BV233" i="6" s="1"/>
  <c r="BW233" i="6" s="1"/>
  <c r="BX233" i="6" s="1"/>
  <c r="BY233" i="6" s="1"/>
  <c r="BZ233" i="6" s="1"/>
  <c r="CA233" i="6" s="1"/>
  <c r="CB233" i="6" s="1"/>
  <c r="CC233" i="6" s="1"/>
  <c r="CD233" i="6" s="1"/>
  <c r="CE233" i="6" s="1"/>
  <c r="CF233" i="6" s="1"/>
  <c r="CG233" i="6" s="1"/>
  <c r="CH233" i="6" s="1"/>
  <c r="CI233" i="6" s="1"/>
  <c r="CJ233" i="6" s="1"/>
  <c r="CK233" i="6" s="1"/>
  <c r="CL233" i="6" s="1"/>
  <c r="CM233" i="6" s="1"/>
  <c r="CN233" i="6" s="1"/>
  <c r="CO233" i="6" s="1"/>
  <c r="BC128" i="6"/>
  <c r="BD128" i="6" s="1"/>
  <c r="BE128" i="6" s="1"/>
  <c r="BF128" i="6" s="1"/>
  <c r="BG128" i="6" s="1"/>
  <c r="BH128" i="6" s="1"/>
  <c r="BI128" i="6" s="1"/>
  <c r="BJ128" i="6" s="1"/>
  <c r="BK128" i="6" s="1"/>
  <c r="BL128" i="6" s="1"/>
  <c r="BM128" i="6" s="1"/>
  <c r="BN128" i="6" s="1"/>
  <c r="BO128" i="6" s="1"/>
  <c r="BP128" i="6" s="1"/>
  <c r="BQ128" i="6" s="1"/>
  <c r="BR128" i="6" s="1"/>
  <c r="BS128" i="6" s="1"/>
  <c r="BT128" i="6" s="1"/>
  <c r="BU128" i="6" s="1"/>
  <c r="BV128" i="6" s="1"/>
  <c r="BW128" i="6" s="1"/>
  <c r="BX128" i="6" s="1"/>
  <c r="BY128" i="6" s="1"/>
  <c r="BZ128" i="6" s="1"/>
  <c r="CA128" i="6" s="1"/>
  <c r="CB128" i="6" s="1"/>
  <c r="CC128" i="6" s="1"/>
  <c r="CD128" i="6" s="1"/>
  <c r="CE128" i="6" s="1"/>
  <c r="CF128" i="6" s="1"/>
  <c r="CG128" i="6" s="1"/>
  <c r="CH128" i="6" s="1"/>
  <c r="CI128" i="6" s="1"/>
  <c r="CJ128" i="6" s="1"/>
  <c r="CK128" i="6" s="1"/>
  <c r="CL128" i="6" s="1"/>
  <c r="CM128" i="6" s="1"/>
  <c r="CN128" i="6" s="1"/>
  <c r="CO128" i="6" s="1"/>
  <c r="BC7" i="6"/>
  <c r="BD7" i="6" s="1"/>
  <c r="BE7" i="6" s="1"/>
  <c r="BF7" i="6" s="1"/>
  <c r="BG7" i="6" s="1"/>
  <c r="BH7" i="6" s="1"/>
  <c r="BI7" i="6" s="1"/>
  <c r="BJ7" i="6" s="1"/>
  <c r="BK7" i="6" s="1"/>
  <c r="BL7" i="6" s="1"/>
  <c r="BM7" i="6" s="1"/>
  <c r="BN7" i="6" s="1"/>
  <c r="BO7" i="6" s="1"/>
  <c r="BP7" i="6" s="1"/>
  <c r="BQ7" i="6" s="1"/>
  <c r="BR7" i="6" s="1"/>
  <c r="BS7" i="6" s="1"/>
  <c r="BT7" i="6" s="1"/>
  <c r="BU7" i="6" s="1"/>
  <c r="BV7" i="6" s="1"/>
  <c r="BW7" i="6" s="1"/>
  <c r="BX7" i="6" s="1"/>
  <c r="BY7" i="6" s="1"/>
  <c r="BZ7" i="6" s="1"/>
  <c r="CA7" i="6" s="1"/>
  <c r="CB7" i="6" s="1"/>
  <c r="CC7" i="6" s="1"/>
  <c r="CD7" i="6" s="1"/>
  <c r="CE7" i="6" s="1"/>
  <c r="CF7" i="6" s="1"/>
  <c r="CG7" i="6" s="1"/>
  <c r="CH7" i="6" s="1"/>
  <c r="CI7" i="6" s="1"/>
  <c r="CJ7" i="6" s="1"/>
  <c r="CK7" i="6" s="1"/>
  <c r="CL7" i="6" s="1"/>
  <c r="CM7" i="6" s="1"/>
  <c r="CN7" i="6" s="1"/>
  <c r="CO7" i="6" s="1"/>
  <c r="BC215" i="6"/>
  <c r="BD215" i="6" s="1"/>
  <c r="BE215" i="6" s="1"/>
  <c r="BF215" i="6" s="1"/>
  <c r="BG215" i="6" s="1"/>
  <c r="BH215" i="6" s="1"/>
  <c r="BI215" i="6" s="1"/>
  <c r="BJ215" i="6" s="1"/>
  <c r="BK215" i="6" s="1"/>
  <c r="BL215" i="6" s="1"/>
  <c r="BM215" i="6" s="1"/>
  <c r="BN215" i="6" s="1"/>
  <c r="BO215" i="6" s="1"/>
  <c r="BP215" i="6" s="1"/>
  <c r="BQ215" i="6" s="1"/>
  <c r="BR215" i="6" s="1"/>
  <c r="BS215" i="6" s="1"/>
  <c r="BT215" i="6" s="1"/>
  <c r="BU215" i="6" s="1"/>
  <c r="BV215" i="6" s="1"/>
  <c r="BW215" i="6" s="1"/>
  <c r="BX215" i="6" s="1"/>
  <c r="BY215" i="6" s="1"/>
  <c r="BZ215" i="6" s="1"/>
  <c r="CA215" i="6" s="1"/>
  <c r="CB215" i="6" s="1"/>
  <c r="CC215" i="6" s="1"/>
  <c r="CD215" i="6" s="1"/>
  <c r="CE215" i="6" s="1"/>
  <c r="CF215" i="6" s="1"/>
  <c r="CG215" i="6" s="1"/>
  <c r="CH215" i="6" s="1"/>
  <c r="CI215" i="6" s="1"/>
  <c r="CJ215" i="6" s="1"/>
  <c r="CK215" i="6" s="1"/>
  <c r="CL215" i="6" s="1"/>
  <c r="CM215" i="6" s="1"/>
  <c r="CN215" i="6" s="1"/>
  <c r="CO215" i="6" s="1"/>
  <c r="BC102" i="6"/>
  <c r="BD102" i="6" s="1"/>
  <c r="BE102" i="6" s="1"/>
  <c r="BF102" i="6" s="1"/>
  <c r="BG102" i="6" s="1"/>
  <c r="BH102" i="6" s="1"/>
  <c r="BI102" i="6" s="1"/>
  <c r="BJ102" i="6" s="1"/>
  <c r="BK102" i="6" s="1"/>
  <c r="BL102" i="6" s="1"/>
  <c r="BM102" i="6" s="1"/>
  <c r="BN102" i="6" s="1"/>
  <c r="BO102" i="6" s="1"/>
  <c r="BP102" i="6" s="1"/>
  <c r="BQ102" i="6" s="1"/>
  <c r="BR102" i="6" s="1"/>
  <c r="BS102" i="6" s="1"/>
  <c r="BT102" i="6" s="1"/>
  <c r="BU102" i="6" s="1"/>
  <c r="BV102" i="6" s="1"/>
  <c r="BW102" i="6" s="1"/>
  <c r="BX102" i="6" s="1"/>
  <c r="BY102" i="6" s="1"/>
  <c r="BZ102" i="6" s="1"/>
  <c r="CA102" i="6" s="1"/>
  <c r="CB102" i="6" s="1"/>
  <c r="CC102" i="6" s="1"/>
  <c r="CD102" i="6" s="1"/>
  <c r="CE102" i="6" s="1"/>
  <c r="CF102" i="6" s="1"/>
  <c r="CG102" i="6" s="1"/>
  <c r="CH102" i="6" s="1"/>
  <c r="CI102" i="6" s="1"/>
  <c r="CJ102" i="6" s="1"/>
  <c r="CK102" i="6" s="1"/>
  <c r="CL102" i="6" s="1"/>
  <c r="CM102" i="6" s="1"/>
  <c r="CN102" i="6" s="1"/>
  <c r="CO102" i="6" s="1"/>
  <c r="BC108" i="6"/>
  <c r="BD108" i="6" s="1"/>
  <c r="BE108" i="6" s="1"/>
  <c r="BF108" i="6" s="1"/>
  <c r="BG108" i="6" s="1"/>
  <c r="BH108" i="6" s="1"/>
  <c r="BI108" i="6" s="1"/>
  <c r="BJ108" i="6" s="1"/>
  <c r="BK108" i="6" s="1"/>
  <c r="BL108" i="6" s="1"/>
  <c r="BM108" i="6" s="1"/>
  <c r="BN108" i="6" s="1"/>
  <c r="BO108" i="6" s="1"/>
  <c r="BP108" i="6" s="1"/>
  <c r="BQ108" i="6" s="1"/>
  <c r="BR108" i="6" s="1"/>
  <c r="BS108" i="6" s="1"/>
  <c r="BT108" i="6" s="1"/>
  <c r="BU108" i="6" s="1"/>
  <c r="BV108" i="6" s="1"/>
  <c r="BW108" i="6" s="1"/>
  <c r="BX108" i="6" s="1"/>
  <c r="BY108" i="6" s="1"/>
  <c r="BZ108" i="6" s="1"/>
  <c r="CA108" i="6" s="1"/>
  <c r="CB108" i="6" s="1"/>
  <c r="CC108" i="6" s="1"/>
  <c r="CD108" i="6" s="1"/>
  <c r="CE108" i="6" s="1"/>
  <c r="CF108" i="6" s="1"/>
  <c r="CG108" i="6" s="1"/>
  <c r="CH108" i="6" s="1"/>
  <c r="CI108" i="6" s="1"/>
  <c r="CJ108" i="6" s="1"/>
  <c r="CK108" i="6" s="1"/>
  <c r="CL108" i="6" s="1"/>
  <c r="CM108" i="6" s="1"/>
  <c r="CN108" i="6" s="1"/>
  <c r="CO108" i="6" s="1"/>
  <c r="BC114" i="6"/>
  <c r="BD114" i="6" s="1"/>
  <c r="BE114" i="6" s="1"/>
  <c r="BF114" i="6" s="1"/>
  <c r="BG114" i="6" s="1"/>
  <c r="BH114" i="6" s="1"/>
  <c r="BI114" i="6" s="1"/>
  <c r="BJ114" i="6" s="1"/>
  <c r="BK114" i="6" s="1"/>
  <c r="BL114" i="6" s="1"/>
  <c r="BM114" i="6" s="1"/>
  <c r="BN114" i="6" s="1"/>
  <c r="BO114" i="6" s="1"/>
  <c r="BP114" i="6" s="1"/>
  <c r="BQ114" i="6" s="1"/>
  <c r="BR114" i="6" s="1"/>
  <c r="BS114" i="6" s="1"/>
  <c r="BT114" i="6" s="1"/>
  <c r="BU114" i="6" s="1"/>
  <c r="BV114" i="6" s="1"/>
  <c r="BW114" i="6" s="1"/>
  <c r="BX114" i="6" s="1"/>
  <c r="BY114" i="6" s="1"/>
  <c r="BZ114" i="6" s="1"/>
  <c r="CA114" i="6" s="1"/>
  <c r="CB114" i="6" s="1"/>
  <c r="CC114" i="6" s="1"/>
  <c r="CD114" i="6" s="1"/>
  <c r="CE114" i="6" s="1"/>
  <c r="CF114" i="6" s="1"/>
  <c r="CG114" i="6" s="1"/>
  <c r="CH114" i="6" s="1"/>
  <c r="CI114" i="6" s="1"/>
  <c r="CJ114" i="6" s="1"/>
  <c r="CK114" i="6" s="1"/>
  <c r="CL114" i="6" s="1"/>
  <c r="CM114" i="6" s="1"/>
  <c r="CN114" i="6" s="1"/>
  <c r="CO114" i="6" s="1"/>
  <c r="BC94" i="6"/>
  <c r="BD94" i="6" s="1"/>
  <c r="BE94" i="6" s="1"/>
  <c r="BF94" i="6" s="1"/>
  <c r="BG94" i="6" s="1"/>
  <c r="BH94" i="6" s="1"/>
  <c r="BI94" i="6" s="1"/>
  <c r="BJ94" i="6" s="1"/>
  <c r="BK94" i="6" s="1"/>
  <c r="BL94" i="6" s="1"/>
  <c r="BM94" i="6" s="1"/>
  <c r="BN94" i="6" s="1"/>
  <c r="BO94" i="6" s="1"/>
  <c r="BP94" i="6" s="1"/>
  <c r="BQ94" i="6" s="1"/>
  <c r="BR94" i="6" s="1"/>
  <c r="BS94" i="6" s="1"/>
  <c r="BT94" i="6" s="1"/>
  <c r="BU94" i="6" s="1"/>
  <c r="BV94" i="6" s="1"/>
  <c r="BW94" i="6" s="1"/>
  <c r="BX94" i="6" s="1"/>
  <c r="BY94" i="6" s="1"/>
  <c r="BZ94" i="6" s="1"/>
  <c r="CA94" i="6" s="1"/>
  <c r="CB94" i="6" s="1"/>
  <c r="CC94" i="6" s="1"/>
  <c r="CD94" i="6" s="1"/>
  <c r="CE94" i="6" s="1"/>
  <c r="CF94" i="6" s="1"/>
  <c r="CG94" i="6" s="1"/>
  <c r="CH94" i="6" s="1"/>
  <c r="CI94" i="6" s="1"/>
  <c r="CJ94" i="6" s="1"/>
  <c r="CK94" i="6" s="1"/>
  <c r="CL94" i="6" s="1"/>
  <c r="CM94" i="6" s="1"/>
  <c r="CN94" i="6" s="1"/>
  <c r="CO94" i="6" s="1"/>
  <c r="BC203" i="6"/>
  <c r="BD203" i="6" s="1"/>
  <c r="BE203" i="6" s="1"/>
  <c r="BF203" i="6" s="1"/>
  <c r="BG203" i="6" s="1"/>
  <c r="BH203" i="6" s="1"/>
  <c r="BI203" i="6" s="1"/>
  <c r="BJ203" i="6" s="1"/>
  <c r="BK203" i="6" s="1"/>
  <c r="BL203" i="6" s="1"/>
  <c r="BM203" i="6" s="1"/>
  <c r="BN203" i="6" s="1"/>
  <c r="BO203" i="6" s="1"/>
  <c r="BP203" i="6" s="1"/>
  <c r="BQ203" i="6" s="1"/>
  <c r="BR203" i="6" s="1"/>
  <c r="BS203" i="6" s="1"/>
  <c r="BT203" i="6" s="1"/>
  <c r="BU203" i="6" s="1"/>
  <c r="BV203" i="6" s="1"/>
  <c r="BW203" i="6" s="1"/>
  <c r="BX203" i="6" s="1"/>
  <c r="BY203" i="6" s="1"/>
  <c r="BZ203" i="6" s="1"/>
  <c r="CA203" i="6" s="1"/>
  <c r="CB203" i="6" s="1"/>
  <c r="CC203" i="6" s="1"/>
  <c r="CD203" i="6" s="1"/>
  <c r="CE203" i="6" s="1"/>
  <c r="CF203" i="6" s="1"/>
  <c r="CG203" i="6" s="1"/>
  <c r="CH203" i="6" s="1"/>
  <c r="CI203" i="6" s="1"/>
  <c r="CJ203" i="6" s="1"/>
  <c r="CK203" i="6" s="1"/>
  <c r="CL203" i="6" s="1"/>
  <c r="CM203" i="6" s="1"/>
  <c r="CN203" i="6" s="1"/>
  <c r="CO203" i="6" s="1"/>
  <c r="BC223" i="6"/>
  <c r="BD223" i="6" s="1"/>
  <c r="BE223" i="6" s="1"/>
  <c r="BF223" i="6" s="1"/>
  <c r="BG223" i="6" s="1"/>
  <c r="BH223" i="6" s="1"/>
  <c r="BI223" i="6" s="1"/>
  <c r="BJ223" i="6" s="1"/>
  <c r="BK223" i="6" s="1"/>
  <c r="BL223" i="6" s="1"/>
  <c r="BM223" i="6" s="1"/>
  <c r="BN223" i="6" s="1"/>
  <c r="BO223" i="6" s="1"/>
  <c r="BP223" i="6" s="1"/>
  <c r="BQ223" i="6" s="1"/>
  <c r="BR223" i="6" s="1"/>
  <c r="BS223" i="6" s="1"/>
  <c r="BT223" i="6" s="1"/>
  <c r="BU223" i="6" s="1"/>
  <c r="BV223" i="6" s="1"/>
  <c r="BW223" i="6" s="1"/>
  <c r="BX223" i="6" s="1"/>
  <c r="BY223" i="6" s="1"/>
  <c r="BZ223" i="6" s="1"/>
  <c r="CA223" i="6" s="1"/>
  <c r="CB223" i="6" s="1"/>
  <c r="CC223" i="6" s="1"/>
  <c r="CD223" i="6" s="1"/>
  <c r="CE223" i="6" s="1"/>
  <c r="CF223" i="6" s="1"/>
  <c r="CG223" i="6" s="1"/>
  <c r="CH223" i="6" s="1"/>
  <c r="CI223" i="6" s="1"/>
  <c r="CJ223" i="6" s="1"/>
  <c r="CK223" i="6" s="1"/>
  <c r="CL223" i="6" s="1"/>
  <c r="CM223" i="6" s="1"/>
  <c r="CN223" i="6" s="1"/>
  <c r="CO223" i="6" s="1"/>
  <c r="BC11" i="6"/>
  <c r="BD11" i="6" s="1"/>
  <c r="BE11" i="6" s="1"/>
  <c r="BF11" i="6" s="1"/>
  <c r="BG11" i="6" s="1"/>
  <c r="BH11" i="6" s="1"/>
  <c r="BI11" i="6" s="1"/>
  <c r="BJ11" i="6" s="1"/>
  <c r="BK11" i="6" s="1"/>
  <c r="BL11" i="6" s="1"/>
  <c r="BM11" i="6" s="1"/>
  <c r="BN11" i="6" s="1"/>
  <c r="BO11" i="6" s="1"/>
  <c r="BP11" i="6" s="1"/>
  <c r="BQ11" i="6" s="1"/>
  <c r="BR11" i="6" s="1"/>
  <c r="BS11" i="6" s="1"/>
  <c r="BT11" i="6" s="1"/>
  <c r="BU11" i="6" s="1"/>
  <c r="BV11" i="6" s="1"/>
  <c r="BW11" i="6" s="1"/>
  <c r="BX11" i="6" s="1"/>
  <c r="BY11" i="6" s="1"/>
  <c r="BZ11" i="6" s="1"/>
  <c r="CA11" i="6" s="1"/>
  <c r="CB11" i="6" s="1"/>
  <c r="CC11" i="6" s="1"/>
  <c r="CD11" i="6" s="1"/>
  <c r="CE11" i="6" s="1"/>
  <c r="CF11" i="6" s="1"/>
  <c r="CG11" i="6" s="1"/>
  <c r="CH11" i="6" s="1"/>
  <c r="CI11" i="6" s="1"/>
  <c r="CJ11" i="6" s="1"/>
  <c r="CK11" i="6" s="1"/>
  <c r="CL11" i="6" s="1"/>
  <c r="CM11" i="6" s="1"/>
  <c r="CN11" i="6" s="1"/>
  <c r="CO11" i="6" s="1"/>
  <c r="BC55" i="6"/>
  <c r="BD55" i="6" s="1"/>
  <c r="BE55" i="6" s="1"/>
  <c r="BF55" i="6" s="1"/>
  <c r="BG55" i="6" s="1"/>
  <c r="BH55" i="6" s="1"/>
  <c r="BI55" i="6" s="1"/>
  <c r="BJ55" i="6" s="1"/>
  <c r="BK55" i="6" s="1"/>
  <c r="BL55" i="6" s="1"/>
  <c r="BM55" i="6" s="1"/>
  <c r="BN55" i="6" s="1"/>
  <c r="BO55" i="6" s="1"/>
  <c r="BP55" i="6" s="1"/>
  <c r="BQ55" i="6" s="1"/>
  <c r="BR55" i="6" s="1"/>
  <c r="BS55" i="6" s="1"/>
  <c r="BT55" i="6" s="1"/>
  <c r="BU55" i="6" s="1"/>
  <c r="BV55" i="6" s="1"/>
  <c r="BW55" i="6" s="1"/>
  <c r="BX55" i="6" s="1"/>
  <c r="BY55" i="6" s="1"/>
  <c r="BZ55" i="6" s="1"/>
  <c r="CA55" i="6" s="1"/>
  <c r="CB55" i="6" s="1"/>
  <c r="CC55" i="6" s="1"/>
  <c r="CD55" i="6" s="1"/>
  <c r="CE55" i="6" s="1"/>
  <c r="CF55" i="6" s="1"/>
  <c r="CG55" i="6" s="1"/>
  <c r="CH55" i="6" s="1"/>
  <c r="CI55" i="6" s="1"/>
  <c r="CJ55" i="6" s="1"/>
  <c r="CK55" i="6" s="1"/>
  <c r="CL55" i="6" s="1"/>
  <c r="CM55" i="6" s="1"/>
  <c r="CN55" i="6" s="1"/>
  <c r="CO55" i="6" s="1"/>
  <c r="BC98" i="6"/>
  <c r="BD98" i="6" s="1"/>
  <c r="BE98" i="6" s="1"/>
  <c r="BF98" i="6" s="1"/>
  <c r="BG98" i="6" s="1"/>
  <c r="BH98" i="6" s="1"/>
  <c r="BI98" i="6" s="1"/>
  <c r="BJ98" i="6" s="1"/>
  <c r="BK98" i="6" s="1"/>
  <c r="BL98" i="6" s="1"/>
  <c r="BM98" i="6" s="1"/>
  <c r="BN98" i="6" s="1"/>
  <c r="BO98" i="6" s="1"/>
  <c r="BP98" i="6" s="1"/>
  <c r="BQ98" i="6" s="1"/>
  <c r="BR98" i="6" s="1"/>
  <c r="BS98" i="6" s="1"/>
  <c r="BT98" i="6" s="1"/>
  <c r="BU98" i="6" s="1"/>
  <c r="BV98" i="6" s="1"/>
  <c r="BW98" i="6" s="1"/>
  <c r="BX98" i="6" s="1"/>
  <c r="BY98" i="6" s="1"/>
  <c r="BZ98" i="6" s="1"/>
  <c r="CA98" i="6" s="1"/>
  <c r="CB98" i="6" s="1"/>
  <c r="CC98" i="6" s="1"/>
  <c r="CD98" i="6" s="1"/>
  <c r="CE98" i="6" s="1"/>
  <c r="CF98" i="6" s="1"/>
  <c r="CG98" i="6" s="1"/>
  <c r="CH98" i="6" s="1"/>
  <c r="CI98" i="6" s="1"/>
  <c r="CJ98" i="6" s="1"/>
  <c r="CK98" i="6" s="1"/>
  <c r="CL98" i="6" s="1"/>
  <c r="CM98" i="6" s="1"/>
  <c r="CN98" i="6" s="1"/>
  <c r="CO98" i="6" s="1"/>
  <c r="BC41" i="6"/>
  <c r="BD41" i="6" s="1"/>
  <c r="BE41" i="6" s="1"/>
  <c r="BF41" i="6" s="1"/>
  <c r="BG41" i="6" s="1"/>
  <c r="BH41" i="6" s="1"/>
  <c r="BI41" i="6" s="1"/>
  <c r="BJ41" i="6" s="1"/>
  <c r="BK41" i="6" s="1"/>
  <c r="BL41" i="6" s="1"/>
  <c r="BM41" i="6" s="1"/>
  <c r="BN41" i="6" s="1"/>
  <c r="BO41" i="6" s="1"/>
  <c r="BP41" i="6" s="1"/>
  <c r="BQ41" i="6" s="1"/>
  <c r="BR41" i="6" s="1"/>
  <c r="BS41" i="6" s="1"/>
  <c r="BT41" i="6" s="1"/>
  <c r="BU41" i="6" s="1"/>
  <c r="BV41" i="6" s="1"/>
  <c r="BW41" i="6" s="1"/>
  <c r="BX41" i="6" s="1"/>
  <c r="BY41" i="6" s="1"/>
  <c r="BZ41" i="6" s="1"/>
  <c r="CA41" i="6" s="1"/>
  <c r="CB41" i="6" s="1"/>
  <c r="CC41" i="6" s="1"/>
  <c r="CD41" i="6" s="1"/>
  <c r="CE41" i="6" s="1"/>
  <c r="CF41" i="6" s="1"/>
  <c r="CG41" i="6" s="1"/>
  <c r="CH41" i="6" s="1"/>
  <c r="CI41" i="6" s="1"/>
  <c r="CJ41" i="6" s="1"/>
  <c r="CK41" i="6" s="1"/>
  <c r="CL41" i="6" s="1"/>
  <c r="CM41" i="6" s="1"/>
  <c r="CN41" i="6" s="1"/>
  <c r="CO41" i="6" s="1"/>
  <c r="BC295" i="6"/>
  <c r="BD295" i="6" s="1"/>
  <c r="BE295" i="6" s="1"/>
  <c r="BF295" i="6" s="1"/>
  <c r="BG295" i="6" s="1"/>
  <c r="BH295" i="6" s="1"/>
  <c r="BI295" i="6" s="1"/>
  <c r="BJ295" i="6" s="1"/>
  <c r="BK295" i="6" s="1"/>
  <c r="BL295" i="6" s="1"/>
  <c r="BM295" i="6" s="1"/>
  <c r="BN295" i="6" s="1"/>
  <c r="BO295" i="6" s="1"/>
  <c r="BP295" i="6" s="1"/>
  <c r="BQ295" i="6" s="1"/>
  <c r="BR295" i="6" s="1"/>
  <c r="BS295" i="6" s="1"/>
  <c r="BT295" i="6" s="1"/>
  <c r="BU295" i="6" s="1"/>
  <c r="BV295" i="6" s="1"/>
  <c r="BW295" i="6" s="1"/>
  <c r="BX295" i="6" s="1"/>
  <c r="BY295" i="6" s="1"/>
  <c r="BZ295" i="6" s="1"/>
  <c r="CA295" i="6" s="1"/>
  <c r="CB295" i="6" s="1"/>
  <c r="CC295" i="6" s="1"/>
  <c r="CD295" i="6" s="1"/>
  <c r="CE295" i="6" s="1"/>
  <c r="CF295" i="6" s="1"/>
  <c r="CG295" i="6" s="1"/>
  <c r="CH295" i="6" s="1"/>
  <c r="CI295" i="6" s="1"/>
  <c r="CJ295" i="6" s="1"/>
  <c r="CK295" i="6" s="1"/>
  <c r="CL295" i="6" s="1"/>
  <c r="CM295" i="6" s="1"/>
  <c r="CN295" i="6" s="1"/>
  <c r="CO295" i="6" s="1"/>
  <c r="BC275" i="6"/>
  <c r="BD275" i="6" s="1"/>
  <c r="BE275" i="6" s="1"/>
  <c r="BF275" i="6" s="1"/>
  <c r="BG275" i="6" s="1"/>
  <c r="BH275" i="6" s="1"/>
  <c r="BI275" i="6" s="1"/>
  <c r="BJ275" i="6" s="1"/>
  <c r="BK275" i="6" s="1"/>
  <c r="BL275" i="6" s="1"/>
  <c r="BM275" i="6" s="1"/>
  <c r="BN275" i="6" s="1"/>
  <c r="BO275" i="6" s="1"/>
  <c r="BP275" i="6" s="1"/>
  <c r="BQ275" i="6" s="1"/>
  <c r="BR275" i="6" s="1"/>
  <c r="BS275" i="6" s="1"/>
  <c r="BT275" i="6" s="1"/>
  <c r="BU275" i="6" s="1"/>
  <c r="BV275" i="6" s="1"/>
  <c r="BW275" i="6" s="1"/>
  <c r="BX275" i="6" s="1"/>
  <c r="BY275" i="6" s="1"/>
  <c r="BZ275" i="6" s="1"/>
  <c r="CA275" i="6" s="1"/>
  <c r="CB275" i="6" s="1"/>
  <c r="CC275" i="6" s="1"/>
  <c r="CD275" i="6" s="1"/>
  <c r="CE275" i="6" s="1"/>
  <c r="CF275" i="6" s="1"/>
  <c r="CG275" i="6" s="1"/>
  <c r="CH275" i="6" s="1"/>
  <c r="CI275" i="6" s="1"/>
  <c r="CJ275" i="6" s="1"/>
  <c r="CK275" i="6" s="1"/>
  <c r="CL275" i="6" s="1"/>
  <c r="CM275" i="6" s="1"/>
  <c r="CN275" i="6" s="1"/>
  <c r="CO275" i="6" s="1"/>
  <c r="BC283" i="6"/>
  <c r="BD283" i="6" s="1"/>
  <c r="BE283" i="6" s="1"/>
  <c r="BF283" i="6" s="1"/>
  <c r="BG283" i="6" s="1"/>
  <c r="BH283" i="6" s="1"/>
  <c r="BI283" i="6" s="1"/>
  <c r="BJ283" i="6" s="1"/>
  <c r="BK283" i="6" s="1"/>
  <c r="BL283" i="6" s="1"/>
  <c r="BM283" i="6" s="1"/>
  <c r="BN283" i="6" s="1"/>
  <c r="BO283" i="6" s="1"/>
  <c r="BP283" i="6" s="1"/>
  <c r="BQ283" i="6" s="1"/>
  <c r="BR283" i="6" s="1"/>
  <c r="BS283" i="6" s="1"/>
  <c r="BT283" i="6" s="1"/>
  <c r="BU283" i="6" s="1"/>
  <c r="BV283" i="6" s="1"/>
  <c r="BW283" i="6" s="1"/>
  <c r="BX283" i="6" s="1"/>
  <c r="BY283" i="6" s="1"/>
  <c r="BZ283" i="6" s="1"/>
  <c r="CA283" i="6" s="1"/>
  <c r="CB283" i="6" s="1"/>
  <c r="CC283" i="6" s="1"/>
  <c r="CD283" i="6" s="1"/>
  <c r="CE283" i="6" s="1"/>
  <c r="CF283" i="6" s="1"/>
  <c r="CG283" i="6" s="1"/>
  <c r="CH283" i="6" s="1"/>
  <c r="CI283" i="6" s="1"/>
  <c r="CJ283" i="6" s="1"/>
  <c r="CK283" i="6" s="1"/>
  <c r="CL283" i="6" s="1"/>
  <c r="CM283" i="6" s="1"/>
  <c r="CN283" i="6" s="1"/>
  <c r="CO283" i="6" s="1"/>
  <c r="BC350" i="6"/>
  <c r="BD350" i="6" s="1"/>
  <c r="BE350" i="6" s="1"/>
  <c r="BF350" i="6" s="1"/>
  <c r="BG350" i="6" s="1"/>
  <c r="BH350" i="6" s="1"/>
  <c r="BI350" i="6" s="1"/>
  <c r="BJ350" i="6" s="1"/>
  <c r="BK350" i="6" s="1"/>
  <c r="BL350" i="6" s="1"/>
  <c r="BM350" i="6" s="1"/>
  <c r="BN350" i="6" s="1"/>
  <c r="BO350" i="6" s="1"/>
  <c r="BP350" i="6" s="1"/>
  <c r="BQ350" i="6" s="1"/>
  <c r="BR350" i="6" s="1"/>
  <c r="BS350" i="6" s="1"/>
  <c r="BT350" i="6" s="1"/>
  <c r="BU350" i="6" s="1"/>
  <c r="BV350" i="6" s="1"/>
  <c r="BW350" i="6" s="1"/>
  <c r="BX350" i="6" s="1"/>
  <c r="BY350" i="6" s="1"/>
  <c r="BZ350" i="6" s="1"/>
  <c r="CA350" i="6" s="1"/>
  <c r="CB350" i="6" s="1"/>
  <c r="CC350" i="6" s="1"/>
  <c r="CD350" i="6" s="1"/>
  <c r="CE350" i="6" s="1"/>
  <c r="CF350" i="6" s="1"/>
  <c r="CG350" i="6" s="1"/>
  <c r="CH350" i="6" s="1"/>
  <c r="CI350" i="6" s="1"/>
  <c r="CJ350" i="6" s="1"/>
  <c r="CK350" i="6" s="1"/>
  <c r="CL350" i="6" s="1"/>
  <c r="CM350" i="6" s="1"/>
  <c r="CN350" i="6" s="1"/>
  <c r="CO350" i="6" s="1"/>
  <c r="BC354" i="6"/>
  <c r="BD354" i="6" s="1"/>
  <c r="BE354" i="6" s="1"/>
  <c r="BC219" i="6"/>
  <c r="BD219" i="6" s="1"/>
  <c r="BE219" i="6" s="1"/>
  <c r="BF219" i="6" s="1"/>
  <c r="BG219" i="6" s="1"/>
  <c r="BH219" i="6" s="1"/>
  <c r="BI219" i="6" s="1"/>
  <c r="BJ219" i="6" s="1"/>
  <c r="BK219" i="6" s="1"/>
  <c r="BL219" i="6" s="1"/>
  <c r="BM219" i="6" s="1"/>
  <c r="BN219" i="6" s="1"/>
  <c r="BO219" i="6" s="1"/>
  <c r="BP219" i="6" s="1"/>
  <c r="BQ219" i="6" s="1"/>
  <c r="BR219" i="6" s="1"/>
  <c r="BS219" i="6" s="1"/>
  <c r="BT219" i="6" s="1"/>
  <c r="BU219" i="6" s="1"/>
  <c r="BV219" i="6" s="1"/>
  <c r="BW219" i="6" s="1"/>
  <c r="BX219" i="6" s="1"/>
  <c r="BY219" i="6" s="1"/>
  <c r="BZ219" i="6" s="1"/>
  <c r="CA219" i="6" s="1"/>
  <c r="CB219" i="6" s="1"/>
  <c r="CC219" i="6" s="1"/>
  <c r="CD219" i="6" s="1"/>
  <c r="CE219" i="6" s="1"/>
  <c r="CF219" i="6" s="1"/>
  <c r="CG219" i="6" s="1"/>
  <c r="CH219" i="6" s="1"/>
  <c r="CI219" i="6" s="1"/>
  <c r="CJ219" i="6" s="1"/>
  <c r="CK219" i="6" s="1"/>
  <c r="CL219" i="6" s="1"/>
  <c r="CM219" i="6" s="1"/>
  <c r="CN219" i="6" s="1"/>
  <c r="CO219" i="6" s="1"/>
  <c r="BC122" i="6"/>
  <c r="BD122" i="6" s="1"/>
  <c r="BE122" i="6" s="1"/>
  <c r="BF122" i="6" s="1"/>
  <c r="BG122" i="6" s="1"/>
  <c r="BH122" i="6" s="1"/>
  <c r="BI122" i="6" s="1"/>
  <c r="BJ122" i="6" s="1"/>
  <c r="BK122" i="6" s="1"/>
  <c r="BL122" i="6" s="1"/>
  <c r="BM122" i="6" s="1"/>
  <c r="BN122" i="6" s="1"/>
  <c r="BO122" i="6" s="1"/>
  <c r="BP122" i="6" s="1"/>
  <c r="BQ122" i="6" s="1"/>
  <c r="BR122" i="6" s="1"/>
  <c r="BS122" i="6" s="1"/>
  <c r="BT122" i="6" s="1"/>
  <c r="BU122" i="6" s="1"/>
  <c r="BV122" i="6" s="1"/>
  <c r="BW122" i="6" s="1"/>
  <c r="BX122" i="6" s="1"/>
  <c r="BY122" i="6" s="1"/>
  <c r="BZ122" i="6" s="1"/>
  <c r="CA122" i="6" s="1"/>
  <c r="CB122" i="6" s="1"/>
  <c r="CC122" i="6" s="1"/>
  <c r="CD122" i="6" s="1"/>
  <c r="CE122" i="6" s="1"/>
  <c r="CF122" i="6" s="1"/>
  <c r="CG122" i="6" s="1"/>
  <c r="CH122" i="6" s="1"/>
  <c r="CI122" i="6" s="1"/>
  <c r="CJ122" i="6" s="1"/>
  <c r="CK122" i="6" s="1"/>
  <c r="CL122" i="6" s="1"/>
  <c r="CM122" i="6" s="1"/>
  <c r="CN122" i="6" s="1"/>
  <c r="CO122" i="6" s="1"/>
  <c r="BC27" i="6"/>
  <c r="BD27" i="6" s="1"/>
  <c r="BE27" i="6" s="1"/>
  <c r="BF27" i="6" s="1"/>
  <c r="BG27" i="6" s="1"/>
  <c r="BH27" i="6" s="1"/>
  <c r="BI27" i="6" s="1"/>
  <c r="BJ27" i="6" s="1"/>
  <c r="BK27" i="6" s="1"/>
  <c r="BL27" i="6" s="1"/>
  <c r="BM27" i="6" s="1"/>
  <c r="BN27" i="6" s="1"/>
  <c r="BO27" i="6" s="1"/>
  <c r="BP27" i="6" s="1"/>
  <c r="BQ27" i="6" s="1"/>
  <c r="BR27" i="6" s="1"/>
  <c r="BS27" i="6" s="1"/>
  <c r="BT27" i="6" s="1"/>
  <c r="BU27" i="6" s="1"/>
  <c r="BV27" i="6" s="1"/>
  <c r="BW27" i="6" s="1"/>
  <c r="BX27" i="6" s="1"/>
  <c r="BY27" i="6" s="1"/>
  <c r="BZ27" i="6" s="1"/>
  <c r="CA27" i="6" s="1"/>
  <c r="CB27" i="6" s="1"/>
  <c r="CC27" i="6" s="1"/>
  <c r="CD27" i="6" s="1"/>
  <c r="CE27" i="6" s="1"/>
  <c r="CF27" i="6" s="1"/>
  <c r="CG27" i="6" s="1"/>
  <c r="CH27" i="6" s="1"/>
  <c r="CI27" i="6" s="1"/>
  <c r="CJ27" i="6" s="1"/>
  <c r="CK27" i="6" s="1"/>
  <c r="CL27" i="6" s="1"/>
  <c r="CM27" i="6" s="1"/>
  <c r="CN27" i="6" s="1"/>
  <c r="CO27" i="6" s="1"/>
  <c r="BC25" i="6"/>
  <c r="BD25" i="6" s="1"/>
  <c r="BE25" i="6" s="1"/>
  <c r="BF25" i="6" s="1"/>
  <c r="BG25" i="6" s="1"/>
  <c r="BH25" i="6" s="1"/>
  <c r="BI25" i="6" s="1"/>
  <c r="BJ25" i="6" s="1"/>
  <c r="BK25" i="6" s="1"/>
  <c r="BL25" i="6" s="1"/>
  <c r="BM25" i="6" s="1"/>
  <c r="BN25" i="6" s="1"/>
  <c r="BO25" i="6" s="1"/>
  <c r="BP25" i="6" s="1"/>
  <c r="BQ25" i="6" s="1"/>
  <c r="BR25" i="6" s="1"/>
  <c r="BS25" i="6" s="1"/>
  <c r="BT25" i="6" s="1"/>
  <c r="BU25" i="6" s="1"/>
  <c r="BV25" i="6" s="1"/>
  <c r="BW25" i="6" s="1"/>
  <c r="BX25" i="6" s="1"/>
  <c r="BY25" i="6" s="1"/>
  <c r="BZ25" i="6" s="1"/>
  <c r="CA25" i="6" s="1"/>
  <c r="CB25" i="6" s="1"/>
  <c r="CC25" i="6" s="1"/>
  <c r="CD25" i="6" s="1"/>
  <c r="CE25" i="6" s="1"/>
  <c r="CF25" i="6" s="1"/>
  <c r="CG25" i="6" s="1"/>
  <c r="CH25" i="6" s="1"/>
  <c r="CI25" i="6" s="1"/>
  <c r="CJ25" i="6" s="1"/>
  <c r="CK25" i="6" s="1"/>
  <c r="CL25" i="6" s="1"/>
  <c r="CM25" i="6" s="1"/>
  <c r="CN25" i="6" s="1"/>
  <c r="CO25" i="6" s="1"/>
  <c r="BC209" i="6"/>
  <c r="BD209" i="6" s="1"/>
  <c r="BE209" i="6" s="1"/>
  <c r="BF209" i="6" s="1"/>
  <c r="BG209" i="6" s="1"/>
  <c r="BH209" i="6" s="1"/>
  <c r="BI209" i="6" s="1"/>
  <c r="BJ209" i="6" s="1"/>
  <c r="BK209" i="6" s="1"/>
  <c r="BL209" i="6" s="1"/>
  <c r="BM209" i="6" s="1"/>
  <c r="BN209" i="6" s="1"/>
  <c r="BO209" i="6" s="1"/>
  <c r="BP209" i="6" s="1"/>
  <c r="BQ209" i="6" s="1"/>
  <c r="BR209" i="6" s="1"/>
  <c r="BS209" i="6" s="1"/>
  <c r="BT209" i="6" s="1"/>
  <c r="BU209" i="6" s="1"/>
  <c r="BV209" i="6" s="1"/>
  <c r="BW209" i="6" s="1"/>
  <c r="BX209" i="6" s="1"/>
  <c r="BY209" i="6" s="1"/>
  <c r="BZ209" i="6" s="1"/>
  <c r="CA209" i="6" s="1"/>
  <c r="CB209" i="6" s="1"/>
  <c r="CC209" i="6" s="1"/>
  <c r="CD209" i="6" s="1"/>
  <c r="CE209" i="6" s="1"/>
  <c r="CF209" i="6" s="1"/>
  <c r="CG209" i="6" s="1"/>
  <c r="CH209" i="6" s="1"/>
  <c r="CI209" i="6" s="1"/>
  <c r="CJ209" i="6" s="1"/>
  <c r="CK209" i="6" s="1"/>
  <c r="CL209" i="6" s="1"/>
  <c r="CM209" i="6" s="1"/>
  <c r="CN209" i="6" s="1"/>
  <c r="CO209" i="6" s="1"/>
  <c r="BC158" i="6"/>
  <c r="BD158" i="6" s="1"/>
  <c r="BE158" i="6" s="1"/>
  <c r="BF158" i="6" s="1"/>
  <c r="BG158" i="6" s="1"/>
  <c r="BH158" i="6" s="1"/>
  <c r="BI158" i="6" s="1"/>
  <c r="BJ158" i="6" s="1"/>
  <c r="BK158" i="6" s="1"/>
  <c r="BL158" i="6" s="1"/>
  <c r="BM158" i="6" s="1"/>
  <c r="BN158" i="6" s="1"/>
  <c r="BO158" i="6" s="1"/>
  <c r="BP158" i="6" s="1"/>
  <c r="BQ158" i="6" s="1"/>
  <c r="BR158" i="6" s="1"/>
  <c r="BS158" i="6" s="1"/>
  <c r="BT158" i="6" s="1"/>
  <c r="BU158" i="6" s="1"/>
  <c r="BV158" i="6" s="1"/>
  <c r="BW158" i="6" s="1"/>
  <c r="BX158" i="6" s="1"/>
  <c r="BY158" i="6" s="1"/>
  <c r="BZ158" i="6" s="1"/>
  <c r="CA158" i="6" s="1"/>
  <c r="CB158" i="6" s="1"/>
  <c r="CC158" i="6" s="1"/>
  <c r="CD158" i="6" s="1"/>
  <c r="CE158" i="6" s="1"/>
  <c r="CF158" i="6" s="1"/>
  <c r="CG158" i="6" s="1"/>
  <c r="CH158" i="6" s="1"/>
  <c r="CI158" i="6" s="1"/>
  <c r="CJ158" i="6" s="1"/>
  <c r="CK158" i="6" s="1"/>
  <c r="CL158" i="6" s="1"/>
  <c r="CM158" i="6" s="1"/>
  <c r="CN158" i="6" s="1"/>
  <c r="CO158" i="6" s="1"/>
  <c r="BC39" i="6"/>
  <c r="BD39" i="6" s="1"/>
  <c r="BE39" i="6" s="1"/>
  <c r="BF39" i="6" s="1"/>
  <c r="BG39" i="6" s="1"/>
  <c r="BH39" i="6" s="1"/>
  <c r="BI39" i="6" s="1"/>
  <c r="BJ39" i="6" s="1"/>
  <c r="BK39" i="6" s="1"/>
  <c r="BL39" i="6" s="1"/>
  <c r="BM39" i="6" s="1"/>
  <c r="BN39" i="6" s="1"/>
  <c r="BO39" i="6" s="1"/>
  <c r="BP39" i="6" s="1"/>
  <c r="BQ39" i="6" s="1"/>
  <c r="BR39" i="6" s="1"/>
  <c r="BS39" i="6" s="1"/>
  <c r="BT39" i="6" s="1"/>
  <c r="BU39" i="6" s="1"/>
  <c r="BV39" i="6" s="1"/>
  <c r="BW39" i="6" s="1"/>
  <c r="BX39" i="6" s="1"/>
  <c r="BY39" i="6" s="1"/>
  <c r="BZ39" i="6" s="1"/>
  <c r="CA39" i="6" s="1"/>
  <c r="CB39" i="6" s="1"/>
  <c r="CC39" i="6" s="1"/>
  <c r="CD39" i="6" s="1"/>
  <c r="CE39" i="6" s="1"/>
  <c r="CF39" i="6" s="1"/>
  <c r="CG39" i="6" s="1"/>
  <c r="CH39" i="6" s="1"/>
  <c r="CI39" i="6" s="1"/>
  <c r="CJ39" i="6" s="1"/>
  <c r="CK39" i="6" s="1"/>
  <c r="CL39" i="6" s="1"/>
  <c r="CM39" i="6" s="1"/>
  <c r="CN39" i="6" s="1"/>
  <c r="CO39" i="6" s="1"/>
  <c r="BC199" i="6"/>
  <c r="BD199" i="6" s="1"/>
  <c r="BE199" i="6" s="1"/>
  <c r="BF199" i="6" s="1"/>
  <c r="BG199" i="6" s="1"/>
  <c r="BH199" i="6" s="1"/>
  <c r="BI199" i="6" s="1"/>
  <c r="BJ199" i="6" s="1"/>
  <c r="BK199" i="6" s="1"/>
  <c r="BL199" i="6" s="1"/>
  <c r="BM199" i="6" s="1"/>
  <c r="BN199" i="6" s="1"/>
  <c r="BO199" i="6" s="1"/>
  <c r="BP199" i="6" s="1"/>
  <c r="BQ199" i="6" s="1"/>
  <c r="BR199" i="6" s="1"/>
  <c r="BS199" i="6" s="1"/>
  <c r="BT199" i="6" s="1"/>
  <c r="BU199" i="6" s="1"/>
  <c r="BV199" i="6" s="1"/>
  <c r="BW199" i="6" s="1"/>
  <c r="BX199" i="6" s="1"/>
  <c r="BY199" i="6" s="1"/>
  <c r="BZ199" i="6" s="1"/>
  <c r="CA199" i="6" s="1"/>
  <c r="CB199" i="6" s="1"/>
  <c r="CC199" i="6" s="1"/>
  <c r="CD199" i="6" s="1"/>
  <c r="CE199" i="6" s="1"/>
  <c r="CF199" i="6" s="1"/>
  <c r="CG199" i="6" s="1"/>
  <c r="CH199" i="6" s="1"/>
  <c r="CI199" i="6" s="1"/>
  <c r="CJ199" i="6" s="1"/>
  <c r="CK199" i="6" s="1"/>
  <c r="CL199" i="6" s="1"/>
  <c r="CM199" i="6" s="1"/>
  <c r="CN199" i="6" s="1"/>
  <c r="CO199" i="6" s="1"/>
  <c r="BC136" i="6"/>
  <c r="BD136" i="6" s="1"/>
  <c r="BE136" i="6" s="1"/>
  <c r="BF136" i="6" s="1"/>
  <c r="BG136" i="6" s="1"/>
  <c r="BH136" i="6" s="1"/>
  <c r="BI136" i="6" s="1"/>
  <c r="BJ136" i="6" s="1"/>
  <c r="BK136" i="6" s="1"/>
  <c r="BL136" i="6" s="1"/>
  <c r="BM136" i="6" s="1"/>
  <c r="BN136" i="6" s="1"/>
  <c r="BO136" i="6" s="1"/>
  <c r="BP136" i="6" s="1"/>
  <c r="BQ136" i="6" s="1"/>
  <c r="BR136" i="6" s="1"/>
  <c r="BS136" i="6" s="1"/>
  <c r="BT136" i="6" s="1"/>
  <c r="BU136" i="6" s="1"/>
  <c r="BV136" i="6" s="1"/>
  <c r="BW136" i="6" s="1"/>
  <c r="BX136" i="6" s="1"/>
  <c r="BY136" i="6" s="1"/>
  <c r="BZ136" i="6" s="1"/>
  <c r="CA136" i="6" s="1"/>
  <c r="CB136" i="6" s="1"/>
  <c r="CC136" i="6" s="1"/>
  <c r="CD136" i="6" s="1"/>
  <c r="CE136" i="6" s="1"/>
  <c r="CF136" i="6" s="1"/>
  <c r="CG136" i="6" s="1"/>
  <c r="CH136" i="6" s="1"/>
  <c r="CI136" i="6" s="1"/>
  <c r="CJ136" i="6" s="1"/>
  <c r="CK136" i="6" s="1"/>
  <c r="CL136" i="6" s="1"/>
  <c r="CM136" i="6" s="1"/>
  <c r="CN136" i="6" s="1"/>
  <c r="CO136" i="6" s="1"/>
  <c r="BC110" i="6"/>
  <c r="BD110" i="6" s="1"/>
  <c r="BE110" i="6" s="1"/>
  <c r="BF110" i="6" s="1"/>
  <c r="BG110" i="6" s="1"/>
  <c r="BH110" i="6" s="1"/>
  <c r="BI110" i="6" s="1"/>
  <c r="BJ110" i="6" s="1"/>
  <c r="BK110" i="6" s="1"/>
  <c r="BL110" i="6" s="1"/>
  <c r="BM110" i="6" s="1"/>
  <c r="BN110" i="6" s="1"/>
  <c r="BO110" i="6" s="1"/>
  <c r="BP110" i="6" s="1"/>
  <c r="BQ110" i="6" s="1"/>
  <c r="BR110" i="6" s="1"/>
  <c r="BS110" i="6" s="1"/>
  <c r="BT110" i="6" s="1"/>
  <c r="BU110" i="6" s="1"/>
  <c r="BV110" i="6" s="1"/>
  <c r="BW110" i="6" s="1"/>
  <c r="BX110" i="6" s="1"/>
  <c r="BY110" i="6" s="1"/>
  <c r="BZ110" i="6" s="1"/>
  <c r="CA110" i="6" s="1"/>
  <c r="CB110" i="6" s="1"/>
  <c r="CC110" i="6" s="1"/>
  <c r="CD110" i="6" s="1"/>
  <c r="CE110" i="6" s="1"/>
  <c r="CF110" i="6" s="1"/>
  <c r="CG110" i="6" s="1"/>
  <c r="CH110" i="6" s="1"/>
  <c r="CI110" i="6" s="1"/>
  <c r="CJ110" i="6" s="1"/>
  <c r="CK110" i="6" s="1"/>
  <c r="CL110" i="6" s="1"/>
  <c r="CM110" i="6" s="1"/>
  <c r="CN110" i="6" s="1"/>
  <c r="CO110" i="6" s="1"/>
  <c r="BC241" i="6"/>
  <c r="BD241" i="6" s="1"/>
  <c r="BE241" i="6" s="1"/>
  <c r="BF241" i="6" s="1"/>
  <c r="BG241" i="6" s="1"/>
  <c r="BH241" i="6" s="1"/>
  <c r="BI241" i="6" s="1"/>
  <c r="BJ241" i="6" s="1"/>
  <c r="BK241" i="6" s="1"/>
  <c r="BL241" i="6" s="1"/>
  <c r="BM241" i="6" s="1"/>
  <c r="BN241" i="6" s="1"/>
  <c r="BO241" i="6" s="1"/>
  <c r="BP241" i="6" s="1"/>
  <c r="BQ241" i="6" s="1"/>
  <c r="BR241" i="6" s="1"/>
  <c r="BS241" i="6" s="1"/>
  <c r="BT241" i="6" s="1"/>
  <c r="BU241" i="6" s="1"/>
  <c r="BV241" i="6" s="1"/>
  <c r="BW241" i="6" s="1"/>
  <c r="BX241" i="6" s="1"/>
  <c r="BY241" i="6" s="1"/>
  <c r="BZ241" i="6" s="1"/>
  <c r="CA241" i="6" s="1"/>
  <c r="CB241" i="6" s="1"/>
  <c r="CC241" i="6" s="1"/>
  <c r="CD241" i="6" s="1"/>
  <c r="CE241" i="6" s="1"/>
  <c r="CF241" i="6" s="1"/>
  <c r="CG241" i="6" s="1"/>
  <c r="CH241" i="6" s="1"/>
  <c r="CI241" i="6" s="1"/>
  <c r="CJ241" i="6" s="1"/>
  <c r="CK241" i="6" s="1"/>
  <c r="CL241" i="6" s="1"/>
  <c r="CM241" i="6" s="1"/>
  <c r="CN241" i="6" s="1"/>
  <c r="CO241" i="6" s="1"/>
  <c r="BC225" i="6"/>
  <c r="BD225" i="6" s="1"/>
  <c r="BE225" i="6" s="1"/>
  <c r="BF225" i="6" s="1"/>
  <c r="BG225" i="6" s="1"/>
  <c r="BH225" i="6" s="1"/>
  <c r="BI225" i="6" s="1"/>
  <c r="BJ225" i="6" s="1"/>
  <c r="BK225" i="6" s="1"/>
  <c r="BL225" i="6" s="1"/>
  <c r="BM225" i="6" s="1"/>
  <c r="BN225" i="6" s="1"/>
  <c r="BO225" i="6" s="1"/>
  <c r="BP225" i="6" s="1"/>
  <c r="BQ225" i="6" s="1"/>
  <c r="BR225" i="6" s="1"/>
  <c r="BS225" i="6" s="1"/>
  <c r="BT225" i="6" s="1"/>
  <c r="BU225" i="6" s="1"/>
  <c r="BV225" i="6" s="1"/>
  <c r="BW225" i="6" s="1"/>
  <c r="BX225" i="6" s="1"/>
  <c r="BY225" i="6" s="1"/>
  <c r="BZ225" i="6" s="1"/>
  <c r="CA225" i="6" s="1"/>
  <c r="CB225" i="6" s="1"/>
  <c r="CC225" i="6" s="1"/>
  <c r="CD225" i="6" s="1"/>
  <c r="CE225" i="6" s="1"/>
  <c r="CF225" i="6" s="1"/>
  <c r="CG225" i="6" s="1"/>
  <c r="CH225" i="6" s="1"/>
  <c r="CI225" i="6" s="1"/>
  <c r="CJ225" i="6" s="1"/>
  <c r="CK225" i="6" s="1"/>
  <c r="CL225" i="6" s="1"/>
  <c r="CM225" i="6" s="1"/>
  <c r="CN225" i="6" s="1"/>
  <c r="CO225" i="6" s="1"/>
  <c r="BC191" i="6"/>
  <c r="BD191" i="6" s="1"/>
  <c r="BE191" i="6" s="1"/>
  <c r="BF191" i="6" s="1"/>
  <c r="BG191" i="6" s="1"/>
  <c r="BH191" i="6" s="1"/>
  <c r="BI191" i="6" s="1"/>
  <c r="BJ191" i="6" s="1"/>
  <c r="BK191" i="6" s="1"/>
  <c r="BL191" i="6" s="1"/>
  <c r="BM191" i="6" s="1"/>
  <c r="BN191" i="6" s="1"/>
  <c r="BO191" i="6" s="1"/>
  <c r="BP191" i="6" s="1"/>
  <c r="BQ191" i="6" s="1"/>
  <c r="BR191" i="6" s="1"/>
  <c r="BS191" i="6" s="1"/>
  <c r="BT191" i="6" s="1"/>
  <c r="BU191" i="6" s="1"/>
  <c r="BV191" i="6" s="1"/>
  <c r="BW191" i="6" s="1"/>
  <c r="BX191" i="6" s="1"/>
  <c r="BY191" i="6" s="1"/>
  <c r="BZ191" i="6" s="1"/>
  <c r="CA191" i="6" s="1"/>
  <c r="CB191" i="6" s="1"/>
  <c r="CC191" i="6" s="1"/>
  <c r="CD191" i="6" s="1"/>
  <c r="CE191" i="6" s="1"/>
  <c r="CF191" i="6" s="1"/>
  <c r="CG191" i="6" s="1"/>
  <c r="CH191" i="6" s="1"/>
  <c r="CI191" i="6" s="1"/>
  <c r="CJ191" i="6" s="1"/>
  <c r="CK191" i="6" s="1"/>
  <c r="CL191" i="6" s="1"/>
  <c r="CM191" i="6" s="1"/>
  <c r="CN191" i="6" s="1"/>
  <c r="CO191" i="6" s="1"/>
  <c r="BC37" i="6"/>
  <c r="BD37" i="6" s="1"/>
  <c r="BE37" i="6" s="1"/>
  <c r="BF37" i="6" s="1"/>
  <c r="BG37" i="6" s="1"/>
  <c r="BH37" i="6" s="1"/>
  <c r="BI37" i="6" s="1"/>
  <c r="BJ37" i="6" s="1"/>
  <c r="BK37" i="6" s="1"/>
  <c r="BL37" i="6" s="1"/>
  <c r="BM37" i="6" s="1"/>
  <c r="BN37" i="6" s="1"/>
  <c r="BO37" i="6" s="1"/>
  <c r="BP37" i="6" s="1"/>
  <c r="BQ37" i="6" s="1"/>
  <c r="BR37" i="6" s="1"/>
  <c r="BS37" i="6" s="1"/>
  <c r="BT37" i="6" s="1"/>
  <c r="BU37" i="6" s="1"/>
  <c r="BV37" i="6" s="1"/>
  <c r="BW37" i="6" s="1"/>
  <c r="BX37" i="6" s="1"/>
  <c r="BY37" i="6" s="1"/>
  <c r="BZ37" i="6" s="1"/>
  <c r="CA37" i="6" s="1"/>
  <c r="CB37" i="6" s="1"/>
  <c r="CC37" i="6" s="1"/>
  <c r="CD37" i="6" s="1"/>
  <c r="CE37" i="6" s="1"/>
  <c r="CF37" i="6" s="1"/>
  <c r="CG37" i="6" s="1"/>
  <c r="CH37" i="6" s="1"/>
  <c r="CI37" i="6" s="1"/>
  <c r="CJ37" i="6" s="1"/>
  <c r="CK37" i="6" s="1"/>
  <c r="CL37" i="6" s="1"/>
  <c r="CM37" i="6" s="1"/>
  <c r="CN37" i="6" s="1"/>
  <c r="CO37" i="6" s="1"/>
  <c r="BC120" i="6"/>
  <c r="BD120" i="6" s="1"/>
  <c r="BE120" i="6" s="1"/>
  <c r="BF120" i="6" s="1"/>
  <c r="BG120" i="6" s="1"/>
  <c r="BH120" i="6" s="1"/>
  <c r="BI120" i="6" s="1"/>
  <c r="BJ120" i="6" s="1"/>
  <c r="BK120" i="6" s="1"/>
  <c r="BL120" i="6" s="1"/>
  <c r="BM120" i="6" s="1"/>
  <c r="BN120" i="6" s="1"/>
  <c r="BO120" i="6" s="1"/>
  <c r="BP120" i="6" s="1"/>
  <c r="BQ120" i="6" s="1"/>
  <c r="BR120" i="6" s="1"/>
  <c r="BS120" i="6" s="1"/>
  <c r="BT120" i="6" s="1"/>
  <c r="BU120" i="6" s="1"/>
  <c r="BV120" i="6" s="1"/>
  <c r="BW120" i="6" s="1"/>
  <c r="BX120" i="6" s="1"/>
  <c r="BY120" i="6" s="1"/>
  <c r="BZ120" i="6" s="1"/>
  <c r="CA120" i="6" s="1"/>
  <c r="CB120" i="6" s="1"/>
  <c r="CC120" i="6" s="1"/>
  <c r="CD120" i="6" s="1"/>
  <c r="CE120" i="6" s="1"/>
  <c r="CF120" i="6" s="1"/>
  <c r="CG120" i="6" s="1"/>
  <c r="CH120" i="6" s="1"/>
  <c r="CI120" i="6" s="1"/>
  <c r="CJ120" i="6" s="1"/>
  <c r="CK120" i="6" s="1"/>
  <c r="CL120" i="6" s="1"/>
  <c r="CM120" i="6" s="1"/>
  <c r="CN120" i="6" s="1"/>
  <c r="CO120" i="6" s="1"/>
  <c r="BC124" i="6"/>
  <c r="BD124" i="6" s="1"/>
  <c r="BE124" i="6" s="1"/>
  <c r="BF124" i="6" s="1"/>
  <c r="BG124" i="6" s="1"/>
  <c r="BH124" i="6" s="1"/>
  <c r="BI124" i="6" s="1"/>
  <c r="BJ124" i="6" s="1"/>
  <c r="BK124" i="6" s="1"/>
  <c r="BL124" i="6" s="1"/>
  <c r="BM124" i="6" s="1"/>
  <c r="BN124" i="6" s="1"/>
  <c r="BO124" i="6" s="1"/>
  <c r="BP124" i="6" s="1"/>
  <c r="BQ124" i="6" s="1"/>
  <c r="BR124" i="6" s="1"/>
  <c r="BS124" i="6" s="1"/>
  <c r="BT124" i="6" s="1"/>
  <c r="BU124" i="6" s="1"/>
  <c r="BV124" i="6" s="1"/>
  <c r="BW124" i="6" s="1"/>
  <c r="BX124" i="6" s="1"/>
  <c r="BY124" i="6" s="1"/>
  <c r="BZ124" i="6" s="1"/>
  <c r="CA124" i="6" s="1"/>
  <c r="CB124" i="6" s="1"/>
  <c r="CC124" i="6" s="1"/>
  <c r="CD124" i="6" s="1"/>
  <c r="CE124" i="6" s="1"/>
  <c r="CF124" i="6" s="1"/>
  <c r="CG124" i="6" s="1"/>
  <c r="CH124" i="6" s="1"/>
  <c r="CI124" i="6" s="1"/>
  <c r="CJ124" i="6" s="1"/>
  <c r="CK124" i="6" s="1"/>
  <c r="CL124" i="6" s="1"/>
  <c r="CM124" i="6" s="1"/>
  <c r="CN124" i="6" s="1"/>
  <c r="CO124" i="6" s="1"/>
  <c r="BC299" i="6"/>
  <c r="BD299" i="6" s="1"/>
  <c r="BE299" i="6" s="1"/>
  <c r="BF299" i="6" s="1"/>
  <c r="BG299" i="6" s="1"/>
  <c r="BH299" i="6" s="1"/>
  <c r="BI299" i="6" s="1"/>
  <c r="BJ299" i="6" s="1"/>
  <c r="BK299" i="6" s="1"/>
  <c r="BL299" i="6" s="1"/>
  <c r="BM299" i="6" s="1"/>
  <c r="BN299" i="6" s="1"/>
  <c r="BO299" i="6" s="1"/>
  <c r="BP299" i="6" s="1"/>
  <c r="BQ299" i="6" s="1"/>
  <c r="BR299" i="6" s="1"/>
  <c r="BS299" i="6" s="1"/>
  <c r="BT299" i="6" s="1"/>
  <c r="BU299" i="6" s="1"/>
  <c r="BV299" i="6" s="1"/>
  <c r="BW299" i="6" s="1"/>
  <c r="BX299" i="6" s="1"/>
  <c r="BY299" i="6" s="1"/>
  <c r="BZ299" i="6" s="1"/>
  <c r="CA299" i="6" s="1"/>
  <c r="CB299" i="6" s="1"/>
  <c r="CC299" i="6" s="1"/>
  <c r="CD299" i="6" s="1"/>
  <c r="CE299" i="6" s="1"/>
  <c r="CF299" i="6" s="1"/>
  <c r="CG299" i="6" s="1"/>
  <c r="CH299" i="6" s="1"/>
  <c r="CI299" i="6" s="1"/>
  <c r="CJ299" i="6" s="1"/>
  <c r="CK299" i="6" s="1"/>
  <c r="CL299" i="6" s="1"/>
  <c r="CM299" i="6" s="1"/>
  <c r="CN299" i="6" s="1"/>
  <c r="CO299" i="6" s="1"/>
  <c r="BC285" i="6"/>
  <c r="BD285" i="6" s="1"/>
  <c r="BE285" i="6" s="1"/>
  <c r="BF285" i="6" s="1"/>
  <c r="BG285" i="6" s="1"/>
  <c r="BH285" i="6" s="1"/>
  <c r="BI285" i="6" s="1"/>
  <c r="BJ285" i="6" s="1"/>
  <c r="BK285" i="6" s="1"/>
  <c r="BL285" i="6" s="1"/>
  <c r="BM285" i="6" s="1"/>
  <c r="BN285" i="6" s="1"/>
  <c r="BO285" i="6" s="1"/>
  <c r="BP285" i="6" s="1"/>
  <c r="BQ285" i="6" s="1"/>
  <c r="BR285" i="6" s="1"/>
  <c r="BS285" i="6" s="1"/>
  <c r="BT285" i="6" s="1"/>
  <c r="BU285" i="6" s="1"/>
  <c r="BV285" i="6" s="1"/>
  <c r="BW285" i="6" s="1"/>
  <c r="BX285" i="6" s="1"/>
  <c r="BY285" i="6" s="1"/>
  <c r="BZ285" i="6" s="1"/>
  <c r="CA285" i="6" s="1"/>
  <c r="CB285" i="6" s="1"/>
  <c r="CC285" i="6" s="1"/>
  <c r="CD285" i="6" s="1"/>
  <c r="CE285" i="6" s="1"/>
  <c r="CF285" i="6" s="1"/>
  <c r="CG285" i="6" s="1"/>
  <c r="CH285" i="6" s="1"/>
  <c r="CI285" i="6" s="1"/>
  <c r="CJ285" i="6" s="1"/>
  <c r="CK285" i="6" s="1"/>
  <c r="CL285" i="6" s="1"/>
  <c r="CM285" i="6" s="1"/>
  <c r="CN285" i="6" s="1"/>
  <c r="CO285" i="6" s="1"/>
  <c r="BC346" i="6"/>
  <c r="BD346" i="6" s="1"/>
  <c r="BE346" i="6" s="1"/>
  <c r="BF346" i="6" s="1"/>
  <c r="BG346" i="6" s="1"/>
  <c r="BH346" i="6" s="1"/>
  <c r="BI346" i="6" s="1"/>
  <c r="BJ346" i="6" s="1"/>
  <c r="BK346" i="6" s="1"/>
  <c r="BL346" i="6" s="1"/>
  <c r="BM346" i="6" s="1"/>
  <c r="BN346" i="6" s="1"/>
  <c r="BO346" i="6" s="1"/>
  <c r="BP346" i="6" s="1"/>
  <c r="BQ346" i="6" s="1"/>
  <c r="BR346" i="6" s="1"/>
  <c r="BS346" i="6" s="1"/>
  <c r="BT346" i="6" s="1"/>
  <c r="BU346" i="6" s="1"/>
  <c r="BV346" i="6" s="1"/>
  <c r="BW346" i="6" s="1"/>
  <c r="BX346" i="6" s="1"/>
  <c r="BY346" i="6" s="1"/>
  <c r="BZ346" i="6" s="1"/>
  <c r="CA346" i="6" s="1"/>
  <c r="CB346" i="6" s="1"/>
  <c r="CC346" i="6" s="1"/>
  <c r="CD346" i="6" s="1"/>
  <c r="CE346" i="6" s="1"/>
  <c r="CF346" i="6" s="1"/>
  <c r="CG346" i="6" s="1"/>
  <c r="CH346" i="6" s="1"/>
  <c r="CI346" i="6" s="1"/>
  <c r="CJ346" i="6" s="1"/>
  <c r="CK346" i="6" s="1"/>
  <c r="CL346" i="6" s="1"/>
  <c r="CM346" i="6" s="1"/>
  <c r="CN346" i="6" s="1"/>
  <c r="CO346" i="6" s="1"/>
  <c r="BT19" i="6"/>
  <c r="BU19" i="6" s="1"/>
  <c r="BV19" i="6" s="1"/>
  <c r="BW19" i="6" s="1"/>
  <c r="BX19" i="6" s="1"/>
  <c r="BY19" i="6" s="1"/>
  <c r="BZ19" i="6" s="1"/>
  <c r="CA19" i="6" s="1"/>
  <c r="CB19" i="6" s="1"/>
  <c r="CC19" i="6" s="1"/>
  <c r="CD19" i="6" s="1"/>
  <c r="CE19" i="6" s="1"/>
  <c r="CF19" i="6" s="1"/>
  <c r="CG19" i="6" s="1"/>
  <c r="CH19" i="6" s="1"/>
  <c r="CI19" i="6" s="1"/>
  <c r="CJ19" i="6" s="1"/>
  <c r="CK19" i="6" s="1"/>
  <c r="CL19" i="6" s="1"/>
  <c r="CM19" i="6" s="1"/>
  <c r="CN19" i="6" s="1"/>
  <c r="CO19" i="6" s="1"/>
  <c r="E86" i="4"/>
  <c r="E93" i="4" s="1"/>
  <c r="F89" i="4"/>
  <c r="G89" i="4" s="1"/>
  <c r="CL70" i="1"/>
  <c r="CM70" i="1" s="1"/>
  <c r="CN70" i="1" s="1"/>
  <c r="CO70" i="1" s="1"/>
  <c r="CL51" i="1"/>
  <c r="CM51" i="1" s="1"/>
  <c r="CN51" i="1" s="1"/>
  <c r="CO51" i="1" s="1"/>
  <c r="P3" i="6"/>
  <c r="F404" i="6"/>
  <c r="G404" i="6" s="1"/>
  <c r="H404" i="6" s="1"/>
  <c r="E401" i="6"/>
  <c r="C4" i="10" s="1"/>
  <c r="V55" i="1"/>
  <c r="W55" i="1" s="1"/>
  <c r="X62" i="1"/>
  <c r="Y62" i="1" s="1"/>
  <c r="Z62" i="1" s="1"/>
  <c r="AA62" i="1" s="1"/>
  <c r="AB62" i="1" s="1"/>
  <c r="AC62" i="1" s="1"/>
  <c r="AD62" i="1" s="1"/>
  <c r="AE62" i="1" s="1"/>
  <c r="AF62" i="1" s="1"/>
  <c r="AG62" i="1" s="1"/>
  <c r="AH62" i="1" s="1"/>
  <c r="AI62" i="1" s="1"/>
  <c r="AJ62" i="1" s="1"/>
  <c r="AK62" i="1" s="1"/>
  <c r="AL62" i="1" s="1"/>
  <c r="AM62" i="1" s="1"/>
  <c r="AN62" i="1" s="1"/>
  <c r="AO62" i="1" s="1"/>
  <c r="AP62" i="1" s="1"/>
  <c r="AQ62" i="1" s="1"/>
  <c r="AR62" i="1" s="1"/>
  <c r="AS62" i="1" s="1"/>
  <c r="AT62" i="1" s="1"/>
  <c r="AU62" i="1" s="1"/>
  <c r="AV62" i="1" s="1"/>
  <c r="AW62" i="1" s="1"/>
  <c r="AX62" i="1" s="1"/>
  <c r="AY62" i="1" s="1"/>
  <c r="AZ62" i="1" s="1"/>
  <c r="BA62" i="1" s="1"/>
  <c r="BB62" i="1" s="1"/>
  <c r="BC62" i="1" s="1"/>
  <c r="BD62" i="1" s="1"/>
  <c r="BE62" i="1" s="1"/>
  <c r="BF62" i="1" s="1"/>
  <c r="BG62" i="1" s="1"/>
  <c r="BH62" i="1" s="1"/>
  <c r="BI62" i="1" s="1"/>
  <c r="BJ62" i="1" s="1"/>
  <c r="BK62" i="1" s="1"/>
  <c r="BL62" i="1" s="1"/>
  <c r="BM62" i="1" s="1"/>
  <c r="BN62" i="1" s="1"/>
  <c r="BO62" i="1" s="1"/>
  <c r="BP62" i="1" s="1"/>
  <c r="BQ62" i="1" s="1"/>
  <c r="BR62" i="1" s="1"/>
  <c r="BS62" i="1" s="1"/>
  <c r="BT62" i="1" s="1"/>
  <c r="BU62" i="1" s="1"/>
  <c r="BV62" i="1" s="1"/>
  <c r="BW62" i="1" s="1"/>
  <c r="BX62" i="1" s="1"/>
  <c r="BY62" i="1" s="1"/>
  <c r="CA62" i="1" s="1"/>
  <c r="CB62" i="1" s="1"/>
  <c r="CC62" i="1" s="1"/>
  <c r="CD62" i="1" s="1"/>
  <c r="CE62" i="1" s="1"/>
  <c r="CF62" i="1" s="1"/>
  <c r="CG62" i="1" s="1"/>
  <c r="CH62" i="1" s="1"/>
  <c r="CI62" i="1" s="1"/>
  <c r="CJ62" i="1" s="1"/>
  <c r="CK62" i="1" s="1"/>
  <c r="W68" i="1"/>
  <c r="X68" i="1" s="1"/>
  <c r="Y68" i="1" s="1"/>
  <c r="Z68" i="1" s="1"/>
  <c r="AA68" i="1" s="1"/>
  <c r="AB68" i="1" s="1"/>
  <c r="AC68" i="1" s="1"/>
  <c r="AD68" i="1" s="1"/>
  <c r="AE68" i="1" s="1"/>
  <c r="AF68" i="1" s="1"/>
  <c r="AG68" i="1" s="1"/>
  <c r="AH68" i="1" s="1"/>
  <c r="AI68" i="1" s="1"/>
  <c r="AJ68" i="1" s="1"/>
  <c r="AK68" i="1" s="1"/>
  <c r="AL68" i="1" s="1"/>
  <c r="AM68" i="1" s="1"/>
  <c r="AN68" i="1" s="1"/>
  <c r="AO68" i="1" s="1"/>
  <c r="AP68" i="1" s="1"/>
  <c r="AQ68" i="1" s="1"/>
  <c r="AR68" i="1" s="1"/>
  <c r="AS68" i="1" s="1"/>
  <c r="AT68" i="1" s="1"/>
  <c r="AU68" i="1" s="1"/>
  <c r="AV68" i="1" s="1"/>
  <c r="AW68" i="1" s="1"/>
  <c r="AX68" i="1" s="1"/>
  <c r="AY68" i="1" s="1"/>
  <c r="AZ68" i="1" s="1"/>
  <c r="BA68" i="1" s="1"/>
  <c r="BB68" i="1" s="1"/>
  <c r="BC68" i="1" s="1"/>
  <c r="BD68" i="1" s="1"/>
  <c r="BE68" i="1" s="1"/>
  <c r="BF68" i="1" s="1"/>
  <c r="BG68" i="1" s="1"/>
  <c r="BH68" i="1" s="1"/>
  <c r="BI68" i="1" s="1"/>
  <c r="BJ68" i="1" s="1"/>
  <c r="BK68" i="1" s="1"/>
  <c r="BL68" i="1" s="1"/>
  <c r="BM68" i="1" s="1"/>
  <c r="BN68" i="1" s="1"/>
  <c r="BO68" i="1" s="1"/>
  <c r="BP68" i="1" s="1"/>
  <c r="BQ68" i="1" s="1"/>
  <c r="BR68" i="1" s="1"/>
  <c r="BS68" i="1" s="1"/>
  <c r="BT68" i="1" s="1"/>
  <c r="BU68" i="1" s="1"/>
  <c r="BV68" i="1" s="1"/>
  <c r="BW68" i="1" s="1"/>
  <c r="BX68" i="1" s="1"/>
  <c r="BY68" i="1" s="1"/>
  <c r="CA68" i="1" s="1"/>
  <c r="CB68" i="1" s="1"/>
  <c r="CC68" i="1" s="1"/>
  <c r="CD68" i="1" s="1"/>
  <c r="CE68" i="1" s="1"/>
  <c r="CF68" i="1" s="1"/>
  <c r="CG68" i="1" s="1"/>
  <c r="CH68" i="1" s="1"/>
  <c r="CI68" i="1" s="1"/>
  <c r="CJ68" i="1" s="1"/>
  <c r="CK68" i="1" s="1"/>
  <c r="V68" i="1"/>
  <c r="W66" i="1"/>
  <c r="X66" i="1" s="1"/>
  <c r="Y66" i="1" s="1"/>
  <c r="Z66" i="1" s="1"/>
  <c r="AA66" i="1" s="1"/>
  <c r="AB66" i="1" s="1"/>
  <c r="AC66" i="1" s="1"/>
  <c r="AD66" i="1" s="1"/>
  <c r="AE66" i="1" s="1"/>
  <c r="AF66" i="1" s="1"/>
  <c r="AG66" i="1" s="1"/>
  <c r="AH66" i="1" s="1"/>
  <c r="AI66" i="1" s="1"/>
  <c r="AJ66" i="1" s="1"/>
  <c r="AK66" i="1" s="1"/>
  <c r="AL66" i="1" s="1"/>
  <c r="AM66" i="1" s="1"/>
  <c r="AN66" i="1" s="1"/>
  <c r="AO66" i="1" s="1"/>
  <c r="AP66" i="1" s="1"/>
  <c r="AQ66" i="1" s="1"/>
  <c r="AR66" i="1" s="1"/>
  <c r="AS66" i="1" s="1"/>
  <c r="AT66" i="1" s="1"/>
  <c r="AU66" i="1" s="1"/>
  <c r="AV66" i="1" s="1"/>
  <c r="AW66" i="1" s="1"/>
  <c r="AX66" i="1" s="1"/>
  <c r="AY66" i="1" s="1"/>
  <c r="AZ66" i="1" s="1"/>
  <c r="BA66" i="1" s="1"/>
  <c r="BB66" i="1" s="1"/>
  <c r="BC66" i="1" s="1"/>
  <c r="BD66" i="1" s="1"/>
  <c r="BE66" i="1" s="1"/>
  <c r="BF66" i="1" s="1"/>
  <c r="BG66" i="1" s="1"/>
  <c r="BH66" i="1" s="1"/>
  <c r="BI66" i="1" s="1"/>
  <c r="BJ66" i="1" s="1"/>
  <c r="BK66" i="1" s="1"/>
  <c r="BL66" i="1" s="1"/>
  <c r="BM66" i="1" s="1"/>
  <c r="BN66" i="1" s="1"/>
  <c r="BO66" i="1" s="1"/>
  <c r="BP66" i="1" s="1"/>
  <c r="BQ66" i="1" s="1"/>
  <c r="BR66" i="1" s="1"/>
  <c r="BS66" i="1" s="1"/>
  <c r="BT66" i="1" s="1"/>
  <c r="BU66" i="1" s="1"/>
  <c r="BV66" i="1" s="1"/>
  <c r="BW66" i="1" s="1"/>
  <c r="BX66" i="1" s="1"/>
  <c r="BY66" i="1" s="1"/>
  <c r="CA66" i="1" s="1"/>
  <c r="CB66" i="1" s="1"/>
  <c r="CC66" i="1" s="1"/>
  <c r="CD66" i="1" s="1"/>
  <c r="CE66" i="1" s="1"/>
  <c r="CF66" i="1" s="1"/>
  <c r="CG66" i="1" s="1"/>
  <c r="CH66" i="1" s="1"/>
  <c r="CI66" i="1" s="1"/>
  <c r="CJ66" i="1" s="1"/>
  <c r="CK66" i="1" s="1"/>
  <c r="V66" i="1"/>
  <c r="W64" i="1"/>
  <c r="X64" i="1" s="1"/>
  <c r="Y64" i="1" s="1"/>
  <c r="Z64" i="1" s="1"/>
  <c r="AA64" i="1" s="1"/>
  <c r="AB64" i="1" s="1"/>
  <c r="AC64" i="1" s="1"/>
  <c r="AD64" i="1" s="1"/>
  <c r="AE64" i="1" s="1"/>
  <c r="AF64" i="1" s="1"/>
  <c r="AG64" i="1" s="1"/>
  <c r="AH64" i="1" s="1"/>
  <c r="AI64" i="1" s="1"/>
  <c r="AJ64" i="1" s="1"/>
  <c r="AK64" i="1" s="1"/>
  <c r="AL64" i="1" s="1"/>
  <c r="AM64" i="1" s="1"/>
  <c r="AN64" i="1" s="1"/>
  <c r="AO64" i="1" s="1"/>
  <c r="AP64" i="1" s="1"/>
  <c r="AQ64" i="1" s="1"/>
  <c r="AR64" i="1" s="1"/>
  <c r="AS64" i="1" s="1"/>
  <c r="AT64" i="1" s="1"/>
  <c r="AU64" i="1" s="1"/>
  <c r="AV64" i="1" s="1"/>
  <c r="AW64" i="1" s="1"/>
  <c r="AX64" i="1" s="1"/>
  <c r="AY64" i="1" s="1"/>
  <c r="AZ64" i="1" s="1"/>
  <c r="BA64" i="1" s="1"/>
  <c r="BB64" i="1" s="1"/>
  <c r="BC64" i="1" s="1"/>
  <c r="BD64" i="1" s="1"/>
  <c r="BE64" i="1" s="1"/>
  <c r="BF64" i="1" s="1"/>
  <c r="BG64" i="1" s="1"/>
  <c r="BH64" i="1" s="1"/>
  <c r="BI64" i="1" s="1"/>
  <c r="BJ64" i="1" s="1"/>
  <c r="BK64" i="1" s="1"/>
  <c r="BL64" i="1" s="1"/>
  <c r="BM64" i="1" s="1"/>
  <c r="BN64" i="1" s="1"/>
  <c r="BO64" i="1" s="1"/>
  <c r="BP64" i="1" s="1"/>
  <c r="BQ64" i="1" s="1"/>
  <c r="BR64" i="1" s="1"/>
  <c r="BS64" i="1" s="1"/>
  <c r="BT64" i="1" s="1"/>
  <c r="BU64" i="1" s="1"/>
  <c r="BV64" i="1" s="1"/>
  <c r="BW64" i="1" s="1"/>
  <c r="BX64" i="1" s="1"/>
  <c r="BY64" i="1" s="1"/>
  <c r="CA64" i="1" s="1"/>
  <c r="CB64" i="1" s="1"/>
  <c r="CC64" i="1" s="1"/>
  <c r="CD64" i="1" s="1"/>
  <c r="CE64" i="1" s="1"/>
  <c r="CF64" i="1" s="1"/>
  <c r="CG64" i="1" s="1"/>
  <c r="CH64" i="1" s="1"/>
  <c r="CI64" i="1" s="1"/>
  <c r="CJ64" i="1" s="1"/>
  <c r="CK64" i="1" s="1"/>
  <c r="V64" i="1"/>
  <c r="V291" i="6"/>
  <c r="W291" i="6" s="1"/>
  <c r="AJ293" i="6"/>
  <c r="AK293" i="6" s="1"/>
  <c r="AL293" i="6" s="1"/>
  <c r="AM293" i="6" s="1"/>
  <c r="AN293" i="6" s="1"/>
  <c r="AO293" i="6" s="1"/>
  <c r="AP293" i="6" s="1"/>
  <c r="AQ293" i="6" s="1"/>
  <c r="AR293" i="6" s="1"/>
  <c r="AS293" i="6" s="1"/>
  <c r="AT293" i="6" s="1"/>
  <c r="AU293" i="6" s="1"/>
  <c r="AV293" i="6" s="1"/>
  <c r="AW293" i="6" s="1"/>
  <c r="AX293" i="6" s="1"/>
  <c r="AY293" i="6" s="1"/>
  <c r="AZ293" i="6" s="1"/>
  <c r="BA293" i="6" s="1"/>
  <c r="BB293" i="6" s="1"/>
  <c r="V277" i="6"/>
  <c r="W277" i="6" s="1"/>
  <c r="X277" i="6" s="1"/>
  <c r="Y277" i="6" s="1"/>
  <c r="Z277" i="6" s="1"/>
  <c r="AA277" i="6" s="1"/>
  <c r="AB277" i="6" s="1"/>
  <c r="AC277" i="6" s="1"/>
  <c r="AD277" i="6" s="1"/>
  <c r="AE277" i="6" s="1"/>
  <c r="AF277" i="6" s="1"/>
  <c r="AG277" i="6" s="1"/>
  <c r="AH277" i="6" s="1"/>
  <c r="AI277" i="6" s="1"/>
  <c r="AJ277" i="6" s="1"/>
  <c r="AK277" i="6" s="1"/>
  <c r="AL277" i="6" s="1"/>
  <c r="AM277" i="6" s="1"/>
  <c r="AN277" i="6" s="1"/>
  <c r="AO277" i="6" s="1"/>
  <c r="AP277" i="6" s="1"/>
  <c r="AQ277" i="6" s="1"/>
  <c r="AR277" i="6" s="1"/>
  <c r="AS277" i="6" s="1"/>
  <c r="AT277" i="6" s="1"/>
  <c r="AU277" i="6" s="1"/>
  <c r="AV277" i="6" s="1"/>
  <c r="AW277" i="6" s="1"/>
  <c r="AX277" i="6" s="1"/>
  <c r="AY277" i="6" s="1"/>
  <c r="AZ277" i="6" s="1"/>
  <c r="BA277" i="6" s="1"/>
  <c r="BB277" i="6" s="1"/>
  <c r="X263" i="6"/>
  <c r="Y263" i="6" s="1"/>
  <c r="Z263" i="6" s="1"/>
  <c r="AA263" i="6" s="1"/>
  <c r="AB263" i="6" s="1"/>
  <c r="AC263" i="6" s="1"/>
  <c r="AD263" i="6" s="1"/>
  <c r="AE263" i="6" s="1"/>
  <c r="AF263" i="6" s="1"/>
  <c r="AG263" i="6" s="1"/>
  <c r="AH263" i="6" s="1"/>
  <c r="AI263" i="6" s="1"/>
  <c r="AJ263" i="6" s="1"/>
  <c r="AK263" i="6" s="1"/>
  <c r="AL263" i="6" s="1"/>
  <c r="AM263" i="6" s="1"/>
  <c r="AN263" i="6" s="1"/>
  <c r="AO263" i="6" s="1"/>
  <c r="AP263" i="6" s="1"/>
  <c r="AQ263" i="6" s="1"/>
  <c r="AR263" i="6" s="1"/>
  <c r="AS263" i="6" s="1"/>
  <c r="AT263" i="6" s="1"/>
  <c r="AU263" i="6" s="1"/>
  <c r="AV263" i="6" s="1"/>
  <c r="AW263" i="6" s="1"/>
  <c r="AX263" i="6" s="1"/>
  <c r="AY263" i="6" s="1"/>
  <c r="AZ263" i="6" s="1"/>
  <c r="BA263" i="6" s="1"/>
  <c r="BB263" i="6" s="1"/>
  <c r="X289" i="6"/>
  <c r="Y289" i="6" s="1"/>
  <c r="Z289" i="6" s="1"/>
  <c r="AA289" i="6" s="1"/>
  <c r="AB289" i="6" s="1"/>
  <c r="AC289" i="6" s="1"/>
  <c r="AD289" i="6" s="1"/>
  <c r="AE289" i="6" s="1"/>
  <c r="AF289" i="6" s="1"/>
  <c r="AG289" i="6" s="1"/>
  <c r="AH289" i="6" s="1"/>
  <c r="AI289" i="6" s="1"/>
  <c r="AJ289" i="6" s="1"/>
  <c r="AK289" i="6" s="1"/>
  <c r="AL289" i="6" s="1"/>
  <c r="AM289" i="6" s="1"/>
  <c r="AN289" i="6" s="1"/>
  <c r="AO289" i="6" s="1"/>
  <c r="AP289" i="6" s="1"/>
  <c r="AQ289" i="6" s="1"/>
  <c r="AR289" i="6" s="1"/>
  <c r="AS289" i="6" s="1"/>
  <c r="AT289" i="6" s="1"/>
  <c r="AU289" i="6" s="1"/>
  <c r="AV289" i="6" s="1"/>
  <c r="AW289" i="6" s="1"/>
  <c r="AX289" i="6" s="1"/>
  <c r="AY289" i="6" s="1"/>
  <c r="AZ289" i="6" s="1"/>
  <c r="BA289" i="6" s="1"/>
  <c r="BB289" i="6" s="1"/>
  <c r="X287" i="6"/>
  <c r="Y287" i="6" s="1"/>
  <c r="Z287" i="6" s="1"/>
  <c r="AA287" i="6" s="1"/>
  <c r="AB287" i="6" s="1"/>
  <c r="AC287" i="6" s="1"/>
  <c r="AD287" i="6" s="1"/>
  <c r="AE287" i="6" s="1"/>
  <c r="AF287" i="6" s="1"/>
  <c r="AG287" i="6" s="1"/>
  <c r="AH287" i="6" s="1"/>
  <c r="AI287" i="6" s="1"/>
  <c r="AJ287" i="6" s="1"/>
  <c r="AK287" i="6" s="1"/>
  <c r="AL287" i="6" s="1"/>
  <c r="AM287" i="6" s="1"/>
  <c r="AN287" i="6" s="1"/>
  <c r="AO287" i="6" s="1"/>
  <c r="AP287" i="6" s="1"/>
  <c r="AQ287" i="6" s="1"/>
  <c r="AR287" i="6" s="1"/>
  <c r="AS287" i="6" s="1"/>
  <c r="AT287" i="6" s="1"/>
  <c r="AU287" i="6" s="1"/>
  <c r="AV287" i="6" s="1"/>
  <c r="AW287" i="6" s="1"/>
  <c r="AX287" i="6" s="1"/>
  <c r="AY287" i="6" s="1"/>
  <c r="AZ287" i="6" s="1"/>
  <c r="BA287" i="6" s="1"/>
  <c r="BB287" i="6" s="1"/>
  <c r="AX362" i="6"/>
  <c r="AY362" i="6" s="1"/>
  <c r="AZ362" i="6" s="1"/>
  <c r="BA362" i="6" s="1"/>
  <c r="BB362" i="6" s="1"/>
  <c r="AB71" i="4"/>
  <c r="AC71" i="4"/>
  <c r="AD71" i="4" s="1"/>
  <c r="AE71" i="4" s="1"/>
  <c r="CP43" i="4"/>
  <c r="AB193" i="6"/>
  <c r="AC193" i="6" s="1"/>
  <c r="AD193" i="6" s="1"/>
  <c r="AE193" i="6" s="1"/>
  <c r="AF193" i="6" s="1"/>
  <c r="AG193" i="6" s="1"/>
  <c r="AH193" i="6" s="1"/>
  <c r="AI193" i="6" s="1"/>
  <c r="AJ193" i="6" s="1"/>
  <c r="AK193" i="6" s="1"/>
  <c r="AL193" i="6" s="1"/>
  <c r="AM193" i="6" s="1"/>
  <c r="AN193" i="6" s="1"/>
  <c r="AO193" i="6" s="1"/>
  <c r="AP193" i="6" s="1"/>
  <c r="AQ193" i="6" s="1"/>
  <c r="AR193" i="6" s="1"/>
  <c r="AS193" i="6" s="1"/>
  <c r="AT193" i="6" s="1"/>
  <c r="AU193" i="6" s="1"/>
  <c r="AV193" i="6" s="1"/>
  <c r="AW193" i="6" s="1"/>
  <c r="AX193" i="6" s="1"/>
  <c r="AY193" i="6" s="1"/>
  <c r="AZ193" i="6" s="1"/>
  <c r="BA193" i="6" s="1"/>
  <c r="BB193" i="6" s="1"/>
  <c r="X249" i="6"/>
  <c r="Y249" i="6" s="1"/>
  <c r="Z249" i="6" s="1"/>
  <c r="AA249" i="6" s="1"/>
  <c r="AB249" i="6" s="1"/>
  <c r="AC249" i="6" s="1"/>
  <c r="AD249" i="6" s="1"/>
  <c r="AE249" i="6" s="1"/>
  <c r="AF249" i="6" s="1"/>
  <c r="AG249" i="6" s="1"/>
  <c r="AH249" i="6" s="1"/>
  <c r="AI249" i="6" s="1"/>
  <c r="AJ249" i="6" s="1"/>
  <c r="AK249" i="6" s="1"/>
  <c r="AL249" i="6" s="1"/>
  <c r="AM249" i="6" s="1"/>
  <c r="AN249" i="6" s="1"/>
  <c r="AO249" i="6" s="1"/>
  <c r="AP249" i="6" s="1"/>
  <c r="AQ249" i="6" s="1"/>
  <c r="AR249" i="6" s="1"/>
  <c r="AS249" i="6" s="1"/>
  <c r="AT249" i="6" s="1"/>
  <c r="AU249" i="6" s="1"/>
  <c r="AV249" i="6" s="1"/>
  <c r="AW249" i="6" s="1"/>
  <c r="AX249" i="6" s="1"/>
  <c r="AY249" i="6" s="1"/>
  <c r="AZ249" i="6" s="1"/>
  <c r="BA249" i="6" s="1"/>
  <c r="BB249" i="6" s="1"/>
  <c r="X247" i="6"/>
  <c r="Y247" i="6" s="1"/>
  <c r="Z247" i="6" s="1"/>
  <c r="AA247" i="6" s="1"/>
  <c r="AB247" i="6" s="1"/>
  <c r="AC247" i="6" s="1"/>
  <c r="AD247" i="6" s="1"/>
  <c r="AE247" i="6" s="1"/>
  <c r="AF247" i="6" s="1"/>
  <c r="AG247" i="6" s="1"/>
  <c r="AH247" i="6" s="1"/>
  <c r="AI247" i="6" s="1"/>
  <c r="AJ247" i="6" s="1"/>
  <c r="AK247" i="6" s="1"/>
  <c r="AL247" i="6" s="1"/>
  <c r="AM247" i="6" s="1"/>
  <c r="AN247" i="6" s="1"/>
  <c r="AO247" i="6" s="1"/>
  <c r="AP247" i="6" s="1"/>
  <c r="AQ247" i="6" s="1"/>
  <c r="AR247" i="6" s="1"/>
  <c r="AS247" i="6" s="1"/>
  <c r="AT247" i="6" s="1"/>
  <c r="AU247" i="6" s="1"/>
  <c r="AV247" i="6" s="1"/>
  <c r="AW247" i="6" s="1"/>
  <c r="AX247" i="6" s="1"/>
  <c r="AY247" i="6" s="1"/>
  <c r="AZ247" i="6" s="1"/>
  <c r="BA247" i="6" s="1"/>
  <c r="BB247" i="6" s="1"/>
  <c r="X245" i="6"/>
  <c r="Y245" i="6" s="1"/>
  <c r="Z245" i="6" s="1"/>
  <c r="AA245" i="6" s="1"/>
  <c r="AB245" i="6" s="1"/>
  <c r="AC245" i="6" s="1"/>
  <c r="AD245" i="6" s="1"/>
  <c r="AE245" i="6" s="1"/>
  <c r="AF245" i="6" s="1"/>
  <c r="AG245" i="6" s="1"/>
  <c r="AH245" i="6" s="1"/>
  <c r="AI245" i="6" s="1"/>
  <c r="AJ245" i="6" s="1"/>
  <c r="AK245" i="6" s="1"/>
  <c r="AL245" i="6" s="1"/>
  <c r="AM245" i="6" s="1"/>
  <c r="AN245" i="6" s="1"/>
  <c r="AO245" i="6" s="1"/>
  <c r="AP245" i="6" s="1"/>
  <c r="AQ245" i="6" s="1"/>
  <c r="AR245" i="6" s="1"/>
  <c r="AS245" i="6" s="1"/>
  <c r="AT245" i="6" s="1"/>
  <c r="AU245" i="6" s="1"/>
  <c r="AV245" i="6" s="1"/>
  <c r="AW245" i="6" s="1"/>
  <c r="AX245" i="6" s="1"/>
  <c r="AY245" i="6" s="1"/>
  <c r="AZ245" i="6" s="1"/>
  <c r="BA245" i="6" s="1"/>
  <c r="BB245" i="6" s="1"/>
  <c r="AB134" i="6"/>
  <c r="AC134" i="6" s="1"/>
  <c r="AD134" i="6" s="1"/>
  <c r="AE134" i="6" s="1"/>
  <c r="AF134" i="6" s="1"/>
  <c r="AG134" i="6" s="1"/>
  <c r="AH134" i="6" s="1"/>
  <c r="AI134" i="6" s="1"/>
  <c r="AJ134" i="6" s="1"/>
  <c r="AK134" i="6" s="1"/>
  <c r="AL134" i="6" s="1"/>
  <c r="AM134" i="6" s="1"/>
  <c r="AN134" i="6" s="1"/>
  <c r="AO134" i="6" s="1"/>
  <c r="AP134" i="6" s="1"/>
  <c r="AQ134" i="6" s="1"/>
  <c r="AR134" i="6" s="1"/>
  <c r="AS134" i="6" s="1"/>
  <c r="AT134" i="6" s="1"/>
  <c r="AU134" i="6" s="1"/>
  <c r="AV134" i="6" s="1"/>
  <c r="AW134" i="6" s="1"/>
  <c r="AX134" i="6" s="1"/>
  <c r="AY134" i="6" s="1"/>
  <c r="AZ134" i="6" s="1"/>
  <c r="BA134" i="6" s="1"/>
  <c r="BB134" i="6" s="1"/>
  <c r="AL140" i="6"/>
  <c r="AM140" i="6" s="1"/>
  <c r="V112" i="6"/>
  <c r="W112" i="6" s="1"/>
  <c r="X112" i="6" s="1"/>
  <c r="Y112" i="6" s="1"/>
  <c r="Z112" i="6" s="1"/>
  <c r="AA112" i="6" s="1"/>
  <c r="AB112" i="6" s="1"/>
  <c r="AC112" i="6" s="1"/>
  <c r="AD112" i="6" s="1"/>
  <c r="AE112" i="6" s="1"/>
  <c r="AF112" i="6" s="1"/>
  <c r="AG112" i="6" s="1"/>
  <c r="AH112" i="6" s="1"/>
  <c r="AI112" i="6" s="1"/>
  <c r="AJ112" i="6" s="1"/>
  <c r="AK112" i="6" s="1"/>
  <c r="AL112" i="6" s="1"/>
  <c r="AM112" i="6" s="1"/>
  <c r="AN112" i="6" s="1"/>
  <c r="AO112" i="6" s="1"/>
  <c r="AP112" i="6" s="1"/>
  <c r="AQ112" i="6" s="1"/>
  <c r="AR112" i="6" s="1"/>
  <c r="AS112" i="6" s="1"/>
  <c r="AT112" i="6" s="1"/>
  <c r="AU112" i="6" s="1"/>
  <c r="AV112" i="6" s="1"/>
  <c r="AW112" i="6" s="1"/>
  <c r="AX112" i="6" s="1"/>
  <c r="AY112" i="6" s="1"/>
  <c r="AZ112" i="6" s="1"/>
  <c r="BA112" i="6" s="1"/>
  <c r="BB112" i="6" s="1"/>
  <c r="V106" i="6"/>
  <c r="W106" i="6" s="1"/>
  <c r="X106" i="6" s="1"/>
  <c r="Y106" i="6" s="1"/>
  <c r="Z106" i="6" s="1"/>
  <c r="AA106" i="6" s="1"/>
  <c r="AB106" i="6" s="1"/>
  <c r="AC106" i="6" s="1"/>
  <c r="AD106" i="6" s="1"/>
  <c r="AE106" i="6" s="1"/>
  <c r="AF106" i="6" s="1"/>
  <c r="AG106" i="6" s="1"/>
  <c r="AH106" i="6" s="1"/>
  <c r="AI106" i="6" s="1"/>
  <c r="AJ106" i="6" s="1"/>
  <c r="AK106" i="6" s="1"/>
  <c r="AL106" i="6" s="1"/>
  <c r="AM106" i="6" s="1"/>
  <c r="AN106" i="6" s="1"/>
  <c r="AO106" i="6" s="1"/>
  <c r="AP106" i="6" s="1"/>
  <c r="AQ106" i="6" s="1"/>
  <c r="AR106" i="6" s="1"/>
  <c r="AS106" i="6" s="1"/>
  <c r="AT106" i="6" s="1"/>
  <c r="AU106" i="6" s="1"/>
  <c r="AV106" i="6" s="1"/>
  <c r="AW106" i="6" s="1"/>
  <c r="AX106" i="6" s="1"/>
  <c r="AY106" i="6" s="1"/>
  <c r="AZ106" i="6" s="1"/>
  <c r="BA106" i="6" s="1"/>
  <c r="BB106" i="6" s="1"/>
  <c r="V235" i="6"/>
  <c r="W235" i="6" s="1"/>
  <c r="X235" i="6" s="1"/>
  <c r="Y235" i="6" s="1"/>
  <c r="Z235" i="6" s="1"/>
  <c r="AA235" i="6" s="1"/>
  <c r="AB235" i="6" s="1"/>
  <c r="AC235" i="6" s="1"/>
  <c r="AD235" i="6" s="1"/>
  <c r="AE235" i="6" s="1"/>
  <c r="AF235" i="6" s="1"/>
  <c r="AG235" i="6" s="1"/>
  <c r="AH235" i="6" s="1"/>
  <c r="AI235" i="6" s="1"/>
  <c r="AJ235" i="6" s="1"/>
  <c r="AK235" i="6" s="1"/>
  <c r="AL235" i="6" s="1"/>
  <c r="AM235" i="6" s="1"/>
  <c r="AN235" i="6" s="1"/>
  <c r="AO235" i="6" s="1"/>
  <c r="AP235" i="6" s="1"/>
  <c r="AQ235" i="6" s="1"/>
  <c r="AR235" i="6" s="1"/>
  <c r="AS235" i="6" s="1"/>
  <c r="AT235" i="6" s="1"/>
  <c r="AU235" i="6" s="1"/>
  <c r="AV235" i="6" s="1"/>
  <c r="AW235" i="6" s="1"/>
  <c r="AX235" i="6" s="1"/>
  <c r="AY235" i="6" s="1"/>
  <c r="AZ235" i="6" s="1"/>
  <c r="BA235" i="6" s="1"/>
  <c r="BB235" i="6" s="1"/>
  <c r="CP27" i="6"/>
  <c r="AY67" i="6"/>
  <c r="AZ67" i="6" s="1"/>
  <c r="BA67" i="6" s="1"/>
  <c r="BB67" i="6" s="1"/>
  <c r="AI205" i="6"/>
  <c r="AJ205" i="6" s="1"/>
  <c r="AK205" i="6" s="1"/>
  <c r="AL205" i="6" s="1"/>
  <c r="AM205" i="6" s="1"/>
  <c r="AN205" i="6" s="1"/>
  <c r="AO205" i="6" s="1"/>
  <c r="AP205" i="6" s="1"/>
  <c r="AQ205" i="6" s="1"/>
  <c r="AR205" i="6" s="1"/>
  <c r="AS205" i="6" s="1"/>
  <c r="AT205" i="6" s="1"/>
  <c r="AU205" i="6" s="1"/>
  <c r="AV205" i="6" s="1"/>
  <c r="AW205" i="6" s="1"/>
  <c r="AX205" i="6" s="1"/>
  <c r="AY205" i="6" s="1"/>
  <c r="AZ205" i="6" s="1"/>
  <c r="BA205" i="6" s="1"/>
  <c r="BB205" i="6" s="1"/>
  <c r="Z132" i="6"/>
  <c r="CP199" i="6"/>
  <c r="CP47" i="6"/>
  <c r="CP43" i="6"/>
  <c r="CP7" i="6"/>
  <c r="CP5" i="6"/>
  <c r="F401" i="6"/>
  <c r="CK88" i="4"/>
  <c r="N397" i="6"/>
  <c r="I402" i="6" s="1"/>
  <c r="Q3" i="5"/>
  <c r="G16" i="5"/>
  <c r="O57" i="6"/>
  <c r="U82" i="4"/>
  <c r="P87" i="4" s="1"/>
  <c r="O82" i="4"/>
  <c r="J87" i="4" s="1"/>
  <c r="G18" i="3"/>
  <c r="G17" i="3"/>
  <c r="G16" i="3"/>
  <c r="G15" i="3"/>
  <c r="G14" i="3"/>
  <c r="G13" i="3"/>
  <c r="G12" i="3"/>
  <c r="G11" i="3"/>
  <c r="G9" i="3"/>
  <c r="G10" i="3"/>
  <c r="G8" i="3"/>
  <c r="G7" i="3"/>
  <c r="G6" i="3"/>
  <c r="G5" i="3"/>
  <c r="G4" i="3"/>
  <c r="G3" i="3"/>
  <c r="C35" i="3"/>
  <c r="G7" i="1"/>
  <c r="G9" i="1"/>
  <c r="G11" i="1"/>
  <c r="K57" i="1"/>
  <c r="G5" i="1"/>
  <c r="G15" i="1"/>
  <c r="G17" i="1"/>
  <c r="G19" i="1"/>
  <c r="G21" i="1"/>
  <c r="G23" i="1"/>
  <c r="G25" i="1"/>
  <c r="G27" i="1"/>
  <c r="G29" i="1"/>
  <c r="G31" i="1"/>
  <c r="G33" i="1"/>
  <c r="G37" i="1"/>
  <c r="G39" i="1"/>
  <c r="G41" i="1"/>
  <c r="G43" i="1"/>
  <c r="G45" i="1"/>
  <c r="G47" i="1"/>
  <c r="G49" i="1"/>
  <c r="G51" i="1"/>
  <c r="G53" i="1"/>
  <c r="J60" i="1"/>
  <c r="CP60" i="1" s="1"/>
  <c r="J17" i="1"/>
  <c r="K17" i="1" s="1"/>
  <c r="J13" i="1"/>
  <c r="K13" i="1" s="1"/>
  <c r="L13" i="1" s="1"/>
  <c r="M13" i="1" s="1"/>
  <c r="N13" i="1" s="1"/>
  <c r="O13" i="1" s="1"/>
  <c r="P13" i="1" s="1"/>
  <c r="Q13" i="1" s="1"/>
  <c r="J11" i="1"/>
  <c r="K11" i="1" s="1"/>
  <c r="L11" i="1" s="1"/>
  <c r="M11" i="1" s="1"/>
  <c r="N11" i="1" s="1"/>
  <c r="O11" i="1" s="1"/>
  <c r="P11" i="1" s="1"/>
  <c r="Q11" i="1" s="1"/>
  <c r="J15" i="1"/>
  <c r="K15" i="1" s="1"/>
  <c r="L15" i="1" s="1"/>
  <c r="M15" i="1" s="1"/>
  <c r="N15" i="1" s="1"/>
  <c r="O15" i="1" s="1"/>
  <c r="P15" i="1" s="1"/>
  <c r="Q15" i="1" s="1"/>
  <c r="J53" i="1"/>
  <c r="K53" i="1" s="1"/>
  <c r="L53" i="1" s="1"/>
  <c r="M53" i="1" s="1"/>
  <c r="N53" i="1" s="1"/>
  <c r="O53" i="1" s="1"/>
  <c r="P53" i="1" s="1"/>
  <c r="Q53" i="1" s="1"/>
  <c r="J49" i="1"/>
  <c r="K49" i="1" s="1"/>
  <c r="L49" i="1" s="1"/>
  <c r="M49" i="1" s="1"/>
  <c r="N49" i="1" s="1"/>
  <c r="O49" i="1" s="1"/>
  <c r="P49" i="1" s="1"/>
  <c r="Q49" i="1" s="1"/>
  <c r="J47" i="1"/>
  <c r="K47" i="1" s="1"/>
  <c r="L47" i="1" s="1"/>
  <c r="M47" i="1" s="1"/>
  <c r="N47" i="1" s="1"/>
  <c r="O47" i="1" s="1"/>
  <c r="P47" i="1" s="1"/>
  <c r="Q47" i="1" s="1"/>
  <c r="J45" i="1"/>
  <c r="K45" i="1" s="1"/>
  <c r="L45" i="1" s="1"/>
  <c r="J43" i="1"/>
  <c r="K43" i="1" s="1"/>
  <c r="L43" i="1" s="1"/>
  <c r="M43" i="1" s="1"/>
  <c r="N43" i="1" s="1"/>
  <c r="O43" i="1" s="1"/>
  <c r="P43" i="1" s="1"/>
  <c r="Q43" i="1" s="1"/>
  <c r="J41" i="1"/>
  <c r="K41" i="1" s="1"/>
  <c r="L41" i="1" s="1"/>
  <c r="J39" i="1"/>
  <c r="K39" i="1" s="1"/>
  <c r="J37" i="1"/>
  <c r="K37" i="1" s="1"/>
  <c r="J35" i="1"/>
  <c r="K35" i="1" s="1"/>
  <c r="J33" i="1"/>
  <c r="K33" i="1" s="1"/>
  <c r="L33" i="1" s="1"/>
  <c r="J31" i="1"/>
  <c r="K31" i="1" s="1"/>
  <c r="J29" i="1"/>
  <c r="K29" i="1" s="1"/>
  <c r="J27" i="1"/>
  <c r="K27" i="1" s="1"/>
  <c r="K25" i="1"/>
  <c r="J23" i="1"/>
  <c r="K23" i="1" s="1"/>
  <c r="J21" i="1"/>
  <c r="K21" i="1" s="1"/>
  <c r="J19" i="1"/>
  <c r="K19" i="1" s="1"/>
  <c r="J5" i="1"/>
  <c r="J9" i="1"/>
  <c r="K9" i="1" s="1"/>
  <c r="J7" i="1"/>
  <c r="K7" i="1" s="1"/>
  <c r="L7" i="1" s="1"/>
  <c r="M7" i="1" s="1"/>
  <c r="N7" i="1" s="1"/>
  <c r="O7" i="1" s="1"/>
  <c r="P7" i="1" s="1"/>
  <c r="Q7" i="1" s="1"/>
  <c r="CP56" i="1"/>
  <c r="CP54" i="1"/>
  <c r="CP52" i="1"/>
  <c r="CP50" i="1"/>
  <c r="CP48" i="1"/>
  <c r="CP46" i="1"/>
  <c r="CP44" i="1"/>
  <c r="CP42" i="1"/>
  <c r="CP40" i="1"/>
  <c r="CP38" i="1"/>
  <c r="CP36" i="1"/>
  <c r="CP34" i="1"/>
  <c r="CP32" i="1"/>
  <c r="CP30" i="1"/>
  <c r="CP28" i="1"/>
  <c r="CP26" i="1"/>
  <c r="CP24" i="1"/>
  <c r="CP22" i="1"/>
  <c r="CP20" i="1"/>
  <c r="CP18" i="1"/>
  <c r="CP16" i="1"/>
  <c r="CP14" i="1"/>
  <c r="CP12" i="1"/>
  <c r="CP10" i="1"/>
  <c r="CP8" i="1"/>
  <c r="CP6" i="1"/>
  <c r="CP4" i="1"/>
  <c r="CP102" i="6" l="1"/>
  <c r="CP69" i="6"/>
  <c r="CP128" i="6"/>
  <c r="CP233" i="6"/>
  <c r="CP217" i="6"/>
  <c r="E92" i="4"/>
  <c r="CP219" i="6"/>
  <c r="CP295" i="6"/>
  <c r="CP124" i="6"/>
  <c r="CP55" i="6"/>
  <c r="CP350" i="6"/>
  <c r="CP136" i="6"/>
  <c r="CP209" i="6"/>
  <c r="CP41" i="6"/>
  <c r="CP98" i="6"/>
  <c r="CP11" i="6"/>
  <c r="CP94" i="6"/>
  <c r="CP283" i="6"/>
  <c r="CP346" i="6"/>
  <c r="CP285" i="6"/>
  <c r="CP299" i="6"/>
  <c r="CP120" i="6"/>
  <c r="CP37" i="6"/>
  <c r="CP191" i="6"/>
  <c r="CP225" i="6"/>
  <c r="CP241" i="6"/>
  <c r="CP110" i="6"/>
  <c r="CP39" i="6"/>
  <c r="CP158" i="6"/>
  <c r="CP25" i="6"/>
  <c r="CP122" i="6"/>
  <c r="CP275" i="6"/>
  <c r="CP223" i="6"/>
  <c r="CP203" i="6"/>
  <c r="CP114" i="6"/>
  <c r="CP108" i="6"/>
  <c r="CP215" i="6"/>
  <c r="CP142" i="6"/>
  <c r="BC67" i="6"/>
  <c r="BD67" i="6" s="1"/>
  <c r="BE67" i="6" s="1"/>
  <c r="BF67" i="6" s="1"/>
  <c r="BG67" i="6" s="1"/>
  <c r="BH67" i="6" s="1"/>
  <c r="BI67" i="6" s="1"/>
  <c r="BJ67" i="6" s="1"/>
  <c r="BK67" i="6" s="1"/>
  <c r="BL67" i="6" s="1"/>
  <c r="BM67" i="6" s="1"/>
  <c r="BN67" i="6" s="1"/>
  <c r="BO67" i="6" s="1"/>
  <c r="BP67" i="6" s="1"/>
  <c r="BQ67" i="6" s="1"/>
  <c r="BR67" i="6" s="1"/>
  <c r="BS67" i="6" s="1"/>
  <c r="BT67" i="6" s="1"/>
  <c r="BU67" i="6" s="1"/>
  <c r="BV67" i="6" s="1"/>
  <c r="BW67" i="6" s="1"/>
  <c r="BX67" i="6" s="1"/>
  <c r="BY67" i="6" s="1"/>
  <c r="BZ67" i="6" s="1"/>
  <c r="CA67" i="6" s="1"/>
  <c r="CB67" i="6" s="1"/>
  <c r="CC67" i="6" s="1"/>
  <c r="CD67" i="6" s="1"/>
  <c r="CE67" i="6" s="1"/>
  <c r="CF67" i="6" s="1"/>
  <c r="CG67" i="6" s="1"/>
  <c r="CH67" i="6" s="1"/>
  <c r="CI67" i="6" s="1"/>
  <c r="CJ67" i="6" s="1"/>
  <c r="CK67" i="6" s="1"/>
  <c r="CL67" i="6" s="1"/>
  <c r="CM67" i="6" s="1"/>
  <c r="CN67" i="6" s="1"/>
  <c r="CO67" i="6" s="1"/>
  <c r="BC106" i="6"/>
  <c r="BD106" i="6" s="1"/>
  <c r="BE106" i="6" s="1"/>
  <c r="BF106" i="6" s="1"/>
  <c r="BG106" i="6" s="1"/>
  <c r="BH106" i="6" s="1"/>
  <c r="BI106" i="6" s="1"/>
  <c r="BJ106" i="6" s="1"/>
  <c r="BK106" i="6" s="1"/>
  <c r="BL106" i="6" s="1"/>
  <c r="BM106" i="6" s="1"/>
  <c r="BN106" i="6" s="1"/>
  <c r="BO106" i="6" s="1"/>
  <c r="BP106" i="6" s="1"/>
  <c r="BQ106" i="6" s="1"/>
  <c r="BR106" i="6" s="1"/>
  <c r="BS106" i="6" s="1"/>
  <c r="BT106" i="6" s="1"/>
  <c r="BU106" i="6" s="1"/>
  <c r="BV106" i="6" s="1"/>
  <c r="BW106" i="6" s="1"/>
  <c r="BX106" i="6" s="1"/>
  <c r="BY106" i="6" s="1"/>
  <c r="BZ106" i="6" s="1"/>
  <c r="CA106" i="6" s="1"/>
  <c r="CB106" i="6" s="1"/>
  <c r="CC106" i="6" s="1"/>
  <c r="CD106" i="6" s="1"/>
  <c r="CE106" i="6" s="1"/>
  <c r="CF106" i="6" s="1"/>
  <c r="CG106" i="6" s="1"/>
  <c r="CH106" i="6" s="1"/>
  <c r="CI106" i="6" s="1"/>
  <c r="CJ106" i="6" s="1"/>
  <c r="CK106" i="6" s="1"/>
  <c r="CL106" i="6" s="1"/>
  <c r="CM106" i="6" s="1"/>
  <c r="CN106" i="6" s="1"/>
  <c r="CO106" i="6" s="1"/>
  <c r="BC245" i="6"/>
  <c r="BD245" i="6" s="1"/>
  <c r="BE245" i="6" s="1"/>
  <c r="BF245" i="6" s="1"/>
  <c r="BG245" i="6" s="1"/>
  <c r="BH245" i="6" s="1"/>
  <c r="BI245" i="6" s="1"/>
  <c r="BJ245" i="6" s="1"/>
  <c r="BK245" i="6" s="1"/>
  <c r="BL245" i="6" s="1"/>
  <c r="BM245" i="6" s="1"/>
  <c r="BN245" i="6" s="1"/>
  <c r="BO245" i="6" s="1"/>
  <c r="BP245" i="6" s="1"/>
  <c r="BQ245" i="6" s="1"/>
  <c r="BR245" i="6" s="1"/>
  <c r="BS245" i="6" s="1"/>
  <c r="BT245" i="6" s="1"/>
  <c r="BU245" i="6" s="1"/>
  <c r="BV245" i="6" s="1"/>
  <c r="BW245" i="6" s="1"/>
  <c r="BX245" i="6" s="1"/>
  <c r="BY245" i="6" s="1"/>
  <c r="BZ245" i="6" s="1"/>
  <c r="CA245" i="6" s="1"/>
  <c r="CB245" i="6" s="1"/>
  <c r="CC245" i="6" s="1"/>
  <c r="CD245" i="6" s="1"/>
  <c r="CE245" i="6" s="1"/>
  <c r="CF245" i="6" s="1"/>
  <c r="CG245" i="6" s="1"/>
  <c r="CH245" i="6" s="1"/>
  <c r="CI245" i="6" s="1"/>
  <c r="CJ245" i="6" s="1"/>
  <c r="CK245" i="6" s="1"/>
  <c r="CL245" i="6" s="1"/>
  <c r="CM245" i="6" s="1"/>
  <c r="CN245" i="6" s="1"/>
  <c r="CO245" i="6" s="1"/>
  <c r="BC249" i="6"/>
  <c r="BD249" i="6" s="1"/>
  <c r="BE249" i="6" s="1"/>
  <c r="BF249" i="6" s="1"/>
  <c r="BG249" i="6" s="1"/>
  <c r="BH249" i="6" s="1"/>
  <c r="BI249" i="6" s="1"/>
  <c r="BJ249" i="6" s="1"/>
  <c r="BK249" i="6" s="1"/>
  <c r="BL249" i="6" s="1"/>
  <c r="BM249" i="6" s="1"/>
  <c r="BN249" i="6" s="1"/>
  <c r="BO249" i="6" s="1"/>
  <c r="BP249" i="6" s="1"/>
  <c r="BQ249" i="6" s="1"/>
  <c r="BR249" i="6" s="1"/>
  <c r="BS249" i="6" s="1"/>
  <c r="BT249" i="6" s="1"/>
  <c r="BU249" i="6" s="1"/>
  <c r="BV249" i="6" s="1"/>
  <c r="BW249" i="6" s="1"/>
  <c r="BX249" i="6" s="1"/>
  <c r="BY249" i="6" s="1"/>
  <c r="BZ249" i="6" s="1"/>
  <c r="CA249" i="6" s="1"/>
  <c r="CB249" i="6" s="1"/>
  <c r="CC249" i="6" s="1"/>
  <c r="CD249" i="6" s="1"/>
  <c r="CE249" i="6" s="1"/>
  <c r="CF249" i="6" s="1"/>
  <c r="CG249" i="6" s="1"/>
  <c r="CH249" i="6" s="1"/>
  <c r="CI249" i="6" s="1"/>
  <c r="CJ249" i="6" s="1"/>
  <c r="CK249" i="6" s="1"/>
  <c r="CL249" i="6" s="1"/>
  <c r="CM249" i="6" s="1"/>
  <c r="CN249" i="6" s="1"/>
  <c r="CO249" i="6" s="1"/>
  <c r="BC287" i="6"/>
  <c r="BD287" i="6" s="1"/>
  <c r="BE287" i="6" s="1"/>
  <c r="BF287" i="6" s="1"/>
  <c r="BG287" i="6" s="1"/>
  <c r="BH287" i="6" s="1"/>
  <c r="BI287" i="6" s="1"/>
  <c r="BJ287" i="6" s="1"/>
  <c r="BK287" i="6" s="1"/>
  <c r="BL287" i="6" s="1"/>
  <c r="BM287" i="6" s="1"/>
  <c r="BN287" i="6" s="1"/>
  <c r="BO287" i="6" s="1"/>
  <c r="BP287" i="6" s="1"/>
  <c r="BQ287" i="6" s="1"/>
  <c r="BR287" i="6" s="1"/>
  <c r="BS287" i="6" s="1"/>
  <c r="BT287" i="6" s="1"/>
  <c r="BU287" i="6" s="1"/>
  <c r="BV287" i="6" s="1"/>
  <c r="BW287" i="6" s="1"/>
  <c r="BX287" i="6" s="1"/>
  <c r="BY287" i="6" s="1"/>
  <c r="BZ287" i="6" s="1"/>
  <c r="CA287" i="6" s="1"/>
  <c r="CB287" i="6" s="1"/>
  <c r="CC287" i="6" s="1"/>
  <c r="CD287" i="6" s="1"/>
  <c r="CE287" i="6" s="1"/>
  <c r="CF287" i="6" s="1"/>
  <c r="CG287" i="6" s="1"/>
  <c r="CH287" i="6" s="1"/>
  <c r="CI287" i="6" s="1"/>
  <c r="CJ287" i="6" s="1"/>
  <c r="CK287" i="6" s="1"/>
  <c r="CL287" i="6" s="1"/>
  <c r="CM287" i="6" s="1"/>
  <c r="CN287" i="6" s="1"/>
  <c r="CO287" i="6" s="1"/>
  <c r="BC289" i="6"/>
  <c r="BD289" i="6" s="1"/>
  <c r="BE289" i="6" s="1"/>
  <c r="BF289" i="6" s="1"/>
  <c r="BG289" i="6" s="1"/>
  <c r="BH289" i="6" s="1"/>
  <c r="BI289" i="6" s="1"/>
  <c r="BJ289" i="6" s="1"/>
  <c r="BK289" i="6" s="1"/>
  <c r="BL289" i="6" s="1"/>
  <c r="BM289" i="6" s="1"/>
  <c r="BN289" i="6" s="1"/>
  <c r="BO289" i="6" s="1"/>
  <c r="BP289" i="6" s="1"/>
  <c r="BQ289" i="6" s="1"/>
  <c r="BR289" i="6" s="1"/>
  <c r="BS289" i="6" s="1"/>
  <c r="BT289" i="6" s="1"/>
  <c r="BU289" i="6" s="1"/>
  <c r="BV289" i="6" s="1"/>
  <c r="BW289" i="6" s="1"/>
  <c r="BX289" i="6" s="1"/>
  <c r="BY289" i="6" s="1"/>
  <c r="BZ289" i="6" s="1"/>
  <c r="CA289" i="6" s="1"/>
  <c r="CB289" i="6" s="1"/>
  <c r="CC289" i="6" s="1"/>
  <c r="CD289" i="6" s="1"/>
  <c r="CE289" i="6" s="1"/>
  <c r="CF289" i="6" s="1"/>
  <c r="CG289" i="6" s="1"/>
  <c r="CH289" i="6" s="1"/>
  <c r="CI289" i="6" s="1"/>
  <c r="CJ289" i="6" s="1"/>
  <c r="CK289" i="6" s="1"/>
  <c r="CL289" i="6" s="1"/>
  <c r="CM289" i="6" s="1"/>
  <c r="CN289" i="6" s="1"/>
  <c r="CO289" i="6" s="1"/>
  <c r="BC277" i="6"/>
  <c r="BD277" i="6" s="1"/>
  <c r="BE277" i="6" s="1"/>
  <c r="BF277" i="6" s="1"/>
  <c r="BG277" i="6" s="1"/>
  <c r="BH277" i="6" s="1"/>
  <c r="BI277" i="6" s="1"/>
  <c r="BJ277" i="6" s="1"/>
  <c r="BK277" i="6" s="1"/>
  <c r="BL277" i="6" s="1"/>
  <c r="BM277" i="6" s="1"/>
  <c r="BN277" i="6" s="1"/>
  <c r="BO277" i="6" s="1"/>
  <c r="BP277" i="6" s="1"/>
  <c r="BQ277" i="6" s="1"/>
  <c r="BR277" i="6" s="1"/>
  <c r="BS277" i="6" s="1"/>
  <c r="BT277" i="6" s="1"/>
  <c r="BU277" i="6" s="1"/>
  <c r="BV277" i="6" s="1"/>
  <c r="BW277" i="6" s="1"/>
  <c r="BX277" i="6" s="1"/>
  <c r="BY277" i="6" s="1"/>
  <c r="BZ277" i="6" s="1"/>
  <c r="CA277" i="6" s="1"/>
  <c r="CB277" i="6" s="1"/>
  <c r="CC277" i="6" s="1"/>
  <c r="CD277" i="6" s="1"/>
  <c r="CE277" i="6" s="1"/>
  <c r="CF277" i="6" s="1"/>
  <c r="CG277" i="6" s="1"/>
  <c r="CH277" i="6" s="1"/>
  <c r="CI277" i="6" s="1"/>
  <c r="CJ277" i="6" s="1"/>
  <c r="CK277" i="6" s="1"/>
  <c r="CL277" i="6" s="1"/>
  <c r="CM277" i="6" s="1"/>
  <c r="CN277" i="6" s="1"/>
  <c r="CO277" i="6" s="1"/>
  <c r="BC205" i="6"/>
  <c r="BD205" i="6" s="1"/>
  <c r="BE205" i="6" s="1"/>
  <c r="BF205" i="6" s="1"/>
  <c r="BG205" i="6" s="1"/>
  <c r="BH205" i="6" s="1"/>
  <c r="BI205" i="6" s="1"/>
  <c r="BJ205" i="6" s="1"/>
  <c r="BK205" i="6" s="1"/>
  <c r="BL205" i="6" s="1"/>
  <c r="BM205" i="6" s="1"/>
  <c r="BN205" i="6" s="1"/>
  <c r="BO205" i="6" s="1"/>
  <c r="BP205" i="6" s="1"/>
  <c r="BQ205" i="6" s="1"/>
  <c r="BR205" i="6" s="1"/>
  <c r="BS205" i="6" s="1"/>
  <c r="BT205" i="6" s="1"/>
  <c r="BU205" i="6" s="1"/>
  <c r="BV205" i="6" s="1"/>
  <c r="BW205" i="6" s="1"/>
  <c r="BX205" i="6" s="1"/>
  <c r="BY205" i="6" s="1"/>
  <c r="BZ205" i="6" s="1"/>
  <c r="CA205" i="6" s="1"/>
  <c r="CB205" i="6" s="1"/>
  <c r="CC205" i="6" s="1"/>
  <c r="CD205" i="6" s="1"/>
  <c r="CE205" i="6" s="1"/>
  <c r="CF205" i="6" s="1"/>
  <c r="CG205" i="6" s="1"/>
  <c r="CH205" i="6" s="1"/>
  <c r="CI205" i="6" s="1"/>
  <c r="CJ205" i="6" s="1"/>
  <c r="CK205" i="6" s="1"/>
  <c r="CL205" i="6" s="1"/>
  <c r="CM205" i="6" s="1"/>
  <c r="CN205" i="6" s="1"/>
  <c r="CO205" i="6" s="1"/>
  <c r="BC235" i="6"/>
  <c r="BD235" i="6" s="1"/>
  <c r="BE235" i="6" s="1"/>
  <c r="BF235" i="6" s="1"/>
  <c r="BG235" i="6" s="1"/>
  <c r="BH235" i="6" s="1"/>
  <c r="BI235" i="6" s="1"/>
  <c r="BJ235" i="6" s="1"/>
  <c r="BK235" i="6" s="1"/>
  <c r="BL235" i="6" s="1"/>
  <c r="BM235" i="6" s="1"/>
  <c r="BN235" i="6" s="1"/>
  <c r="BO235" i="6" s="1"/>
  <c r="BP235" i="6" s="1"/>
  <c r="BQ235" i="6" s="1"/>
  <c r="BR235" i="6" s="1"/>
  <c r="BS235" i="6" s="1"/>
  <c r="BT235" i="6" s="1"/>
  <c r="BU235" i="6" s="1"/>
  <c r="BV235" i="6" s="1"/>
  <c r="BW235" i="6" s="1"/>
  <c r="BX235" i="6" s="1"/>
  <c r="BY235" i="6" s="1"/>
  <c r="BZ235" i="6" s="1"/>
  <c r="CA235" i="6" s="1"/>
  <c r="CB235" i="6" s="1"/>
  <c r="CC235" i="6" s="1"/>
  <c r="CD235" i="6" s="1"/>
  <c r="CE235" i="6" s="1"/>
  <c r="CF235" i="6" s="1"/>
  <c r="CG235" i="6" s="1"/>
  <c r="CH235" i="6" s="1"/>
  <c r="CI235" i="6" s="1"/>
  <c r="CJ235" i="6" s="1"/>
  <c r="CK235" i="6" s="1"/>
  <c r="CL235" i="6" s="1"/>
  <c r="CM235" i="6" s="1"/>
  <c r="CN235" i="6" s="1"/>
  <c r="CO235" i="6" s="1"/>
  <c r="BC112" i="6"/>
  <c r="BD112" i="6" s="1"/>
  <c r="BE112" i="6" s="1"/>
  <c r="BF112" i="6" s="1"/>
  <c r="BG112" i="6" s="1"/>
  <c r="BH112" i="6" s="1"/>
  <c r="BI112" i="6" s="1"/>
  <c r="BJ112" i="6" s="1"/>
  <c r="BK112" i="6" s="1"/>
  <c r="BL112" i="6" s="1"/>
  <c r="BM112" i="6" s="1"/>
  <c r="BN112" i="6" s="1"/>
  <c r="BO112" i="6" s="1"/>
  <c r="BP112" i="6" s="1"/>
  <c r="BQ112" i="6" s="1"/>
  <c r="BR112" i="6" s="1"/>
  <c r="BS112" i="6" s="1"/>
  <c r="BT112" i="6" s="1"/>
  <c r="BU112" i="6" s="1"/>
  <c r="BV112" i="6" s="1"/>
  <c r="BW112" i="6" s="1"/>
  <c r="BX112" i="6" s="1"/>
  <c r="BY112" i="6" s="1"/>
  <c r="BZ112" i="6" s="1"/>
  <c r="CA112" i="6" s="1"/>
  <c r="CB112" i="6" s="1"/>
  <c r="CC112" i="6" s="1"/>
  <c r="CD112" i="6" s="1"/>
  <c r="CE112" i="6" s="1"/>
  <c r="CF112" i="6" s="1"/>
  <c r="CG112" i="6" s="1"/>
  <c r="CH112" i="6" s="1"/>
  <c r="CI112" i="6" s="1"/>
  <c r="CJ112" i="6" s="1"/>
  <c r="CK112" i="6" s="1"/>
  <c r="CL112" i="6" s="1"/>
  <c r="CM112" i="6" s="1"/>
  <c r="CN112" i="6" s="1"/>
  <c r="CO112" i="6" s="1"/>
  <c r="BC134" i="6"/>
  <c r="BD134" i="6" s="1"/>
  <c r="BE134" i="6" s="1"/>
  <c r="BF134" i="6" s="1"/>
  <c r="BG134" i="6" s="1"/>
  <c r="BH134" i="6" s="1"/>
  <c r="BI134" i="6" s="1"/>
  <c r="BJ134" i="6" s="1"/>
  <c r="BK134" i="6" s="1"/>
  <c r="BL134" i="6" s="1"/>
  <c r="BM134" i="6" s="1"/>
  <c r="BN134" i="6" s="1"/>
  <c r="BO134" i="6" s="1"/>
  <c r="BP134" i="6" s="1"/>
  <c r="BQ134" i="6" s="1"/>
  <c r="BR134" i="6" s="1"/>
  <c r="BS134" i="6" s="1"/>
  <c r="BT134" i="6" s="1"/>
  <c r="BU134" i="6" s="1"/>
  <c r="BV134" i="6" s="1"/>
  <c r="BW134" i="6" s="1"/>
  <c r="BX134" i="6" s="1"/>
  <c r="BY134" i="6" s="1"/>
  <c r="BZ134" i="6" s="1"/>
  <c r="CA134" i="6" s="1"/>
  <c r="CB134" i="6" s="1"/>
  <c r="CC134" i="6" s="1"/>
  <c r="CD134" i="6" s="1"/>
  <c r="CE134" i="6" s="1"/>
  <c r="CF134" i="6" s="1"/>
  <c r="CG134" i="6" s="1"/>
  <c r="CH134" i="6" s="1"/>
  <c r="CI134" i="6" s="1"/>
  <c r="CJ134" i="6" s="1"/>
  <c r="CK134" i="6" s="1"/>
  <c r="CL134" i="6" s="1"/>
  <c r="CM134" i="6" s="1"/>
  <c r="CN134" i="6" s="1"/>
  <c r="CO134" i="6" s="1"/>
  <c r="BC247" i="6"/>
  <c r="BD247" i="6" s="1"/>
  <c r="BE247" i="6" s="1"/>
  <c r="BF247" i="6" s="1"/>
  <c r="BG247" i="6" s="1"/>
  <c r="BH247" i="6" s="1"/>
  <c r="BI247" i="6" s="1"/>
  <c r="BJ247" i="6" s="1"/>
  <c r="BK247" i="6" s="1"/>
  <c r="BL247" i="6" s="1"/>
  <c r="BM247" i="6" s="1"/>
  <c r="BN247" i="6" s="1"/>
  <c r="BO247" i="6" s="1"/>
  <c r="BP247" i="6" s="1"/>
  <c r="BQ247" i="6" s="1"/>
  <c r="BR247" i="6" s="1"/>
  <c r="BS247" i="6" s="1"/>
  <c r="BT247" i="6" s="1"/>
  <c r="BU247" i="6" s="1"/>
  <c r="BV247" i="6" s="1"/>
  <c r="BW247" i="6" s="1"/>
  <c r="BX247" i="6" s="1"/>
  <c r="BY247" i="6" s="1"/>
  <c r="BZ247" i="6" s="1"/>
  <c r="CA247" i="6" s="1"/>
  <c r="CB247" i="6" s="1"/>
  <c r="CC247" i="6" s="1"/>
  <c r="CD247" i="6" s="1"/>
  <c r="CE247" i="6" s="1"/>
  <c r="CF247" i="6" s="1"/>
  <c r="CG247" i="6" s="1"/>
  <c r="CH247" i="6" s="1"/>
  <c r="CI247" i="6" s="1"/>
  <c r="CJ247" i="6" s="1"/>
  <c r="CK247" i="6" s="1"/>
  <c r="CL247" i="6" s="1"/>
  <c r="CM247" i="6" s="1"/>
  <c r="CN247" i="6" s="1"/>
  <c r="CO247" i="6" s="1"/>
  <c r="BC193" i="6"/>
  <c r="BD193" i="6" s="1"/>
  <c r="BE193" i="6" s="1"/>
  <c r="BF193" i="6" s="1"/>
  <c r="BG193" i="6" s="1"/>
  <c r="BH193" i="6" s="1"/>
  <c r="BI193" i="6" s="1"/>
  <c r="BJ193" i="6" s="1"/>
  <c r="BK193" i="6" s="1"/>
  <c r="BL193" i="6" s="1"/>
  <c r="BM193" i="6" s="1"/>
  <c r="BN193" i="6" s="1"/>
  <c r="BO193" i="6" s="1"/>
  <c r="BP193" i="6" s="1"/>
  <c r="BQ193" i="6" s="1"/>
  <c r="BR193" i="6" s="1"/>
  <c r="BS193" i="6" s="1"/>
  <c r="BT193" i="6" s="1"/>
  <c r="BU193" i="6" s="1"/>
  <c r="BV193" i="6" s="1"/>
  <c r="BW193" i="6" s="1"/>
  <c r="BX193" i="6" s="1"/>
  <c r="BY193" i="6" s="1"/>
  <c r="BZ193" i="6" s="1"/>
  <c r="CA193" i="6" s="1"/>
  <c r="CB193" i="6" s="1"/>
  <c r="CC193" i="6" s="1"/>
  <c r="CD193" i="6" s="1"/>
  <c r="CE193" i="6" s="1"/>
  <c r="CF193" i="6" s="1"/>
  <c r="CG193" i="6" s="1"/>
  <c r="CH193" i="6" s="1"/>
  <c r="CI193" i="6" s="1"/>
  <c r="CJ193" i="6" s="1"/>
  <c r="CK193" i="6" s="1"/>
  <c r="CL193" i="6" s="1"/>
  <c r="CM193" i="6" s="1"/>
  <c r="CN193" i="6" s="1"/>
  <c r="CO193" i="6" s="1"/>
  <c r="BC362" i="6"/>
  <c r="BD362" i="6" s="1"/>
  <c r="BE362" i="6" s="1"/>
  <c r="BF362" i="6" s="1"/>
  <c r="BG362" i="6" s="1"/>
  <c r="BH362" i="6" s="1"/>
  <c r="BI362" i="6" s="1"/>
  <c r="BJ362" i="6" s="1"/>
  <c r="BK362" i="6" s="1"/>
  <c r="BL362" i="6" s="1"/>
  <c r="BM362" i="6" s="1"/>
  <c r="BN362" i="6" s="1"/>
  <c r="BO362" i="6" s="1"/>
  <c r="BP362" i="6" s="1"/>
  <c r="BQ362" i="6" s="1"/>
  <c r="BR362" i="6" s="1"/>
  <c r="BS362" i="6" s="1"/>
  <c r="BT362" i="6" s="1"/>
  <c r="BU362" i="6" s="1"/>
  <c r="BV362" i="6" s="1"/>
  <c r="BW362" i="6" s="1"/>
  <c r="BX362" i="6" s="1"/>
  <c r="BY362" i="6" s="1"/>
  <c r="BZ362" i="6" s="1"/>
  <c r="CA362" i="6" s="1"/>
  <c r="CB362" i="6" s="1"/>
  <c r="CC362" i="6" s="1"/>
  <c r="CD362" i="6" s="1"/>
  <c r="CE362" i="6" s="1"/>
  <c r="CF362" i="6" s="1"/>
  <c r="CG362" i="6" s="1"/>
  <c r="CH362" i="6" s="1"/>
  <c r="CI362" i="6" s="1"/>
  <c r="CJ362" i="6" s="1"/>
  <c r="CK362" i="6" s="1"/>
  <c r="CL362" i="6" s="1"/>
  <c r="CM362" i="6" s="1"/>
  <c r="CN362" i="6" s="1"/>
  <c r="CO362" i="6" s="1"/>
  <c r="BC263" i="6"/>
  <c r="BD263" i="6" s="1"/>
  <c r="BE263" i="6" s="1"/>
  <c r="BF263" i="6" s="1"/>
  <c r="BG263" i="6" s="1"/>
  <c r="BH263" i="6" s="1"/>
  <c r="BI263" i="6" s="1"/>
  <c r="BJ263" i="6" s="1"/>
  <c r="BK263" i="6" s="1"/>
  <c r="BL263" i="6" s="1"/>
  <c r="BM263" i="6" s="1"/>
  <c r="BN263" i="6" s="1"/>
  <c r="BO263" i="6" s="1"/>
  <c r="BP263" i="6" s="1"/>
  <c r="BQ263" i="6" s="1"/>
  <c r="BR263" i="6" s="1"/>
  <c r="BS263" i="6" s="1"/>
  <c r="BT263" i="6" s="1"/>
  <c r="BU263" i="6" s="1"/>
  <c r="BV263" i="6" s="1"/>
  <c r="BW263" i="6" s="1"/>
  <c r="BX263" i="6" s="1"/>
  <c r="BY263" i="6" s="1"/>
  <c r="BZ263" i="6" s="1"/>
  <c r="CA263" i="6" s="1"/>
  <c r="CB263" i="6" s="1"/>
  <c r="CC263" i="6" s="1"/>
  <c r="CD263" i="6" s="1"/>
  <c r="CE263" i="6" s="1"/>
  <c r="CF263" i="6" s="1"/>
  <c r="CG263" i="6" s="1"/>
  <c r="CH263" i="6" s="1"/>
  <c r="CI263" i="6" s="1"/>
  <c r="CJ263" i="6" s="1"/>
  <c r="CK263" i="6" s="1"/>
  <c r="CL263" i="6" s="1"/>
  <c r="CM263" i="6" s="1"/>
  <c r="CN263" i="6" s="1"/>
  <c r="CO263" i="6" s="1"/>
  <c r="BC293" i="6"/>
  <c r="BD293" i="6" s="1"/>
  <c r="BE293" i="6" s="1"/>
  <c r="BF293" i="6" s="1"/>
  <c r="BG293" i="6" s="1"/>
  <c r="BH293" i="6" s="1"/>
  <c r="BI293" i="6" s="1"/>
  <c r="BJ293" i="6" s="1"/>
  <c r="BK293" i="6" s="1"/>
  <c r="BL293" i="6" s="1"/>
  <c r="BM293" i="6" s="1"/>
  <c r="BN293" i="6" s="1"/>
  <c r="BO293" i="6" s="1"/>
  <c r="BP293" i="6" s="1"/>
  <c r="BQ293" i="6" s="1"/>
  <c r="BR293" i="6" s="1"/>
  <c r="BS293" i="6" s="1"/>
  <c r="BT293" i="6" s="1"/>
  <c r="BU293" i="6" s="1"/>
  <c r="BV293" i="6" s="1"/>
  <c r="BW293" i="6" s="1"/>
  <c r="BX293" i="6" s="1"/>
  <c r="BY293" i="6" s="1"/>
  <c r="BZ293" i="6" s="1"/>
  <c r="CA293" i="6" s="1"/>
  <c r="CB293" i="6" s="1"/>
  <c r="CC293" i="6" s="1"/>
  <c r="CD293" i="6" s="1"/>
  <c r="CE293" i="6" s="1"/>
  <c r="CF293" i="6" s="1"/>
  <c r="CG293" i="6" s="1"/>
  <c r="CH293" i="6" s="1"/>
  <c r="CI293" i="6" s="1"/>
  <c r="CJ293" i="6" s="1"/>
  <c r="CK293" i="6" s="1"/>
  <c r="CL293" i="6" s="1"/>
  <c r="CM293" i="6" s="1"/>
  <c r="CN293" i="6" s="1"/>
  <c r="CO293" i="6" s="1"/>
  <c r="CP19" i="6"/>
  <c r="BF354" i="6"/>
  <c r="F86" i="4"/>
  <c r="F91" i="4" s="1"/>
  <c r="E91" i="4"/>
  <c r="CL64" i="1"/>
  <c r="CM64" i="1" s="1"/>
  <c r="CL66" i="1"/>
  <c r="CM66" i="1" s="1"/>
  <c r="CL68" i="1"/>
  <c r="CM68" i="1" s="1"/>
  <c r="CP51" i="1"/>
  <c r="CP70" i="1"/>
  <c r="GZ70" i="1" s="1"/>
  <c r="CL62" i="1"/>
  <c r="CM62" i="1" s="1"/>
  <c r="O397" i="6"/>
  <c r="J402" i="6" s="1"/>
  <c r="P57" i="6"/>
  <c r="P397" i="6" s="1"/>
  <c r="K402" i="6" s="1"/>
  <c r="Q3" i="6"/>
  <c r="R3" i="6" s="1"/>
  <c r="S3" i="6" s="1"/>
  <c r="T3" i="6" s="1"/>
  <c r="X55" i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BR55" i="1" s="1"/>
  <c r="BS55" i="1" s="1"/>
  <c r="BT55" i="1" s="1"/>
  <c r="BU55" i="1" s="1"/>
  <c r="BV55" i="1" s="1"/>
  <c r="BW55" i="1" s="1"/>
  <c r="BX55" i="1" s="1"/>
  <c r="BY55" i="1" s="1"/>
  <c r="CA55" i="1" s="1"/>
  <c r="CB55" i="1" s="1"/>
  <c r="CC55" i="1" s="1"/>
  <c r="CD55" i="1" s="1"/>
  <c r="CE55" i="1" s="1"/>
  <c r="CF55" i="1" s="1"/>
  <c r="CG55" i="1" s="1"/>
  <c r="CH55" i="1" s="1"/>
  <c r="CI55" i="1" s="1"/>
  <c r="CJ55" i="1" s="1"/>
  <c r="CK55" i="1" s="1"/>
  <c r="R43" i="1"/>
  <c r="S43" i="1" s="1"/>
  <c r="T43" i="1" s="1"/>
  <c r="U43" i="1" s="1"/>
  <c r="R47" i="1"/>
  <c r="S47" i="1" s="1"/>
  <c r="T47" i="1" s="1"/>
  <c r="U47" i="1" s="1"/>
  <c r="R11" i="1"/>
  <c r="S11" i="1" s="1"/>
  <c r="T11" i="1" s="1"/>
  <c r="U11" i="1" s="1"/>
  <c r="R7" i="1"/>
  <c r="S7" i="1" s="1"/>
  <c r="T7" i="1" s="1"/>
  <c r="U7" i="1" s="1"/>
  <c r="R49" i="1"/>
  <c r="S49" i="1" s="1"/>
  <c r="R15" i="1"/>
  <c r="S15" i="1" s="1"/>
  <c r="R13" i="1"/>
  <c r="S13" i="1" s="1"/>
  <c r="S53" i="1"/>
  <c r="T53" i="1" s="1"/>
  <c r="U53" i="1" s="1"/>
  <c r="R53" i="1"/>
  <c r="E90" i="4"/>
  <c r="E95" i="4" s="1"/>
  <c r="E407" i="6"/>
  <c r="X291" i="6"/>
  <c r="Y291" i="6" s="1"/>
  <c r="Z291" i="6" s="1"/>
  <c r="AA291" i="6" s="1"/>
  <c r="AB291" i="6" s="1"/>
  <c r="AC291" i="6" s="1"/>
  <c r="AD291" i="6" s="1"/>
  <c r="AE291" i="6" s="1"/>
  <c r="AF291" i="6" s="1"/>
  <c r="AG291" i="6" s="1"/>
  <c r="AH291" i="6" s="1"/>
  <c r="AI291" i="6" s="1"/>
  <c r="AJ291" i="6" s="1"/>
  <c r="AK291" i="6" s="1"/>
  <c r="AL291" i="6" s="1"/>
  <c r="AM291" i="6" s="1"/>
  <c r="AN291" i="6" s="1"/>
  <c r="AO291" i="6" s="1"/>
  <c r="AP291" i="6" s="1"/>
  <c r="AQ291" i="6" s="1"/>
  <c r="AR291" i="6" s="1"/>
  <c r="AS291" i="6" s="1"/>
  <c r="AT291" i="6" s="1"/>
  <c r="AU291" i="6" s="1"/>
  <c r="AV291" i="6" s="1"/>
  <c r="AW291" i="6" s="1"/>
  <c r="AX291" i="6" s="1"/>
  <c r="AY291" i="6" s="1"/>
  <c r="AZ291" i="6" s="1"/>
  <c r="BA291" i="6" s="1"/>
  <c r="BB291" i="6" s="1"/>
  <c r="AF71" i="4"/>
  <c r="AG71" i="4"/>
  <c r="AH71" i="4" s="1"/>
  <c r="AI71" i="4" s="1"/>
  <c r="CP249" i="6"/>
  <c r="AN140" i="6"/>
  <c r="AO140" i="6" s="1"/>
  <c r="AP140" i="6" s="1"/>
  <c r="AQ140" i="6" s="1"/>
  <c r="AR140" i="6" s="1"/>
  <c r="AS140" i="6" s="1"/>
  <c r="AT140" i="6" s="1"/>
  <c r="AU140" i="6" s="1"/>
  <c r="AV140" i="6" s="1"/>
  <c r="AW140" i="6" s="1"/>
  <c r="AX140" i="6" s="1"/>
  <c r="AY140" i="6" s="1"/>
  <c r="AZ140" i="6" s="1"/>
  <c r="BA140" i="6" s="1"/>
  <c r="BB140" i="6" s="1"/>
  <c r="AA132" i="6"/>
  <c r="AB132" i="6" s="1"/>
  <c r="AC132" i="6" s="1"/>
  <c r="AD132" i="6" s="1"/>
  <c r="AE132" i="6" s="1"/>
  <c r="AF132" i="6" s="1"/>
  <c r="AG132" i="6" s="1"/>
  <c r="AH132" i="6" s="1"/>
  <c r="AI132" i="6" s="1"/>
  <c r="AJ132" i="6" s="1"/>
  <c r="AK132" i="6" s="1"/>
  <c r="AL132" i="6" s="1"/>
  <c r="AM132" i="6" s="1"/>
  <c r="AN132" i="6" s="1"/>
  <c r="AO132" i="6" s="1"/>
  <c r="AP132" i="6" s="1"/>
  <c r="AQ132" i="6" s="1"/>
  <c r="AR132" i="6" s="1"/>
  <c r="AS132" i="6" s="1"/>
  <c r="AT132" i="6" s="1"/>
  <c r="AU132" i="6" s="1"/>
  <c r="AV132" i="6" s="1"/>
  <c r="AW132" i="6" s="1"/>
  <c r="AX132" i="6" s="1"/>
  <c r="AY132" i="6" s="1"/>
  <c r="AZ132" i="6" s="1"/>
  <c r="BA132" i="6" s="1"/>
  <c r="BB132" i="6" s="1"/>
  <c r="Q8" i="5"/>
  <c r="L14" i="5" s="1"/>
  <c r="I16" i="5" s="1"/>
  <c r="R3" i="5"/>
  <c r="E406" i="6"/>
  <c r="E408" i="6"/>
  <c r="R8" i="5"/>
  <c r="M14" i="5" s="1"/>
  <c r="H16" i="5"/>
  <c r="G13" i="5"/>
  <c r="F20" i="5"/>
  <c r="F18" i="5"/>
  <c r="F19" i="5"/>
  <c r="G401" i="6"/>
  <c r="H401" i="6"/>
  <c r="F408" i="6"/>
  <c r="F407" i="6"/>
  <c r="F406" i="6"/>
  <c r="I89" i="4"/>
  <c r="H89" i="4"/>
  <c r="H86" i="4" s="1"/>
  <c r="G86" i="4"/>
  <c r="M89" i="4"/>
  <c r="V82" i="4"/>
  <c r="Q87" i="4" s="1"/>
  <c r="K5" i="1"/>
  <c r="L5" i="1" s="1"/>
  <c r="M5" i="1" s="1"/>
  <c r="N5" i="1" s="1"/>
  <c r="O5" i="1" s="1"/>
  <c r="P5" i="1" s="1"/>
  <c r="Q5" i="1" s="1"/>
  <c r="L21" i="1"/>
  <c r="M21" i="1" s="1"/>
  <c r="N21" i="1" s="1"/>
  <c r="O21" i="1" s="1"/>
  <c r="P21" i="1" s="1"/>
  <c r="Q21" i="1" s="1"/>
  <c r="L25" i="1"/>
  <c r="M25" i="1" s="1"/>
  <c r="N25" i="1" s="1"/>
  <c r="O25" i="1" s="1"/>
  <c r="P25" i="1" s="1"/>
  <c r="Q25" i="1" s="1"/>
  <c r="R25" i="1" s="1"/>
  <c r="L29" i="1"/>
  <c r="M29" i="1" s="1"/>
  <c r="N29" i="1" s="1"/>
  <c r="O29" i="1" s="1"/>
  <c r="P29" i="1" s="1"/>
  <c r="Q29" i="1" s="1"/>
  <c r="M33" i="1"/>
  <c r="N33" i="1" s="1"/>
  <c r="O33" i="1" s="1"/>
  <c r="P33" i="1" s="1"/>
  <c r="Q33" i="1" s="1"/>
  <c r="L37" i="1"/>
  <c r="M37" i="1" s="1"/>
  <c r="N37" i="1" s="1"/>
  <c r="O37" i="1" s="1"/>
  <c r="P37" i="1" s="1"/>
  <c r="Q37" i="1" s="1"/>
  <c r="M41" i="1"/>
  <c r="N41" i="1" s="1"/>
  <c r="O41" i="1" s="1"/>
  <c r="P41" i="1" s="1"/>
  <c r="Q41" i="1" s="1"/>
  <c r="M45" i="1"/>
  <c r="N45" i="1" s="1"/>
  <c r="O45" i="1" s="1"/>
  <c r="P45" i="1" s="1"/>
  <c r="Q45" i="1" s="1"/>
  <c r="L57" i="1"/>
  <c r="M57" i="1" s="1"/>
  <c r="N57" i="1" s="1"/>
  <c r="O57" i="1" s="1"/>
  <c r="P57" i="1" s="1"/>
  <c r="Q57" i="1" s="1"/>
  <c r="L9" i="1"/>
  <c r="M9" i="1" s="1"/>
  <c r="N9" i="1" s="1"/>
  <c r="O9" i="1" s="1"/>
  <c r="P9" i="1" s="1"/>
  <c r="Q9" i="1" s="1"/>
  <c r="L19" i="1"/>
  <c r="M19" i="1" s="1"/>
  <c r="N19" i="1" s="1"/>
  <c r="O19" i="1" s="1"/>
  <c r="P19" i="1" s="1"/>
  <c r="Q19" i="1" s="1"/>
  <c r="R19" i="1" s="1"/>
  <c r="L23" i="1"/>
  <c r="M23" i="1" s="1"/>
  <c r="N23" i="1" s="1"/>
  <c r="O23" i="1" s="1"/>
  <c r="P23" i="1" s="1"/>
  <c r="Q23" i="1" s="1"/>
  <c r="L27" i="1"/>
  <c r="M27" i="1" s="1"/>
  <c r="N27" i="1" s="1"/>
  <c r="O27" i="1" s="1"/>
  <c r="P27" i="1" s="1"/>
  <c r="Q27" i="1" s="1"/>
  <c r="R27" i="1" s="1"/>
  <c r="L31" i="1"/>
  <c r="M31" i="1" s="1"/>
  <c r="N31" i="1" s="1"/>
  <c r="O31" i="1" s="1"/>
  <c r="P31" i="1" s="1"/>
  <c r="Q31" i="1" s="1"/>
  <c r="L35" i="1"/>
  <c r="M35" i="1" s="1"/>
  <c r="N35" i="1" s="1"/>
  <c r="O35" i="1" s="1"/>
  <c r="P35" i="1" s="1"/>
  <c r="Q35" i="1" s="1"/>
  <c r="L17" i="1"/>
  <c r="M17" i="1" s="1"/>
  <c r="N17" i="1" s="1"/>
  <c r="K3" i="1"/>
  <c r="J58" i="1"/>
  <c r="CP58" i="1" s="1"/>
  <c r="G13" i="1"/>
  <c r="H57" i="1"/>
  <c r="L39" i="1"/>
  <c r="F17" i="5" l="1"/>
  <c r="CP293" i="6"/>
  <c r="CP106" i="6"/>
  <c r="CP245" i="6"/>
  <c r="F93" i="4"/>
  <c r="CP235" i="6"/>
  <c r="CP289" i="6"/>
  <c r="CP277" i="6"/>
  <c r="CP263" i="6"/>
  <c r="CP362" i="6"/>
  <c r="CP193" i="6"/>
  <c r="CP247" i="6"/>
  <c r="CP134" i="6"/>
  <c r="CP112" i="6"/>
  <c r="CP205" i="6"/>
  <c r="CP287" i="6"/>
  <c r="CP67" i="6"/>
  <c r="BC132" i="6"/>
  <c r="BD132" i="6" s="1"/>
  <c r="BE132" i="6" s="1"/>
  <c r="BF132" i="6" s="1"/>
  <c r="BG132" i="6" s="1"/>
  <c r="BH132" i="6" s="1"/>
  <c r="BI132" i="6" s="1"/>
  <c r="BJ132" i="6" s="1"/>
  <c r="BK132" i="6" s="1"/>
  <c r="BL132" i="6" s="1"/>
  <c r="BM132" i="6" s="1"/>
  <c r="BN132" i="6" s="1"/>
  <c r="BO132" i="6" s="1"/>
  <c r="BP132" i="6" s="1"/>
  <c r="BQ132" i="6" s="1"/>
  <c r="BR132" i="6" s="1"/>
  <c r="BS132" i="6" s="1"/>
  <c r="BT132" i="6" s="1"/>
  <c r="BU132" i="6" s="1"/>
  <c r="BV132" i="6" s="1"/>
  <c r="BW132" i="6" s="1"/>
  <c r="BX132" i="6" s="1"/>
  <c r="BY132" i="6" s="1"/>
  <c r="BZ132" i="6" s="1"/>
  <c r="CA132" i="6" s="1"/>
  <c r="CB132" i="6" s="1"/>
  <c r="CC132" i="6" s="1"/>
  <c r="CD132" i="6" s="1"/>
  <c r="CE132" i="6" s="1"/>
  <c r="CF132" i="6" s="1"/>
  <c r="CG132" i="6" s="1"/>
  <c r="CH132" i="6" s="1"/>
  <c r="CI132" i="6" s="1"/>
  <c r="CJ132" i="6" s="1"/>
  <c r="CK132" i="6" s="1"/>
  <c r="CL132" i="6" s="1"/>
  <c r="CM132" i="6" s="1"/>
  <c r="CN132" i="6" s="1"/>
  <c r="CO132" i="6" s="1"/>
  <c r="BC140" i="6"/>
  <c r="BD140" i="6" s="1"/>
  <c r="BE140" i="6" s="1"/>
  <c r="BF140" i="6" s="1"/>
  <c r="BG140" i="6" s="1"/>
  <c r="BH140" i="6" s="1"/>
  <c r="BI140" i="6" s="1"/>
  <c r="BJ140" i="6" s="1"/>
  <c r="BK140" i="6" s="1"/>
  <c r="BL140" i="6" s="1"/>
  <c r="BM140" i="6" s="1"/>
  <c r="BN140" i="6" s="1"/>
  <c r="BO140" i="6" s="1"/>
  <c r="BP140" i="6" s="1"/>
  <c r="BQ140" i="6" s="1"/>
  <c r="BR140" i="6" s="1"/>
  <c r="BS140" i="6" s="1"/>
  <c r="BT140" i="6" s="1"/>
  <c r="BU140" i="6" s="1"/>
  <c r="BV140" i="6" s="1"/>
  <c r="BW140" i="6" s="1"/>
  <c r="BX140" i="6" s="1"/>
  <c r="BY140" i="6" s="1"/>
  <c r="BZ140" i="6" s="1"/>
  <c r="CA140" i="6" s="1"/>
  <c r="CB140" i="6" s="1"/>
  <c r="CC140" i="6" s="1"/>
  <c r="CD140" i="6" s="1"/>
  <c r="CE140" i="6" s="1"/>
  <c r="CF140" i="6" s="1"/>
  <c r="CG140" i="6" s="1"/>
  <c r="CH140" i="6" s="1"/>
  <c r="CI140" i="6" s="1"/>
  <c r="CJ140" i="6" s="1"/>
  <c r="CK140" i="6" s="1"/>
  <c r="CL140" i="6" s="1"/>
  <c r="CM140" i="6" s="1"/>
  <c r="CN140" i="6" s="1"/>
  <c r="CO140" i="6" s="1"/>
  <c r="BC291" i="6"/>
  <c r="BD291" i="6" s="1"/>
  <c r="BE291" i="6" s="1"/>
  <c r="BF291" i="6" s="1"/>
  <c r="BG291" i="6" s="1"/>
  <c r="BH291" i="6" s="1"/>
  <c r="BI291" i="6" s="1"/>
  <c r="BJ291" i="6" s="1"/>
  <c r="BK291" i="6" s="1"/>
  <c r="BL291" i="6" s="1"/>
  <c r="BM291" i="6" s="1"/>
  <c r="BN291" i="6" s="1"/>
  <c r="BO291" i="6" s="1"/>
  <c r="BP291" i="6" s="1"/>
  <c r="BQ291" i="6" s="1"/>
  <c r="BR291" i="6" s="1"/>
  <c r="BS291" i="6" s="1"/>
  <c r="BT291" i="6" s="1"/>
  <c r="BU291" i="6" s="1"/>
  <c r="BV291" i="6" s="1"/>
  <c r="BW291" i="6" s="1"/>
  <c r="BX291" i="6" s="1"/>
  <c r="BY291" i="6" s="1"/>
  <c r="BZ291" i="6" s="1"/>
  <c r="CA291" i="6" s="1"/>
  <c r="CB291" i="6" s="1"/>
  <c r="CC291" i="6" s="1"/>
  <c r="CD291" i="6" s="1"/>
  <c r="CE291" i="6" s="1"/>
  <c r="CF291" i="6" s="1"/>
  <c r="CG291" i="6" s="1"/>
  <c r="CH291" i="6" s="1"/>
  <c r="CI291" i="6" s="1"/>
  <c r="CJ291" i="6" s="1"/>
  <c r="CK291" i="6" s="1"/>
  <c r="CL291" i="6" s="1"/>
  <c r="CM291" i="6" s="1"/>
  <c r="CN291" i="6" s="1"/>
  <c r="CO291" i="6" s="1"/>
  <c r="F92" i="4"/>
  <c r="BG354" i="6"/>
  <c r="CN68" i="1"/>
  <c r="CO68" i="1" s="1"/>
  <c r="CP68" i="1"/>
  <c r="GZ68" i="1" s="1"/>
  <c r="CN64" i="1"/>
  <c r="CO64" i="1" s="1"/>
  <c r="CP64" i="1"/>
  <c r="GZ64" i="1" s="1"/>
  <c r="CN62" i="1"/>
  <c r="CO62" i="1" s="1"/>
  <c r="CP62" i="1"/>
  <c r="GZ62" i="1" s="1"/>
  <c r="CN66" i="1"/>
  <c r="CO66" i="1" s="1"/>
  <c r="CP66" i="1"/>
  <c r="CL55" i="1"/>
  <c r="CM55" i="1" s="1"/>
  <c r="GZ66" i="1"/>
  <c r="E104" i="4"/>
  <c r="E105" i="4" s="1"/>
  <c r="T15" i="1"/>
  <c r="U15" i="1" s="1"/>
  <c r="V7" i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CA7" i="1" s="1"/>
  <c r="CB7" i="1" s="1"/>
  <c r="CC7" i="1" s="1"/>
  <c r="CD7" i="1" s="1"/>
  <c r="CE7" i="1" s="1"/>
  <c r="CF7" i="1" s="1"/>
  <c r="CG7" i="1" s="1"/>
  <c r="CH7" i="1" s="1"/>
  <c r="CI7" i="1" s="1"/>
  <c r="CJ7" i="1" s="1"/>
  <c r="CK7" i="1" s="1"/>
  <c r="T13" i="1"/>
  <c r="U13" i="1" s="1"/>
  <c r="T49" i="1"/>
  <c r="U49" i="1" s="1"/>
  <c r="R35" i="1"/>
  <c r="S35" i="1" s="1"/>
  <c r="R41" i="1"/>
  <c r="S41" i="1" s="1"/>
  <c r="R31" i="1"/>
  <c r="S31" i="1" s="1"/>
  <c r="R23" i="1"/>
  <c r="S23" i="1" s="1"/>
  <c r="R9" i="1"/>
  <c r="S9" i="1" s="1"/>
  <c r="T9" i="1" s="1"/>
  <c r="U9" i="1" s="1"/>
  <c r="V9" i="1" s="1"/>
  <c r="W9" i="1" s="1"/>
  <c r="X9" i="1" s="1"/>
  <c r="R45" i="1"/>
  <c r="S45" i="1" s="1"/>
  <c r="R37" i="1"/>
  <c r="S37" i="1" s="1"/>
  <c r="R29" i="1"/>
  <c r="S29" i="1" s="1"/>
  <c r="R21" i="1"/>
  <c r="S21" i="1" s="1"/>
  <c r="S57" i="1"/>
  <c r="T57" i="1" s="1"/>
  <c r="U57" i="1" s="1"/>
  <c r="R57" i="1"/>
  <c r="S33" i="1"/>
  <c r="T33" i="1" s="1"/>
  <c r="U33" i="1" s="1"/>
  <c r="R33" i="1"/>
  <c r="S5" i="1"/>
  <c r="T5" i="1" s="1"/>
  <c r="U5" i="1" s="1"/>
  <c r="R5" i="1"/>
  <c r="V53" i="1"/>
  <c r="V11" i="1"/>
  <c r="V47" i="1"/>
  <c r="V43" i="1"/>
  <c r="E421" i="6"/>
  <c r="E422" i="6" s="1"/>
  <c r="E405" i="6"/>
  <c r="C5" i="10" s="1"/>
  <c r="F405" i="6"/>
  <c r="F410" i="6" s="1"/>
  <c r="E410" i="6"/>
  <c r="F90" i="4"/>
  <c r="AJ71" i="4"/>
  <c r="AK71" i="4"/>
  <c r="AL71" i="4" s="1"/>
  <c r="AM71" i="4" s="1"/>
  <c r="H13" i="5"/>
  <c r="H20" i="5" s="1"/>
  <c r="S3" i="5"/>
  <c r="S8" i="5" s="1"/>
  <c r="N14" i="5" s="1"/>
  <c r="J16" i="5"/>
  <c r="I13" i="5"/>
  <c r="G18" i="5"/>
  <c r="G19" i="5"/>
  <c r="G20" i="5"/>
  <c r="H408" i="6"/>
  <c r="H406" i="6"/>
  <c r="H407" i="6"/>
  <c r="G406" i="6"/>
  <c r="G408" i="6"/>
  <c r="G407" i="6"/>
  <c r="Q57" i="6"/>
  <c r="U3" i="6"/>
  <c r="V3" i="6" s="1"/>
  <c r="N89" i="4"/>
  <c r="M86" i="4"/>
  <c r="G93" i="4"/>
  <c r="G92" i="4"/>
  <c r="G91" i="4"/>
  <c r="J89" i="4"/>
  <c r="I86" i="4"/>
  <c r="H92" i="4"/>
  <c r="H93" i="4"/>
  <c r="H91" i="4"/>
  <c r="W82" i="4"/>
  <c r="R87" i="4" s="1"/>
  <c r="O17" i="1"/>
  <c r="P17" i="1" s="1"/>
  <c r="Q17" i="1" s="1"/>
  <c r="M39" i="1"/>
  <c r="N39" i="1" s="1"/>
  <c r="O39" i="1" s="1"/>
  <c r="P39" i="1" s="1"/>
  <c r="Q39" i="1" s="1"/>
  <c r="S19" i="1"/>
  <c r="T19" i="1" s="1"/>
  <c r="U19" i="1" s="1"/>
  <c r="S25" i="1"/>
  <c r="T25" i="1" s="1"/>
  <c r="U25" i="1" s="1"/>
  <c r="L3" i="1"/>
  <c r="S27" i="1"/>
  <c r="T27" i="1" s="1"/>
  <c r="U27" i="1" s="1"/>
  <c r="J61" i="1"/>
  <c r="E79" i="1" s="1"/>
  <c r="G17" i="5" l="1"/>
  <c r="CP140" i="6"/>
  <c r="CP291" i="6"/>
  <c r="CP132" i="6"/>
  <c r="BH354" i="6"/>
  <c r="BI354" i="6" s="1"/>
  <c r="BJ354" i="6" s="1"/>
  <c r="BK354" i="6" s="1"/>
  <c r="BL354" i="6" s="1"/>
  <c r="BM354" i="6" s="1"/>
  <c r="BN354" i="6" s="1"/>
  <c r="BO354" i="6" s="1"/>
  <c r="BP354" i="6" s="1"/>
  <c r="BQ354" i="6" s="1"/>
  <c r="BR354" i="6" s="1"/>
  <c r="BS354" i="6" s="1"/>
  <c r="BT354" i="6" s="1"/>
  <c r="BU354" i="6" s="1"/>
  <c r="BV354" i="6" s="1"/>
  <c r="BW354" i="6" s="1"/>
  <c r="BX354" i="6" s="1"/>
  <c r="BY354" i="6" s="1"/>
  <c r="BZ354" i="6" s="1"/>
  <c r="CA354" i="6" s="1"/>
  <c r="CB354" i="6" s="1"/>
  <c r="CC354" i="6" s="1"/>
  <c r="CD354" i="6" s="1"/>
  <c r="CE354" i="6" s="1"/>
  <c r="CF354" i="6" s="1"/>
  <c r="CG354" i="6" s="1"/>
  <c r="CH354" i="6" s="1"/>
  <c r="CI354" i="6" s="1"/>
  <c r="CJ354" i="6" s="1"/>
  <c r="CK354" i="6" s="1"/>
  <c r="CL354" i="6" s="1"/>
  <c r="CM354" i="6" s="1"/>
  <c r="CN354" i="6" s="1"/>
  <c r="CO354" i="6" s="1"/>
  <c r="CN55" i="1"/>
  <c r="CO55" i="1" s="1"/>
  <c r="CP55" i="1"/>
  <c r="CL7" i="1"/>
  <c r="CM7" i="1" s="1"/>
  <c r="CN7" i="1" s="1"/>
  <c r="CO7" i="1" s="1"/>
  <c r="T29" i="1"/>
  <c r="U29" i="1" s="1"/>
  <c r="T45" i="1"/>
  <c r="U45" i="1" s="1"/>
  <c r="T23" i="1"/>
  <c r="U23" i="1" s="1"/>
  <c r="T41" i="1"/>
  <c r="U41" i="1" s="1"/>
  <c r="T21" i="1"/>
  <c r="U21" i="1" s="1"/>
  <c r="T37" i="1"/>
  <c r="U37" i="1" s="1"/>
  <c r="T31" i="1"/>
  <c r="U31" i="1" s="1"/>
  <c r="T35" i="1"/>
  <c r="U35" i="1" s="1"/>
  <c r="V27" i="1"/>
  <c r="W27" i="1" s="1"/>
  <c r="V19" i="1"/>
  <c r="W19" i="1" s="1"/>
  <c r="V5" i="1"/>
  <c r="V33" i="1"/>
  <c r="W33" i="1" s="1"/>
  <c r="V57" i="1"/>
  <c r="V25" i="1"/>
  <c r="W25" i="1" s="1"/>
  <c r="R17" i="1"/>
  <c r="S17" i="1" s="1"/>
  <c r="R39" i="1"/>
  <c r="S39" i="1" s="1"/>
  <c r="T39" i="1" s="1"/>
  <c r="U39" i="1" s="1"/>
  <c r="W43" i="1"/>
  <c r="X43" i="1" s="1"/>
  <c r="Y43" i="1" s="1"/>
  <c r="Z43" i="1" s="1"/>
  <c r="AA43" i="1" s="1"/>
  <c r="AB43" i="1" s="1"/>
  <c r="AC43" i="1" s="1"/>
  <c r="AD43" i="1" s="1"/>
  <c r="AE43" i="1" s="1"/>
  <c r="AF43" i="1" s="1"/>
  <c r="AG43" i="1" s="1"/>
  <c r="AH43" i="1" s="1"/>
  <c r="AI43" i="1" s="1"/>
  <c r="AJ43" i="1" s="1"/>
  <c r="AK43" i="1" s="1"/>
  <c r="AL43" i="1" s="1"/>
  <c r="AM43" i="1" s="1"/>
  <c r="AN43" i="1" s="1"/>
  <c r="AO43" i="1" s="1"/>
  <c r="AP43" i="1" s="1"/>
  <c r="AQ43" i="1" s="1"/>
  <c r="AR43" i="1" s="1"/>
  <c r="AS43" i="1" s="1"/>
  <c r="AT43" i="1" s="1"/>
  <c r="AU43" i="1" s="1"/>
  <c r="AV43" i="1" s="1"/>
  <c r="AW43" i="1" s="1"/>
  <c r="AX43" i="1" s="1"/>
  <c r="AY43" i="1" s="1"/>
  <c r="AZ43" i="1" s="1"/>
  <c r="BA43" i="1" s="1"/>
  <c r="BB43" i="1" s="1"/>
  <c r="BC43" i="1" s="1"/>
  <c r="BD43" i="1" s="1"/>
  <c r="BE43" i="1" s="1"/>
  <c r="BF43" i="1" s="1"/>
  <c r="BG43" i="1" s="1"/>
  <c r="BH43" i="1" s="1"/>
  <c r="BI43" i="1" s="1"/>
  <c r="BJ43" i="1" s="1"/>
  <c r="BK43" i="1" s="1"/>
  <c r="BL43" i="1" s="1"/>
  <c r="BM43" i="1" s="1"/>
  <c r="BN43" i="1" s="1"/>
  <c r="BO43" i="1" s="1"/>
  <c r="BP43" i="1" s="1"/>
  <c r="BQ43" i="1" s="1"/>
  <c r="BR43" i="1" s="1"/>
  <c r="BS43" i="1" s="1"/>
  <c r="BT43" i="1" s="1"/>
  <c r="BU43" i="1" s="1"/>
  <c r="BV43" i="1" s="1"/>
  <c r="BW43" i="1" s="1"/>
  <c r="BX43" i="1" s="1"/>
  <c r="BY43" i="1" s="1"/>
  <c r="CA43" i="1" s="1"/>
  <c r="CB43" i="1" s="1"/>
  <c r="CC43" i="1" s="1"/>
  <c r="CD43" i="1" s="1"/>
  <c r="CE43" i="1" s="1"/>
  <c r="CF43" i="1" s="1"/>
  <c r="CG43" i="1" s="1"/>
  <c r="CH43" i="1" s="1"/>
  <c r="CI43" i="1" s="1"/>
  <c r="CJ43" i="1" s="1"/>
  <c r="CK43" i="1" s="1"/>
  <c r="W47" i="1"/>
  <c r="X47" i="1" s="1"/>
  <c r="Y47" i="1" s="1"/>
  <c r="Z47" i="1" s="1"/>
  <c r="AA47" i="1" s="1"/>
  <c r="AB47" i="1" s="1"/>
  <c r="AC47" i="1" s="1"/>
  <c r="AD47" i="1" s="1"/>
  <c r="AE47" i="1" s="1"/>
  <c r="AF47" i="1" s="1"/>
  <c r="AG47" i="1" s="1"/>
  <c r="AH47" i="1" s="1"/>
  <c r="AI47" i="1" s="1"/>
  <c r="AJ47" i="1" s="1"/>
  <c r="AK47" i="1" s="1"/>
  <c r="AL47" i="1" s="1"/>
  <c r="AM47" i="1" s="1"/>
  <c r="AN47" i="1" s="1"/>
  <c r="AO47" i="1" s="1"/>
  <c r="AP47" i="1" s="1"/>
  <c r="AQ47" i="1" s="1"/>
  <c r="AR47" i="1" s="1"/>
  <c r="AS47" i="1" s="1"/>
  <c r="AT47" i="1" s="1"/>
  <c r="AU47" i="1" s="1"/>
  <c r="AV47" i="1" s="1"/>
  <c r="AW47" i="1" s="1"/>
  <c r="AX47" i="1" s="1"/>
  <c r="AY47" i="1" s="1"/>
  <c r="AZ47" i="1" s="1"/>
  <c r="BA47" i="1" s="1"/>
  <c r="BB47" i="1" s="1"/>
  <c r="BC47" i="1" s="1"/>
  <c r="BD47" i="1" s="1"/>
  <c r="BE47" i="1" s="1"/>
  <c r="BF47" i="1" s="1"/>
  <c r="BG47" i="1" s="1"/>
  <c r="BH47" i="1" s="1"/>
  <c r="BI47" i="1" s="1"/>
  <c r="BJ47" i="1" s="1"/>
  <c r="BK47" i="1" s="1"/>
  <c r="BL47" i="1" s="1"/>
  <c r="BM47" i="1" s="1"/>
  <c r="BN47" i="1" s="1"/>
  <c r="BO47" i="1" s="1"/>
  <c r="BP47" i="1" s="1"/>
  <c r="BQ47" i="1" s="1"/>
  <c r="BR47" i="1" s="1"/>
  <c r="BS47" i="1" s="1"/>
  <c r="BT47" i="1" s="1"/>
  <c r="BU47" i="1" s="1"/>
  <c r="BV47" i="1" s="1"/>
  <c r="BW47" i="1" s="1"/>
  <c r="BX47" i="1" s="1"/>
  <c r="BY47" i="1" s="1"/>
  <c r="CA47" i="1" s="1"/>
  <c r="CB47" i="1" s="1"/>
  <c r="CC47" i="1" s="1"/>
  <c r="CD47" i="1" s="1"/>
  <c r="CE47" i="1" s="1"/>
  <c r="CF47" i="1" s="1"/>
  <c r="CG47" i="1" s="1"/>
  <c r="CH47" i="1" s="1"/>
  <c r="CI47" i="1" s="1"/>
  <c r="CJ47" i="1" s="1"/>
  <c r="CK47" i="1" s="1"/>
  <c r="W11" i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AQ11" i="1" s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CA11" i="1" s="1"/>
  <c r="CB11" i="1" s="1"/>
  <c r="CC11" i="1" s="1"/>
  <c r="CD11" i="1" s="1"/>
  <c r="CE11" i="1" s="1"/>
  <c r="CF11" i="1" s="1"/>
  <c r="CG11" i="1" s="1"/>
  <c r="CH11" i="1" s="1"/>
  <c r="CI11" i="1" s="1"/>
  <c r="CJ11" i="1" s="1"/>
  <c r="CK11" i="1" s="1"/>
  <c r="W53" i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V49" i="1"/>
  <c r="W49" i="1" s="1"/>
  <c r="X49" i="1" s="1"/>
  <c r="Y49" i="1" s="1"/>
  <c r="Z49" i="1" s="1"/>
  <c r="AA49" i="1" s="1"/>
  <c r="AB49" i="1" s="1"/>
  <c r="AC49" i="1" s="1"/>
  <c r="AD49" i="1" s="1"/>
  <c r="AE49" i="1" s="1"/>
  <c r="AF49" i="1" s="1"/>
  <c r="AG49" i="1" s="1"/>
  <c r="AH49" i="1" s="1"/>
  <c r="AI49" i="1" s="1"/>
  <c r="AJ49" i="1" s="1"/>
  <c r="AK49" i="1" s="1"/>
  <c r="AL49" i="1" s="1"/>
  <c r="AM49" i="1" s="1"/>
  <c r="AN49" i="1" s="1"/>
  <c r="AO49" i="1" s="1"/>
  <c r="AP49" i="1" s="1"/>
  <c r="AQ49" i="1" s="1"/>
  <c r="AR49" i="1" s="1"/>
  <c r="AS49" i="1" s="1"/>
  <c r="AT49" i="1" s="1"/>
  <c r="AU49" i="1" s="1"/>
  <c r="AV49" i="1" s="1"/>
  <c r="AW49" i="1" s="1"/>
  <c r="AX49" i="1" s="1"/>
  <c r="AY49" i="1" s="1"/>
  <c r="AZ49" i="1" s="1"/>
  <c r="BA49" i="1" s="1"/>
  <c r="BB49" i="1" s="1"/>
  <c r="BC49" i="1" s="1"/>
  <c r="BD49" i="1" s="1"/>
  <c r="BE49" i="1" s="1"/>
  <c r="BF49" i="1" s="1"/>
  <c r="BG49" i="1" s="1"/>
  <c r="BH49" i="1" s="1"/>
  <c r="BI49" i="1" s="1"/>
  <c r="BJ49" i="1" s="1"/>
  <c r="BK49" i="1" s="1"/>
  <c r="BL49" i="1" s="1"/>
  <c r="BM49" i="1" s="1"/>
  <c r="BN49" i="1" s="1"/>
  <c r="BO49" i="1" s="1"/>
  <c r="BP49" i="1" s="1"/>
  <c r="BQ49" i="1" s="1"/>
  <c r="BR49" i="1" s="1"/>
  <c r="BS49" i="1" s="1"/>
  <c r="BT49" i="1" s="1"/>
  <c r="BU49" i="1" s="1"/>
  <c r="BV49" i="1" s="1"/>
  <c r="BW49" i="1" s="1"/>
  <c r="BX49" i="1" s="1"/>
  <c r="BY49" i="1" s="1"/>
  <c r="CA49" i="1" s="1"/>
  <c r="CB49" i="1" s="1"/>
  <c r="CC49" i="1" s="1"/>
  <c r="CD49" i="1" s="1"/>
  <c r="CE49" i="1" s="1"/>
  <c r="CF49" i="1" s="1"/>
  <c r="CG49" i="1" s="1"/>
  <c r="CH49" i="1" s="1"/>
  <c r="CI49" i="1" s="1"/>
  <c r="CJ49" i="1" s="1"/>
  <c r="CK49" i="1" s="1"/>
  <c r="V13" i="1"/>
  <c r="W13" i="1" s="1"/>
  <c r="X13" i="1" s="1"/>
  <c r="Y13" i="1" s="1"/>
  <c r="Z13" i="1" s="1"/>
  <c r="AA13" i="1" s="1"/>
  <c r="AB13" i="1" s="1"/>
  <c r="AC13" i="1" s="1"/>
  <c r="AD13" i="1" s="1"/>
  <c r="AE13" i="1" s="1"/>
  <c r="AF13" i="1" s="1"/>
  <c r="AG13" i="1" s="1"/>
  <c r="AH13" i="1" s="1"/>
  <c r="AI13" i="1" s="1"/>
  <c r="AJ13" i="1" s="1"/>
  <c r="AK13" i="1" s="1"/>
  <c r="AL13" i="1" s="1"/>
  <c r="AM13" i="1" s="1"/>
  <c r="AN13" i="1" s="1"/>
  <c r="AO13" i="1" s="1"/>
  <c r="AP13" i="1" s="1"/>
  <c r="AQ13" i="1" s="1"/>
  <c r="AR13" i="1" s="1"/>
  <c r="AS13" i="1" s="1"/>
  <c r="AT13" i="1" s="1"/>
  <c r="AU13" i="1" s="1"/>
  <c r="AV13" i="1" s="1"/>
  <c r="AW13" i="1" s="1"/>
  <c r="AX13" i="1" s="1"/>
  <c r="AY13" i="1" s="1"/>
  <c r="AZ13" i="1" s="1"/>
  <c r="BA13" i="1" s="1"/>
  <c r="BB13" i="1" s="1"/>
  <c r="BC13" i="1" s="1"/>
  <c r="BD13" i="1" s="1"/>
  <c r="BE13" i="1" s="1"/>
  <c r="BF13" i="1" s="1"/>
  <c r="BG13" i="1" s="1"/>
  <c r="BH13" i="1" s="1"/>
  <c r="BI13" i="1" s="1"/>
  <c r="BJ13" i="1" s="1"/>
  <c r="BK13" i="1" s="1"/>
  <c r="BL13" i="1" s="1"/>
  <c r="BM13" i="1" s="1"/>
  <c r="BN13" i="1" s="1"/>
  <c r="BO13" i="1" s="1"/>
  <c r="BP13" i="1" s="1"/>
  <c r="BQ13" i="1" s="1"/>
  <c r="BR13" i="1" s="1"/>
  <c r="BS13" i="1" s="1"/>
  <c r="BT13" i="1" s="1"/>
  <c r="BU13" i="1" s="1"/>
  <c r="BV13" i="1" s="1"/>
  <c r="BW13" i="1" s="1"/>
  <c r="BX13" i="1" s="1"/>
  <c r="BY13" i="1" s="1"/>
  <c r="CA13" i="1" s="1"/>
  <c r="CB13" i="1" s="1"/>
  <c r="CC13" i="1" s="1"/>
  <c r="CD13" i="1" s="1"/>
  <c r="CE13" i="1" s="1"/>
  <c r="CF13" i="1" s="1"/>
  <c r="CG13" i="1" s="1"/>
  <c r="CH13" i="1" s="1"/>
  <c r="CI13" i="1" s="1"/>
  <c r="CJ13" i="1" s="1"/>
  <c r="CK13" i="1" s="1"/>
  <c r="V15" i="1"/>
  <c r="W15" i="1" s="1"/>
  <c r="X15" i="1" s="1"/>
  <c r="Y15" i="1" s="1"/>
  <c r="Z15" i="1" s="1"/>
  <c r="AA15" i="1" s="1"/>
  <c r="AB15" i="1" s="1"/>
  <c r="AC15" i="1" s="1"/>
  <c r="AD15" i="1" s="1"/>
  <c r="AE15" i="1" s="1"/>
  <c r="AF15" i="1" s="1"/>
  <c r="AG15" i="1" s="1"/>
  <c r="AH15" i="1" s="1"/>
  <c r="AI15" i="1" s="1"/>
  <c r="AJ15" i="1" s="1"/>
  <c r="AK15" i="1" s="1"/>
  <c r="AL15" i="1" s="1"/>
  <c r="AM15" i="1" s="1"/>
  <c r="AN15" i="1" s="1"/>
  <c r="AO15" i="1" s="1"/>
  <c r="AP15" i="1" s="1"/>
  <c r="AQ15" i="1" s="1"/>
  <c r="AR15" i="1" s="1"/>
  <c r="AS15" i="1" s="1"/>
  <c r="AT15" i="1" s="1"/>
  <c r="AU15" i="1" s="1"/>
  <c r="AV15" i="1" s="1"/>
  <c r="AW15" i="1" s="1"/>
  <c r="AX15" i="1" s="1"/>
  <c r="AY15" i="1" s="1"/>
  <c r="AZ15" i="1" s="1"/>
  <c r="BA15" i="1" s="1"/>
  <c r="BB15" i="1" s="1"/>
  <c r="BC15" i="1" s="1"/>
  <c r="BD15" i="1" s="1"/>
  <c r="BE15" i="1" s="1"/>
  <c r="BF15" i="1" s="1"/>
  <c r="BG15" i="1" s="1"/>
  <c r="BH15" i="1" s="1"/>
  <c r="BI15" i="1" s="1"/>
  <c r="BJ15" i="1" s="1"/>
  <c r="BK15" i="1" s="1"/>
  <c r="BL15" i="1" s="1"/>
  <c r="BM15" i="1" s="1"/>
  <c r="BN15" i="1" s="1"/>
  <c r="BO15" i="1" s="1"/>
  <c r="BP15" i="1" s="1"/>
  <c r="BQ15" i="1" s="1"/>
  <c r="BR15" i="1" s="1"/>
  <c r="BS15" i="1" s="1"/>
  <c r="BT15" i="1" s="1"/>
  <c r="BU15" i="1" s="1"/>
  <c r="BV15" i="1" s="1"/>
  <c r="BW15" i="1" s="1"/>
  <c r="BX15" i="1" s="1"/>
  <c r="BY15" i="1" s="1"/>
  <c r="CA15" i="1" s="1"/>
  <c r="CB15" i="1" s="1"/>
  <c r="CC15" i="1" s="1"/>
  <c r="CD15" i="1" s="1"/>
  <c r="CE15" i="1" s="1"/>
  <c r="CF15" i="1" s="1"/>
  <c r="CG15" i="1" s="1"/>
  <c r="CH15" i="1" s="1"/>
  <c r="CI15" i="1" s="1"/>
  <c r="CJ15" i="1" s="1"/>
  <c r="CK15" i="1" s="1"/>
  <c r="H90" i="4"/>
  <c r="G405" i="6"/>
  <c r="G410" i="6" s="1"/>
  <c r="H405" i="6"/>
  <c r="H410" i="6" s="1"/>
  <c r="G90" i="4"/>
  <c r="F22" i="5"/>
  <c r="AN71" i="4"/>
  <c r="AO71" i="4"/>
  <c r="AP71" i="4" s="1"/>
  <c r="AQ71" i="4" s="1"/>
  <c r="H19" i="5"/>
  <c r="Q397" i="6"/>
  <c r="L402" i="6" s="1"/>
  <c r="R57" i="6"/>
  <c r="R397" i="6" s="1"/>
  <c r="M402" i="6" s="1"/>
  <c r="F95" i="4"/>
  <c r="H18" i="5"/>
  <c r="H17" i="5" s="1"/>
  <c r="I18" i="5"/>
  <c r="I20" i="5"/>
  <c r="I19" i="5"/>
  <c r="K16" i="5"/>
  <c r="J13" i="5"/>
  <c r="T3" i="5"/>
  <c r="T8" i="5" s="1"/>
  <c r="O14" i="5" s="1"/>
  <c r="M3" i="1"/>
  <c r="I91" i="4"/>
  <c r="I93" i="4"/>
  <c r="I92" i="4"/>
  <c r="M91" i="4"/>
  <c r="M93" i="4"/>
  <c r="M92" i="4"/>
  <c r="K89" i="4"/>
  <c r="J86" i="4"/>
  <c r="O89" i="4"/>
  <c r="N86" i="4"/>
  <c r="X82" i="4"/>
  <c r="S87" i="4" s="1"/>
  <c r="E78" i="1"/>
  <c r="Y9" i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CA9" i="1" s="1"/>
  <c r="CB9" i="1" s="1"/>
  <c r="CC9" i="1" s="1"/>
  <c r="CD9" i="1" s="1"/>
  <c r="CE9" i="1" s="1"/>
  <c r="CF9" i="1" s="1"/>
  <c r="CG9" i="1" s="1"/>
  <c r="CH9" i="1" s="1"/>
  <c r="CI9" i="1" s="1"/>
  <c r="CJ9" i="1" s="1"/>
  <c r="CK9" i="1" s="1"/>
  <c r="N3" i="1"/>
  <c r="K61" i="1"/>
  <c r="CP354" i="6" l="1"/>
  <c r="I404" i="6"/>
  <c r="J404" i="6" s="1"/>
  <c r="J401" i="6" s="1"/>
  <c r="I415" i="6"/>
  <c r="E416" i="6" s="1"/>
  <c r="CL13" i="1"/>
  <c r="CM13" i="1" s="1"/>
  <c r="CL53" i="1"/>
  <c r="CM53" i="1" s="1"/>
  <c r="CN53" i="1" s="1"/>
  <c r="CO53" i="1" s="1"/>
  <c r="CL47" i="1"/>
  <c r="CM47" i="1" s="1"/>
  <c r="CP7" i="1"/>
  <c r="CM9" i="1"/>
  <c r="CN9" i="1" s="1"/>
  <c r="CO9" i="1" s="1"/>
  <c r="CL9" i="1"/>
  <c r="CM15" i="1"/>
  <c r="CN15" i="1" s="1"/>
  <c r="CO15" i="1" s="1"/>
  <c r="CL15" i="1"/>
  <c r="CM49" i="1"/>
  <c r="CN49" i="1" s="1"/>
  <c r="CO49" i="1" s="1"/>
  <c r="CL49" i="1"/>
  <c r="CM11" i="1"/>
  <c r="CN11" i="1" s="1"/>
  <c r="CO11" i="1" s="1"/>
  <c r="CL11" i="1"/>
  <c r="CM43" i="1"/>
  <c r="CN43" i="1" s="1"/>
  <c r="CO43" i="1" s="1"/>
  <c r="CL43" i="1"/>
  <c r="X25" i="1"/>
  <c r="Y25" i="1" s="1"/>
  <c r="Z25" i="1" s="1"/>
  <c r="AA25" i="1" s="1"/>
  <c r="AB25" i="1" s="1"/>
  <c r="AC25" i="1" s="1"/>
  <c r="AD25" i="1" s="1"/>
  <c r="AE25" i="1" s="1"/>
  <c r="AF25" i="1" s="1"/>
  <c r="AG25" i="1" s="1"/>
  <c r="AH25" i="1" s="1"/>
  <c r="AI25" i="1" s="1"/>
  <c r="AJ25" i="1" s="1"/>
  <c r="AK25" i="1" s="1"/>
  <c r="AL25" i="1" s="1"/>
  <c r="AM25" i="1" s="1"/>
  <c r="AN25" i="1" s="1"/>
  <c r="AO25" i="1" s="1"/>
  <c r="AP25" i="1" s="1"/>
  <c r="AQ25" i="1" s="1"/>
  <c r="AR25" i="1" s="1"/>
  <c r="AS25" i="1" s="1"/>
  <c r="AT25" i="1" s="1"/>
  <c r="AU25" i="1" s="1"/>
  <c r="AV25" i="1" s="1"/>
  <c r="AW25" i="1" s="1"/>
  <c r="AX25" i="1" s="1"/>
  <c r="AY25" i="1" s="1"/>
  <c r="AZ25" i="1" s="1"/>
  <c r="BA25" i="1" s="1"/>
  <c r="BB25" i="1" s="1"/>
  <c r="BC25" i="1" s="1"/>
  <c r="BD25" i="1" s="1"/>
  <c r="BE25" i="1" s="1"/>
  <c r="BF25" i="1" s="1"/>
  <c r="BG25" i="1" s="1"/>
  <c r="BH25" i="1" s="1"/>
  <c r="BI25" i="1" s="1"/>
  <c r="BJ25" i="1" s="1"/>
  <c r="BK25" i="1" s="1"/>
  <c r="BL25" i="1" s="1"/>
  <c r="BM25" i="1" s="1"/>
  <c r="BN25" i="1" s="1"/>
  <c r="BO25" i="1" s="1"/>
  <c r="BP25" i="1" s="1"/>
  <c r="BQ25" i="1" s="1"/>
  <c r="BR25" i="1" s="1"/>
  <c r="BS25" i="1" s="1"/>
  <c r="BT25" i="1" s="1"/>
  <c r="BU25" i="1" s="1"/>
  <c r="BV25" i="1" s="1"/>
  <c r="BW25" i="1" s="1"/>
  <c r="BX25" i="1" s="1"/>
  <c r="BY25" i="1" s="1"/>
  <c r="CA25" i="1" s="1"/>
  <c r="CB25" i="1" s="1"/>
  <c r="CC25" i="1" s="1"/>
  <c r="CD25" i="1" s="1"/>
  <c r="CE25" i="1" s="1"/>
  <c r="CF25" i="1" s="1"/>
  <c r="CG25" i="1" s="1"/>
  <c r="CH25" i="1" s="1"/>
  <c r="CI25" i="1" s="1"/>
  <c r="CJ25" i="1" s="1"/>
  <c r="CK25" i="1" s="1"/>
  <c r="X33" i="1"/>
  <c r="Y33" i="1" s="1"/>
  <c r="Z33" i="1" s="1"/>
  <c r="AA33" i="1" s="1"/>
  <c r="AB33" i="1" s="1"/>
  <c r="AC33" i="1" s="1"/>
  <c r="AD33" i="1" s="1"/>
  <c r="AE33" i="1" s="1"/>
  <c r="AF33" i="1" s="1"/>
  <c r="AG33" i="1" s="1"/>
  <c r="AH33" i="1" s="1"/>
  <c r="AI33" i="1" s="1"/>
  <c r="AJ33" i="1" s="1"/>
  <c r="AK33" i="1" s="1"/>
  <c r="AL33" i="1" s="1"/>
  <c r="AM33" i="1" s="1"/>
  <c r="AN33" i="1" s="1"/>
  <c r="AO33" i="1" s="1"/>
  <c r="AP33" i="1" s="1"/>
  <c r="AQ33" i="1" s="1"/>
  <c r="AR33" i="1" s="1"/>
  <c r="AS33" i="1" s="1"/>
  <c r="AT33" i="1" s="1"/>
  <c r="AU33" i="1" s="1"/>
  <c r="AV33" i="1" s="1"/>
  <c r="AW33" i="1" s="1"/>
  <c r="AX33" i="1" s="1"/>
  <c r="AY33" i="1" s="1"/>
  <c r="AZ33" i="1" s="1"/>
  <c r="BA33" i="1" s="1"/>
  <c r="BB33" i="1" s="1"/>
  <c r="BC33" i="1" s="1"/>
  <c r="BD33" i="1" s="1"/>
  <c r="BE33" i="1" s="1"/>
  <c r="BF33" i="1" s="1"/>
  <c r="BG33" i="1" s="1"/>
  <c r="BH33" i="1" s="1"/>
  <c r="BI33" i="1" s="1"/>
  <c r="BJ33" i="1" s="1"/>
  <c r="BK33" i="1" s="1"/>
  <c r="BL33" i="1" s="1"/>
  <c r="BM33" i="1" s="1"/>
  <c r="BN33" i="1" s="1"/>
  <c r="BO33" i="1" s="1"/>
  <c r="BP33" i="1" s="1"/>
  <c r="BQ33" i="1" s="1"/>
  <c r="BR33" i="1" s="1"/>
  <c r="BS33" i="1" s="1"/>
  <c r="BT33" i="1" s="1"/>
  <c r="BU33" i="1" s="1"/>
  <c r="BV33" i="1" s="1"/>
  <c r="BW33" i="1" s="1"/>
  <c r="BX33" i="1" s="1"/>
  <c r="BY33" i="1" s="1"/>
  <c r="CA33" i="1" s="1"/>
  <c r="CB33" i="1" s="1"/>
  <c r="CC33" i="1" s="1"/>
  <c r="CD33" i="1" s="1"/>
  <c r="CE33" i="1" s="1"/>
  <c r="CF33" i="1" s="1"/>
  <c r="CG33" i="1" s="1"/>
  <c r="CH33" i="1" s="1"/>
  <c r="CI33" i="1" s="1"/>
  <c r="CJ33" i="1" s="1"/>
  <c r="CK33" i="1" s="1"/>
  <c r="X19" i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CA19" i="1" s="1"/>
  <c r="CB19" i="1" s="1"/>
  <c r="CC19" i="1" s="1"/>
  <c r="CD19" i="1" s="1"/>
  <c r="CE19" i="1" s="1"/>
  <c r="CF19" i="1" s="1"/>
  <c r="CG19" i="1" s="1"/>
  <c r="CH19" i="1" s="1"/>
  <c r="CI19" i="1" s="1"/>
  <c r="CJ19" i="1" s="1"/>
  <c r="CK19" i="1" s="1"/>
  <c r="T17" i="1"/>
  <c r="U17" i="1" s="1"/>
  <c r="X27" i="1"/>
  <c r="Y27" i="1" s="1"/>
  <c r="Z27" i="1" s="1"/>
  <c r="AA27" i="1" s="1"/>
  <c r="AB27" i="1" s="1"/>
  <c r="AC27" i="1" s="1"/>
  <c r="AD27" i="1" s="1"/>
  <c r="AE27" i="1" s="1"/>
  <c r="AF27" i="1" s="1"/>
  <c r="AG27" i="1" s="1"/>
  <c r="AH27" i="1" s="1"/>
  <c r="AI27" i="1" s="1"/>
  <c r="AJ27" i="1" s="1"/>
  <c r="AK27" i="1" s="1"/>
  <c r="AL27" i="1" s="1"/>
  <c r="AM27" i="1" s="1"/>
  <c r="AN27" i="1" s="1"/>
  <c r="AO27" i="1" s="1"/>
  <c r="AP27" i="1" s="1"/>
  <c r="AQ27" i="1" s="1"/>
  <c r="AR27" i="1" s="1"/>
  <c r="AS27" i="1" s="1"/>
  <c r="AT27" i="1" s="1"/>
  <c r="AU27" i="1" s="1"/>
  <c r="AV27" i="1" s="1"/>
  <c r="AW27" i="1" s="1"/>
  <c r="AX27" i="1" s="1"/>
  <c r="AY27" i="1" s="1"/>
  <c r="AZ27" i="1" s="1"/>
  <c r="BA27" i="1" s="1"/>
  <c r="BB27" i="1" s="1"/>
  <c r="BC27" i="1" s="1"/>
  <c r="BD27" i="1" s="1"/>
  <c r="BE27" i="1" s="1"/>
  <c r="BF27" i="1" s="1"/>
  <c r="BG27" i="1" s="1"/>
  <c r="BH27" i="1" s="1"/>
  <c r="BI27" i="1" s="1"/>
  <c r="BJ27" i="1" s="1"/>
  <c r="BK27" i="1" s="1"/>
  <c r="BL27" i="1" s="1"/>
  <c r="BM27" i="1" s="1"/>
  <c r="BN27" i="1" s="1"/>
  <c r="BO27" i="1" s="1"/>
  <c r="BP27" i="1" s="1"/>
  <c r="BQ27" i="1" s="1"/>
  <c r="BR27" i="1" s="1"/>
  <c r="BS27" i="1" s="1"/>
  <c r="BT27" i="1" s="1"/>
  <c r="BU27" i="1" s="1"/>
  <c r="BV27" i="1" s="1"/>
  <c r="BW27" i="1" s="1"/>
  <c r="BX27" i="1" s="1"/>
  <c r="BY27" i="1" s="1"/>
  <c r="CA27" i="1" s="1"/>
  <c r="CB27" i="1" s="1"/>
  <c r="CC27" i="1" s="1"/>
  <c r="CD27" i="1" s="1"/>
  <c r="CE27" i="1" s="1"/>
  <c r="CF27" i="1" s="1"/>
  <c r="CG27" i="1" s="1"/>
  <c r="CH27" i="1" s="1"/>
  <c r="CI27" i="1" s="1"/>
  <c r="CJ27" i="1" s="1"/>
  <c r="CK27" i="1" s="1"/>
  <c r="W39" i="1"/>
  <c r="X39" i="1" s="1"/>
  <c r="Y39" i="1" s="1"/>
  <c r="Z39" i="1" s="1"/>
  <c r="AA39" i="1" s="1"/>
  <c r="AB39" i="1" s="1"/>
  <c r="AC39" i="1" s="1"/>
  <c r="AD39" i="1" s="1"/>
  <c r="AE39" i="1" s="1"/>
  <c r="AF39" i="1" s="1"/>
  <c r="AG39" i="1" s="1"/>
  <c r="AH39" i="1" s="1"/>
  <c r="AI39" i="1" s="1"/>
  <c r="AJ39" i="1" s="1"/>
  <c r="AK39" i="1" s="1"/>
  <c r="AL39" i="1" s="1"/>
  <c r="AM39" i="1" s="1"/>
  <c r="AN39" i="1" s="1"/>
  <c r="AO39" i="1" s="1"/>
  <c r="AP39" i="1" s="1"/>
  <c r="AQ39" i="1" s="1"/>
  <c r="AR39" i="1" s="1"/>
  <c r="AS39" i="1" s="1"/>
  <c r="AT39" i="1" s="1"/>
  <c r="AU39" i="1" s="1"/>
  <c r="AV39" i="1" s="1"/>
  <c r="AW39" i="1" s="1"/>
  <c r="AX39" i="1" s="1"/>
  <c r="AY39" i="1" s="1"/>
  <c r="AZ39" i="1" s="1"/>
  <c r="BA39" i="1" s="1"/>
  <c r="BB39" i="1" s="1"/>
  <c r="BC39" i="1" s="1"/>
  <c r="BD39" i="1" s="1"/>
  <c r="BE39" i="1" s="1"/>
  <c r="BF39" i="1" s="1"/>
  <c r="BG39" i="1" s="1"/>
  <c r="BH39" i="1" s="1"/>
  <c r="BI39" i="1" s="1"/>
  <c r="BJ39" i="1" s="1"/>
  <c r="BK39" i="1" s="1"/>
  <c r="BL39" i="1" s="1"/>
  <c r="BM39" i="1" s="1"/>
  <c r="BN39" i="1" s="1"/>
  <c r="BO39" i="1" s="1"/>
  <c r="BP39" i="1" s="1"/>
  <c r="BQ39" i="1" s="1"/>
  <c r="BR39" i="1" s="1"/>
  <c r="BS39" i="1" s="1"/>
  <c r="BT39" i="1" s="1"/>
  <c r="BU39" i="1" s="1"/>
  <c r="BV39" i="1" s="1"/>
  <c r="BW39" i="1" s="1"/>
  <c r="BX39" i="1" s="1"/>
  <c r="BY39" i="1" s="1"/>
  <c r="CA39" i="1" s="1"/>
  <c r="CB39" i="1" s="1"/>
  <c r="CC39" i="1" s="1"/>
  <c r="CD39" i="1" s="1"/>
  <c r="CE39" i="1" s="1"/>
  <c r="CF39" i="1" s="1"/>
  <c r="CG39" i="1" s="1"/>
  <c r="CH39" i="1" s="1"/>
  <c r="CI39" i="1" s="1"/>
  <c r="CJ39" i="1" s="1"/>
  <c r="CK39" i="1" s="1"/>
  <c r="V39" i="1"/>
  <c r="E85" i="1"/>
  <c r="W57" i="1"/>
  <c r="X57" i="1" s="1"/>
  <c r="Y57" i="1" s="1"/>
  <c r="Z57" i="1" s="1"/>
  <c r="AA57" i="1" s="1"/>
  <c r="AB57" i="1" s="1"/>
  <c r="AC57" i="1" s="1"/>
  <c r="AD57" i="1" s="1"/>
  <c r="AE57" i="1" s="1"/>
  <c r="AF57" i="1" s="1"/>
  <c r="AG57" i="1" s="1"/>
  <c r="AH57" i="1" s="1"/>
  <c r="AI57" i="1" s="1"/>
  <c r="AJ57" i="1" s="1"/>
  <c r="AK57" i="1" s="1"/>
  <c r="AL57" i="1" s="1"/>
  <c r="AM57" i="1" s="1"/>
  <c r="AN57" i="1" s="1"/>
  <c r="AO57" i="1" s="1"/>
  <c r="AP57" i="1" s="1"/>
  <c r="AQ57" i="1" s="1"/>
  <c r="AR57" i="1" s="1"/>
  <c r="AS57" i="1" s="1"/>
  <c r="AT57" i="1" s="1"/>
  <c r="AU57" i="1" s="1"/>
  <c r="AV57" i="1" s="1"/>
  <c r="AW57" i="1" s="1"/>
  <c r="AX57" i="1" s="1"/>
  <c r="AY57" i="1" s="1"/>
  <c r="AZ57" i="1" s="1"/>
  <c r="BA57" i="1" s="1"/>
  <c r="BB57" i="1" s="1"/>
  <c r="BC57" i="1" s="1"/>
  <c r="BD57" i="1" s="1"/>
  <c r="BE57" i="1" s="1"/>
  <c r="BF57" i="1" s="1"/>
  <c r="BG57" i="1" s="1"/>
  <c r="BH57" i="1" s="1"/>
  <c r="BI57" i="1" s="1"/>
  <c r="BJ57" i="1" s="1"/>
  <c r="BK57" i="1" s="1"/>
  <c r="BL57" i="1" s="1"/>
  <c r="BM57" i="1" s="1"/>
  <c r="BN57" i="1" s="1"/>
  <c r="BO57" i="1" s="1"/>
  <c r="BP57" i="1" s="1"/>
  <c r="BQ57" i="1" s="1"/>
  <c r="BR57" i="1" s="1"/>
  <c r="BS57" i="1" s="1"/>
  <c r="BT57" i="1" s="1"/>
  <c r="BU57" i="1" s="1"/>
  <c r="BV57" i="1" s="1"/>
  <c r="BW57" i="1" s="1"/>
  <c r="BX57" i="1" s="1"/>
  <c r="BY57" i="1" s="1"/>
  <c r="CA57" i="1" s="1"/>
  <c r="CB57" i="1" s="1"/>
  <c r="CC57" i="1" s="1"/>
  <c r="CD57" i="1" s="1"/>
  <c r="CE57" i="1" s="1"/>
  <c r="CF57" i="1" s="1"/>
  <c r="CG57" i="1" s="1"/>
  <c r="CH57" i="1" s="1"/>
  <c r="CI57" i="1" s="1"/>
  <c r="CJ57" i="1" s="1"/>
  <c r="CK57" i="1" s="1"/>
  <c r="W5" i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BC5" i="1" s="1"/>
  <c r="BD5" i="1" s="1"/>
  <c r="BE5" i="1" s="1"/>
  <c r="BF5" i="1" s="1"/>
  <c r="BG5" i="1" s="1"/>
  <c r="BH5" i="1" s="1"/>
  <c r="BI5" i="1" s="1"/>
  <c r="BJ5" i="1" s="1"/>
  <c r="BK5" i="1" s="1"/>
  <c r="BL5" i="1" s="1"/>
  <c r="BM5" i="1" s="1"/>
  <c r="BN5" i="1" s="1"/>
  <c r="BO5" i="1" s="1"/>
  <c r="BP5" i="1" s="1"/>
  <c r="BQ5" i="1" s="1"/>
  <c r="BR5" i="1" s="1"/>
  <c r="BS5" i="1" s="1"/>
  <c r="BT5" i="1" s="1"/>
  <c r="BU5" i="1" s="1"/>
  <c r="BV5" i="1" s="1"/>
  <c r="BW5" i="1" s="1"/>
  <c r="BX5" i="1" s="1"/>
  <c r="BY5" i="1" s="1"/>
  <c r="CA5" i="1" s="1"/>
  <c r="CB5" i="1" s="1"/>
  <c r="CC5" i="1" s="1"/>
  <c r="CD5" i="1" s="1"/>
  <c r="CE5" i="1" s="1"/>
  <c r="CF5" i="1" s="1"/>
  <c r="CG5" i="1" s="1"/>
  <c r="CH5" i="1" s="1"/>
  <c r="CI5" i="1" s="1"/>
  <c r="CJ5" i="1" s="1"/>
  <c r="CK5" i="1" s="1"/>
  <c r="CP11" i="1"/>
  <c r="V35" i="1"/>
  <c r="W35" i="1" s="1"/>
  <c r="X35" i="1" s="1"/>
  <c r="Y35" i="1" s="1"/>
  <c r="Z35" i="1" s="1"/>
  <c r="AA35" i="1" s="1"/>
  <c r="AB35" i="1" s="1"/>
  <c r="AC35" i="1" s="1"/>
  <c r="AD35" i="1" s="1"/>
  <c r="AE35" i="1" s="1"/>
  <c r="AF35" i="1" s="1"/>
  <c r="AG35" i="1" s="1"/>
  <c r="AH35" i="1" s="1"/>
  <c r="AI35" i="1" s="1"/>
  <c r="AJ35" i="1" s="1"/>
  <c r="AK35" i="1" s="1"/>
  <c r="AL35" i="1" s="1"/>
  <c r="AM35" i="1" s="1"/>
  <c r="AN35" i="1" s="1"/>
  <c r="AO35" i="1" s="1"/>
  <c r="AP35" i="1" s="1"/>
  <c r="AQ35" i="1" s="1"/>
  <c r="AR35" i="1" s="1"/>
  <c r="AS35" i="1" s="1"/>
  <c r="AT35" i="1" s="1"/>
  <c r="AU35" i="1" s="1"/>
  <c r="AV35" i="1" s="1"/>
  <c r="AW35" i="1" s="1"/>
  <c r="AX35" i="1" s="1"/>
  <c r="AY35" i="1" s="1"/>
  <c r="AZ35" i="1" s="1"/>
  <c r="BA35" i="1" s="1"/>
  <c r="BB35" i="1" s="1"/>
  <c r="BC35" i="1" s="1"/>
  <c r="BD35" i="1" s="1"/>
  <c r="BE35" i="1" s="1"/>
  <c r="BF35" i="1" s="1"/>
  <c r="BG35" i="1" s="1"/>
  <c r="BH35" i="1" s="1"/>
  <c r="BI35" i="1" s="1"/>
  <c r="BJ35" i="1" s="1"/>
  <c r="BK35" i="1" s="1"/>
  <c r="BL35" i="1" s="1"/>
  <c r="BM35" i="1" s="1"/>
  <c r="BN35" i="1" s="1"/>
  <c r="BO35" i="1" s="1"/>
  <c r="BP35" i="1" s="1"/>
  <c r="BQ35" i="1" s="1"/>
  <c r="BR35" i="1" s="1"/>
  <c r="BS35" i="1" s="1"/>
  <c r="BT35" i="1" s="1"/>
  <c r="BU35" i="1" s="1"/>
  <c r="BV35" i="1" s="1"/>
  <c r="BW35" i="1" s="1"/>
  <c r="BX35" i="1" s="1"/>
  <c r="BY35" i="1" s="1"/>
  <c r="CA35" i="1" s="1"/>
  <c r="CB35" i="1" s="1"/>
  <c r="CC35" i="1" s="1"/>
  <c r="CD35" i="1" s="1"/>
  <c r="CE35" i="1" s="1"/>
  <c r="CF35" i="1" s="1"/>
  <c r="CG35" i="1" s="1"/>
  <c r="CH35" i="1" s="1"/>
  <c r="CI35" i="1" s="1"/>
  <c r="CJ35" i="1" s="1"/>
  <c r="CK35" i="1" s="1"/>
  <c r="V31" i="1"/>
  <c r="W31" i="1" s="1"/>
  <c r="X31" i="1" s="1"/>
  <c r="Y31" i="1" s="1"/>
  <c r="Z31" i="1" s="1"/>
  <c r="AA31" i="1" s="1"/>
  <c r="AB31" i="1" s="1"/>
  <c r="AC31" i="1" s="1"/>
  <c r="AD31" i="1" s="1"/>
  <c r="AE31" i="1" s="1"/>
  <c r="AF31" i="1" s="1"/>
  <c r="AG31" i="1" s="1"/>
  <c r="AH31" i="1" s="1"/>
  <c r="AI31" i="1" s="1"/>
  <c r="AJ31" i="1" s="1"/>
  <c r="AK31" i="1" s="1"/>
  <c r="AL31" i="1" s="1"/>
  <c r="AM31" i="1" s="1"/>
  <c r="AN31" i="1" s="1"/>
  <c r="AO31" i="1" s="1"/>
  <c r="AP31" i="1" s="1"/>
  <c r="AQ31" i="1" s="1"/>
  <c r="AR31" i="1" s="1"/>
  <c r="AS31" i="1" s="1"/>
  <c r="AT31" i="1" s="1"/>
  <c r="AU31" i="1" s="1"/>
  <c r="AV31" i="1" s="1"/>
  <c r="AW31" i="1" s="1"/>
  <c r="AX31" i="1" s="1"/>
  <c r="AY31" i="1" s="1"/>
  <c r="AZ31" i="1" s="1"/>
  <c r="BA31" i="1" s="1"/>
  <c r="BB31" i="1" s="1"/>
  <c r="BC31" i="1" s="1"/>
  <c r="BD31" i="1" s="1"/>
  <c r="BE31" i="1" s="1"/>
  <c r="BF31" i="1" s="1"/>
  <c r="BG31" i="1" s="1"/>
  <c r="BH31" i="1" s="1"/>
  <c r="BI31" i="1" s="1"/>
  <c r="BJ31" i="1" s="1"/>
  <c r="BK31" i="1" s="1"/>
  <c r="BL31" i="1" s="1"/>
  <c r="BM31" i="1" s="1"/>
  <c r="BN31" i="1" s="1"/>
  <c r="BO31" i="1" s="1"/>
  <c r="BP31" i="1" s="1"/>
  <c r="BQ31" i="1" s="1"/>
  <c r="BR31" i="1" s="1"/>
  <c r="BS31" i="1" s="1"/>
  <c r="BT31" i="1" s="1"/>
  <c r="BU31" i="1" s="1"/>
  <c r="BV31" i="1" s="1"/>
  <c r="BW31" i="1" s="1"/>
  <c r="BX31" i="1" s="1"/>
  <c r="BY31" i="1" s="1"/>
  <c r="CA31" i="1" s="1"/>
  <c r="CB31" i="1" s="1"/>
  <c r="CC31" i="1" s="1"/>
  <c r="CD31" i="1" s="1"/>
  <c r="CE31" i="1" s="1"/>
  <c r="CF31" i="1" s="1"/>
  <c r="CG31" i="1" s="1"/>
  <c r="CH31" i="1" s="1"/>
  <c r="CI31" i="1" s="1"/>
  <c r="CJ31" i="1" s="1"/>
  <c r="CK31" i="1" s="1"/>
  <c r="V37" i="1"/>
  <c r="W37" i="1" s="1"/>
  <c r="X37" i="1" s="1"/>
  <c r="Y37" i="1" s="1"/>
  <c r="Z37" i="1" s="1"/>
  <c r="AA37" i="1" s="1"/>
  <c r="AB37" i="1" s="1"/>
  <c r="AC37" i="1" s="1"/>
  <c r="AD37" i="1" s="1"/>
  <c r="AE37" i="1" s="1"/>
  <c r="AF37" i="1" s="1"/>
  <c r="AG37" i="1" s="1"/>
  <c r="AH37" i="1" s="1"/>
  <c r="AI37" i="1" s="1"/>
  <c r="AJ37" i="1" s="1"/>
  <c r="AK37" i="1" s="1"/>
  <c r="AL37" i="1" s="1"/>
  <c r="AM37" i="1" s="1"/>
  <c r="AN37" i="1" s="1"/>
  <c r="AO37" i="1" s="1"/>
  <c r="AP37" i="1" s="1"/>
  <c r="AQ37" i="1" s="1"/>
  <c r="AR37" i="1" s="1"/>
  <c r="AS37" i="1" s="1"/>
  <c r="AT37" i="1" s="1"/>
  <c r="AU37" i="1" s="1"/>
  <c r="AV37" i="1" s="1"/>
  <c r="AW37" i="1" s="1"/>
  <c r="AX37" i="1" s="1"/>
  <c r="AY37" i="1" s="1"/>
  <c r="AZ37" i="1" s="1"/>
  <c r="BA37" i="1" s="1"/>
  <c r="BB37" i="1" s="1"/>
  <c r="BC37" i="1" s="1"/>
  <c r="BD37" i="1" s="1"/>
  <c r="BE37" i="1" s="1"/>
  <c r="BF37" i="1" s="1"/>
  <c r="BG37" i="1" s="1"/>
  <c r="BH37" i="1" s="1"/>
  <c r="BI37" i="1" s="1"/>
  <c r="BJ37" i="1" s="1"/>
  <c r="BK37" i="1" s="1"/>
  <c r="BL37" i="1" s="1"/>
  <c r="BM37" i="1" s="1"/>
  <c r="BN37" i="1" s="1"/>
  <c r="BO37" i="1" s="1"/>
  <c r="BP37" i="1" s="1"/>
  <c r="BQ37" i="1" s="1"/>
  <c r="BR37" i="1" s="1"/>
  <c r="BS37" i="1" s="1"/>
  <c r="BT37" i="1" s="1"/>
  <c r="BU37" i="1" s="1"/>
  <c r="BV37" i="1" s="1"/>
  <c r="BW37" i="1" s="1"/>
  <c r="BX37" i="1" s="1"/>
  <c r="BY37" i="1" s="1"/>
  <c r="CA37" i="1" s="1"/>
  <c r="CB37" i="1" s="1"/>
  <c r="CC37" i="1" s="1"/>
  <c r="CD37" i="1" s="1"/>
  <c r="CE37" i="1" s="1"/>
  <c r="CF37" i="1" s="1"/>
  <c r="CG37" i="1" s="1"/>
  <c r="CH37" i="1" s="1"/>
  <c r="CI37" i="1" s="1"/>
  <c r="CJ37" i="1" s="1"/>
  <c r="CK37" i="1" s="1"/>
  <c r="V21" i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CA21" i="1" s="1"/>
  <c r="CB21" i="1" s="1"/>
  <c r="CC21" i="1" s="1"/>
  <c r="CD21" i="1" s="1"/>
  <c r="CE21" i="1" s="1"/>
  <c r="CF21" i="1" s="1"/>
  <c r="CG21" i="1" s="1"/>
  <c r="CH21" i="1" s="1"/>
  <c r="CI21" i="1" s="1"/>
  <c r="CJ21" i="1" s="1"/>
  <c r="CK21" i="1" s="1"/>
  <c r="V41" i="1"/>
  <c r="W41" i="1" s="1"/>
  <c r="X41" i="1" s="1"/>
  <c r="Y41" i="1" s="1"/>
  <c r="Z41" i="1" s="1"/>
  <c r="AA41" i="1" s="1"/>
  <c r="AB41" i="1" s="1"/>
  <c r="AC41" i="1" s="1"/>
  <c r="AD41" i="1" s="1"/>
  <c r="AE41" i="1" s="1"/>
  <c r="AF41" i="1" s="1"/>
  <c r="AG41" i="1" s="1"/>
  <c r="AH41" i="1" s="1"/>
  <c r="AI41" i="1" s="1"/>
  <c r="AJ41" i="1" s="1"/>
  <c r="AK41" i="1" s="1"/>
  <c r="AL41" i="1" s="1"/>
  <c r="AM41" i="1" s="1"/>
  <c r="AN41" i="1" s="1"/>
  <c r="AO41" i="1" s="1"/>
  <c r="AP41" i="1" s="1"/>
  <c r="AQ41" i="1" s="1"/>
  <c r="AR41" i="1" s="1"/>
  <c r="AS41" i="1" s="1"/>
  <c r="AT41" i="1" s="1"/>
  <c r="AU41" i="1" s="1"/>
  <c r="AV41" i="1" s="1"/>
  <c r="AW41" i="1" s="1"/>
  <c r="AX41" i="1" s="1"/>
  <c r="AY41" i="1" s="1"/>
  <c r="AZ41" i="1" s="1"/>
  <c r="BA41" i="1" s="1"/>
  <c r="BB41" i="1" s="1"/>
  <c r="BC41" i="1" s="1"/>
  <c r="BD41" i="1" s="1"/>
  <c r="BE41" i="1" s="1"/>
  <c r="BF41" i="1" s="1"/>
  <c r="BG41" i="1" s="1"/>
  <c r="BH41" i="1" s="1"/>
  <c r="BI41" i="1" s="1"/>
  <c r="BJ41" i="1" s="1"/>
  <c r="BK41" i="1" s="1"/>
  <c r="BL41" i="1" s="1"/>
  <c r="BM41" i="1" s="1"/>
  <c r="BN41" i="1" s="1"/>
  <c r="BO41" i="1" s="1"/>
  <c r="BP41" i="1" s="1"/>
  <c r="BQ41" i="1" s="1"/>
  <c r="BR41" i="1" s="1"/>
  <c r="BS41" i="1" s="1"/>
  <c r="BT41" i="1" s="1"/>
  <c r="BU41" i="1" s="1"/>
  <c r="BV41" i="1" s="1"/>
  <c r="BW41" i="1" s="1"/>
  <c r="BX41" i="1" s="1"/>
  <c r="BY41" i="1" s="1"/>
  <c r="CA41" i="1" s="1"/>
  <c r="CB41" i="1" s="1"/>
  <c r="CC41" i="1" s="1"/>
  <c r="CD41" i="1" s="1"/>
  <c r="CE41" i="1" s="1"/>
  <c r="CF41" i="1" s="1"/>
  <c r="CG41" i="1" s="1"/>
  <c r="CH41" i="1" s="1"/>
  <c r="CI41" i="1" s="1"/>
  <c r="CJ41" i="1" s="1"/>
  <c r="CK41" i="1" s="1"/>
  <c r="V23" i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s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CA23" i="1" s="1"/>
  <c r="CB23" i="1" s="1"/>
  <c r="CC23" i="1" s="1"/>
  <c r="CD23" i="1" s="1"/>
  <c r="CE23" i="1" s="1"/>
  <c r="CF23" i="1" s="1"/>
  <c r="CG23" i="1" s="1"/>
  <c r="CH23" i="1" s="1"/>
  <c r="CI23" i="1" s="1"/>
  <c r="CJ23" i="1" s="1"/>
  <c r="CK23" i="1" s="1"/>
  <c r="V45" i="1"/>
  <c r="W45" i="1" s="1"/>
  <c r="X45" i="1" s="1"/>
  <c r="Y45" i="1" s="1"/>
  <c r="Z45" i="1" s="1"/>
  <c r="AA45" i="1" s="1"/>
  <c r="AB45" i="1" s="1"/>
  <c r="AC45" i="1" s="1"/>
  <c r="AD45" i="1" s="1"/>
  <c r="AE45" i="1" s="1"/>
  <c r="AF45" i="1" s="1"/>
  <c r="AG45" i="1" s="1"/>
  <c r="AH45" i="1" s="1"/>
  <c r="AI45" i="1" s="1"/>
  <c r="AJ45" i="1" s="1"/>
  <c r="AK45" i="1" s="1"/>
  <c r="AL45" i="1" s="1"/>
  <c r="AM45" i="1" s="1"/>
  <c r="AN45" i="1" s="1"/>
  <c r="AO45" i="1" s="1"/>
  <c r="AP45" i="1" s="1"/>
  <c r="AQ45" i="1" s="1"/>
  <c r="AR45" i="1" s="1"/>
  <c r="AS45" i="1" s="1"/>
  <c r="AT45" i="1" s="1"/>
  <c r="AU45" i="1" s="1"/>
  <c r="AV45" i="1" s="1"/>
  <c r="AW45" i="1" s="1"/>
  <c r="AX45" i="1" s="1"/>
  <c r="AY45" i="1" s="1"/>
  <c r="AZ45" i="1" s="1"/>
  <c r="BA45" i="1" s="1"/>
  <c r="BB45" i="1" s="1"/>
  <c r="BC45" i="1" s="1"/>
  <c r="BD45" i="1" s="1"/>
  <c r="BE45" i="1" s="1"/>
  <c r="BF45" i="1" s="1"/>
  <c r="BG45" i="1" s="1"/>
  <c r="BH45" i="1" s="1"/>
  <c r="BI45" i="1" s="1"/>
  <c r="BJ45" i="1" s="1"/>
  <c r="BK45" i="1" s="1"/>
  <c r="BL45" i="1" s="1"/>
  <c r="BM45" i="1" s="1"/>
  <c r="BN45" i="1" s="1"/>
  <c r="BO45" i="1" s="1"/>
  <c r="BP45" i="1" s="1"/>
  <c r="BQ45" i="1" s="1"/>
  <c r="BR45" i="1" s="1"/>
  <c r="BS45" i="1" s="1"/>
  <c r="BT45" i="1" s="1"/>
  <c r="BU45" i="1" s="1"/>
  <c r="BV45" i="1" s="1"/>
  <c r="BW45" i="1" s="1"/>
  <c r="BX45" i="1" s="1"/>
  <c r="BY45" i="1" s="1"/>
  <c r="CA45" i="1" s="1"/>
  <c r="CB45" i="1" s="1"/>
  <c r="CC45" i="1" s="1"/>
  <c r="CD45" i="1" s="1"/>
  <c r="CE45" i="1" s="1"/>
  <c r="CF45" i="1" s="1"/>
  <c r="CG45" i="1" s="1"/>
  <c r="CH45" i="1" s="1"/>
  <c r="CI45" i="1" s="1"/>
  <c r="CJ45" i="1" s="1"/>
  <c r="CK45" i="1" s="1"/>
  <c r="V29" i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CA29" i="1" s="1"/>
  <c r="CB29" i="1" s="1"/>
  <c r="CC29" i="1" s="1"/>
  <c r="CD29" i="1" s="1"/>
  <c r="CE29" i="1" s="1"/>
  <c r="CF29" i="1" s="1"/>
  <c r="CG29" i="1" s="1"/>
  <c r="CH29" i="1" s="1"/>
  <c r="CI29" i="1" s="1"/>
  <c r="CJ29" i="1" s="1"/>
  <c r="CK29" i="1" s="1"/>
  <c r="I17" i="5"/>
  <c r="I22" i="5" s="1"/>
  <c r="I90" i="4"/>
  <c r="I95" i="4" s="1"/>
  <c r="M90" i="4"/>
  <c r="M95" i="4" s="1"/>
  <c r="E411" i="6"/>
  <c r="G22" i="5"/>
  <c r="H22" i="5"/>
  <c r="AR71" i="4"/>
  <c r="AS71" i="4"/>
  <c r="AT71" i="4" s="1"/>
  <c r="AU71" i="4" s="1"/>
  <c r="H95" i="4"/>
  <c r="G95" i="4"/>
  <c r="J20" i="5"/>
  <c r="J19" i="5"/>
  <c r="J18" i="5"/>
  <c r="U3" i="5"/>
  <c r="L16" i="5"/>
  <c r="L13" i="5" s="1"/>
  <c r="K13" i="5"/>
  <c r="J93" i="4"/>
  <c r="J92" i="4"/>
  <c r="S57" i="6"/>
  <c r="S397" i="6" s="1"/>
  <c r="N402" i="6" s="1"/>
  <c r="W3" i="6"/>
  <c r="N91" i="4"/>
  <c r="N92" i="4"/>
  <c r="N93" i="4"/>
  <c r="J91" i="4"/>
  <c r="P89" i="4"/>
  <c r="P86" i="4" s="1"/>
  <c r="O86" i="4"/>
  <c r="L89" i="4"/>
  <c r="L86" i="4" s="1"/>
  <c r="K86" i="4"/>
  <c r="Y82" i="4"/>
  <c r="T87" i="4" s="1"/>
  <c r="E84" i="1"/>
  <c r="E83" i="1"/>
  <c r="L61" i="1"/>
  <c r="F79" i="1"/>
  <c r="D19" i="10" s="1"/>
  <c r="O3" i="1"/>
  <c r="J17" i="5" l="1"/>
  <c r="K404" i="6"/>
  <c r="I401" i="6"/>
  <c r="I408" i="6" s="1"/>
  <c r="E23" i="5"/>
  <c r="C22" i="10"/>
  <c r="CN47" i="1"/>
  <c r="CO47" i="1" s="1"/>
  <c r="CP47" i="1"/>
  <c r="CN13" i="1"/>
  <c r="CO13" i="1" s="1"/>
  <c r="CP13" i="1"/>
  <c r="CL45" i="1"/>
  <c r="CM45" i="1" s="1"/>
  <c r="CN45" i="1" s="1"/>
  <c r="CO45" i="1" s="1"/>
  <c r="CL41" i="1"/>
  <c r="CM41" i="1" s="1"/>
  <c r="CN41" i="1" s="1"/>
  <c r="CO41" i="1" s="1"/>
  <c r="CL37" i="1"/>
  <c r="CM37" i="1" s="1"/>
  <c r="CN37" i="1" s="1"/>
  <c r="CO37" i="1" s="1"/>
  <c r="CL35" i="1"/>
  <c r="CM35" i="1" s="1"/>
  <c r="CN35" i="1" s="1"/>
  <c r="CO35" i="1" s="1"/>
  <c r="CL57" i="1"/>
  <c r="CM57" i="1" s="1"/>
  <c r="CL27" i="1"/>
  <c r="CM27" i="1" s="1"/>
  <c r="CL19" i="1"/>
  <c r="CM19" i="1" s="1"/>
  <c r="CN19" i="1" s="1"/>
  <c r="CO19" i="1" s="1"/>
  <c r="CL25" i="1"/>
  <c r="CM25" i="1" s="1"/>
  <c r="CN25" i="1" s="1"/>
  <c r="CO25" i="1" s="1"/>
  <c r="CP9" i="1"/>
  <c r="CM29" i="1"/>
  <c r="CN29" i="1" s="1"/>
  <c r="CO29" i="1" s="1"/>
  <c r="CL29" i="1"/>
  <c r="CM23" i="1"/>
  <c r="CN23" i="1" s="1"/>
  <c r="CO23" i="1" s="1"/>
  <c r="CL23" i="1"/>
  <c r="CM21" i="1"/>
  <c r="CN21" i="1" s="1"/>
  <c r="CO21" i="1" s="1"/>
  <c r="CL21" i="1"/>
  <c r="CM31" i="1"/>
  <c r="CN31" i="1" s="1"/>
  <c r="CO31" i="1" s="1"/>
  <c r="CL31" i="1"/>
  <c r="CP43" i="1"/>
  <c r="CL5" i="1"/>
  <c r="CM5" i="1" s="1"/>
  <c r="CP49" i="1"/>
  <c r="CP15" i="1"/>
  <c r="CP53" i="1"/>
  <c r="CM39" i="1"/>
  <c r="CN39" i="1" s="1"/>
  <c r="CO39" i="1" s="1"/>
  <c r="CL39" i="1"/>
  <c r="CM33" i="1"/>
  <c r="CN33" i="1" s="1"/>
  <c r="CO33" i="1" s="1"/>
  <c r="CL33" i="1"/>
  <c r="F104" i="4"/>
  <c r="F105" i="4" s="1"/>
  <c r="E106" i="4" s="1"/>
  <c r="G104" i="4"/>
  <c r="G105" i="4" s="1"/>
  <c r="V17" i="1"/>
  <c r="W17" i="1" s="1"/>
  <c r="CP29" i="1"/>
  <c r="CP23" i="1"/>
  <c r="CP21" i="1"/>
  <c r="CP31" i="1"/>
  <c r="CP33" i="1"/>
  <c r="E96" i="4"/>
  <c r="E82" i="1"/>
  <c r="E86" i="1" s="1"/>
  <c r="N90" i="4"/>
  <c r="N95" i="4" s="1"/>
  <c r="J90" i="4"/>
  <c r="AV71" i="4"/>
  <c r="AW71" i="4"/>
  <c r="AX71" i="4" s="1"/>
  <c r="AY71" i="4" s="1"/>
  <c r="U8" i="5"/>
  <c r="P14" i="5" s="1"/>
  <c r="V3" i="5"/>
  <c r="W3" i="5" s="1"/>
  <c r="X3" i="5" s="1"/>
  <c r="Y3" i="5" s="1"/>
  <c r="Z3" i="5" s="1"/>
  <c r="AA3" i="5" s="1"/>
  <c r="AB3" i="5" s="1"/>
  <c r="AC3" i="5" s="1"/>
  <c r="AD3" i="5" s="1"/>
  <c r="AE3" i="5" s="1"/>
  <c r="AF3" i="5" s="1"/>
  <c r="AG3" i="5" s="1"/>
  <c r="AH3" i="5" s="1"/>
  <c r="AI3" i="5" s="1"/>
  <c r="AJ3" i="5" s="1"/>
  <c r="AK3" i="5" s="1"/>
  <c r="AL3" i="5" s="1"/>
  <c r="AM3" i="5" s="1"/>
  <c r="AN3" i="5" s="1"/>
  <c r="AO3" i="5" s="1"/>
  <c r="AP3" i="5" s="1"/>
  <c r="AQ3" i="5" s="1"/>
  <c r="AR3" i="5" s="1"/>
  <c r="AS3" i="5" s="1"/>
  <c r="AT3" i="5" s="1"/>
  <c r="AU3" i="5" s="1"/>
  <c r="AV3" i="5" s="1"/>
  <c r="AW3" i="5" s="1"/>
  <c r="AX3" i="5" s="1"/>
  <c r="AY3" i="5" s="1"/>
  <c r="AZ3" i="5" s="1"/>
  <c r="BA3" i="5" s="1"/>
  <c r="BB3" i="5" s="1"/>
  <c r="BC3" i="5" s="1"/>
  <c r="BD3" i="5" s="1"/>
  <c r="BE3" i="5" s="1"/>
  <c r="BF3" i="5" s="1"/>
  <c r="BG3" i="5" s="1"/>
  <c r="BH3" i="5" s="1"/>
  <c r="BI3" i="5" s="1"/>
  <c r="BJ3" i="5" s="1"/>
  <c r="BK3" i="5" s="1"/>
  <c r="BL3" i="5" s="1"/>
  <c r="BM3" i="5" s="1"/>
  <c r="BN3" i="5" s="1"/>
  <c r="BO3" i="5" s="1"/>
  <c r="BP3" i="5" s="1"/>
  <c r="BQ3" i="5" s="1"/>
  <c r="BR3" i="5" s="1"/>
  <c r="BS3" i="5" s="1"/>
  <c r="BT3" i="5" s="1"/>
  <c r="BU3" i="5" s="1"/>
  <c r="BV3" i="5" s="1"/>
  <c r="BW3" i="5" s="1"/>
  <c r="BX3" i="5" s="1"/>
  <c r="BY3" i="5" s="1"/>
  <c r="BZ3" i="5" s="1"/>
  <c r="CA3" i="5" s="1"/>
  <c r="CB3" i="5" s="1"/>
  <c r="CC3" i="5" s="1"/>
  <c r="CD3" i="5" s="1"/>
  <c r="CE3" i="5" s="1"/>
  <c r="CF3" i="5" s="1"/>
  <c r="CG3" i="5" s="1"/>
  <c r="CH3" i="5" s="1"/>
  <c r="CI3" i="5" s="1"/>
  <c r="CJ3" i="5" s="1"/>
  <c r="CK3" i="5" s="1"/>
  <c r="CM3" i="5" s="1"/>
  <c r="CN3" i="5" s="1"/>
  <c r="CO3" i="5" s="1"/>
  <c r="CP3" i="5" s="1"/>
  <c r="J22" i="5"/>
  <c r="K20" i="5"/>
  <c r="K19" i="5"/>
  <c r="K18" i="5"/>
  <c r="M16" i="5"/>
  <c r="L19" i="5"/>
  <c r="L20" i="5"/>
  <c r="L18" i="5"/>
  <c r="L404" i="6"/>
  <c r="L401" i="6" s="1"/>
  <c r="K401" i="6"/>
  <c r="J408" i="6"/>
  <c r="J407" i="6"/>
  <c r="J406" i="6"/>
  <c r="X3" i="6"/>
  <c r="T57" i="6"/>
  <c r="T397" i="6" s="1"/>
  <c r="O402" i="6" s="1"/>
  <c r="K92" i="4"/>
  <c r="K91" i="4"/>
  <c r="K93" i="4"/>
  <c r="O92" i="4"/>
  <c r="O91" i="4"/>
  <c r="O93" i="4"/>
  <c r="Q89" i="4"/>
  <c r="L91" i="4"/>
  <c r="L92" i="4"/>
  <c r="L93" i="4"/>
  <c r="P91" i="4"/>
  <c r="P93" i="4"/>
  <c r="P92" i="4"/>
  <c r="Z82" i="4"/>
  <c r="U87" i="4" s="1"/>
  <c r="F78" i="1"/>
  <c r="P3" i="1"/>
  <c r="G79" i="1"/>
  <c r="M61" i="1"/>
  <c r="I406" i="6" l="1"/>
  <c r="I407" i="6"/>
  <c r="CN5" i="1"/>
  <c r="CO5" i="1" s="1"/>
  <c r="CP5" i="1"/>
  <c r="CN57" i="1"/>
  <c r="CO57" i="1" s="1"/>
  <c r="CP57" i="1"/>
  <c r="CN27" i="1"/>
  <c r="CO27" i="1" s="1"/>
  <c r="CP27" i="1"/>
  <c r="CP25" i="1"/>
  <c r="CP19" i="1"/>
  <c r="CP39" i="1"/>
  <c r="CP35" i="1"/>
  <c r="CP37" i="1"/>
  <c r="CP41" i="1"/>
  <c r="CP45" i="1"/>
  <c r="G78" i="1"/>
  <c r="E4" i="10" s="1"/>
  <c r="E19" i="10"/>
  <c r="D4" i="10"/>
  <c r="F106" i="4"/>
  <c r="X17" i="1"/>
  <c r="Y17" i="1" s="1"/>
  <c r="Z17" i="1" s="1"/>
  <c r="AA17" i="1" s="1"/>
  <c r="AB17" i="1" s="1"/>
  <c r="AC17" i="1" s="1"/>
  <c r="AD17" i="1" s="1"/>
  <c r="AE17" i="1" s="1"/>
  <c r="AF17" i="1" s="1"/>
  <c r="AG17" i="1" s="1"/>
  <c r="AH17" i="1" s="1"/>
  <c r="AI17" i="1" s="1"/>
  <c r="AJ17" i="1" s="1"/>
  <c r="AK17" i="1" s="1"/>
  <c r="AL17" i="1" s="1"/>
  <c r="AM17" i="1" s="1"/>
  <c r="AN17" i="1" s="1"/>
  <c r="AO17" i="1" s="1"/>
  <c r="AP17" i="1" s="1"/>
  <c r="AQ17" i="1" s="1"/>
  <c r="AR17" i="1" s="1"/>
  <c r="AS17" i="1" s="1"/>
  <c r="AT17" i="1" s="1"/>
  <c r="AU17" i="1" s="1"/>
  <c r="AV17" i="1" s="1"/>
  <c r="AW17" i="1" s="1"/>
  <c r="AX17" i="1" s="1"/>
  <c r="AY17" i="1" s="1"/>
  <c r="AZ17" i="1" s="1"/>
  <c r="BA17" i="1" s="1"/>
  <c r="BB17" i="1" s="1"/>
  <c r="BC17" i="1" s="1"/>
  <c r="BD17" i="1" s="1"/>
  <c r="BE17" i="1" s="1"/>
  <c r="BF17" i="1" s="1"/>
  <c r="BG17" i="1" s="1"/>
  <c r="BH17" i="1" s="1"/>
  <c r="BI17" i="1" s="1"/>
  <c r="BJ17" i="1" s="1"/>
  <c r="BK17" i="1" s="1"/>
  <c r="BL17" i="1" s="1"/>
  <c r="BM17" i="1" s="1"/>
  <c r="BN17" i="1" s="1"/>
  <c r="BO17" i="1" s="1"/>
  <c r="BP17" i="1" s="1"/>
  <c r="BQ17" i="1" s="1"/>
  <c r="BR17" i="1" s="1"/>
  <c r="BS17" i="1" s="1"/>
  <c r="BT17" i="1" s="1"/>
  <c r="BU17" i="1" s="1"/>
  <c r="BV17" i="1" s="1"/>
  <c r="BW17" i="1" s="1"/>
  <c r="BX17" i="1" s="1"/>
  <c r="BY17" i="1" s="1"/>
  <c r="CA17" i="1" s="1"/>
  <c r="CB17" i="1" s="1"/>
  <c r="CC17" i="1" s="1"/>
  <c r="CD17" i="1" s="1"/>
  <c r="CE17" i="1" s="1"/>
  <c r="CF17" i="1" s="1"/>
  <c r="CG17" i="1" s="1"/>
  <c r="CH17" i="1" s="1"/>
  <c r="CI17" i="1" s="1"/>
  <c r="CJ17" i="1" s="1"/>
  <c r="CK17" i="1" s="1"/>
  <c r="F421" i="6"/>
  <c r="F422" i="6" s="1"/>
  <c r="C6" i="10"/>
  <c r="L17" i="5"/>
  <c r="K17" i="5"/>
  <c r="O90" i="4"/>
  <c r="O95" i="4" s="1"/>
  <c r="J405" i="6"/>
  <c r="P90" i="4"/>
  <c r="P95" i="4" s="1"/>
  <c r="L90" i="4"/>
  <c r="L95" i="4" s="1"/>
  <c r="K90" i="4"/>
  <c r="K95" i="4" s="1"/>
  <c r="AZ71" i="4"/>
  <c r="BA71" i="4"/>
  <c r="BB71" i="4" s="1"/>
  <c r="BC71" i="4" s="1"/>
  <c r="V8" i="5"/>
  <c r="W8" i="5"/>
  <c r="L22" i="5"/>
  <c r="N16" i="5"/>
  <c r="M13" i="5"/>
  <c r="L408" i="6"/>
  <c r="L406" i="6"/>
  <c r="L407" i="6"/>
  <c r="K406" i="6"/>
  <c r="K408" i="6"/>
  <c r="K407" i="6"/>
  <c r="U57" i="6"/>
  <c r="Y3" i="6"/>
  <c r="Z3" i="6" s="1"/>
  <c r="AA3" i="6" s="1"/>
  <c r="J95" i="4"/>
  <c r="R89" i="4"/>
  <c r="Q86" i="4"/>
  <c r="AA82" i="4"/>
  <c r="V87" i="4" s="1"/>
  <c r="G84" i="1"/>
  <c r="F85" i="1"/>
  <c r="F84" i="1"/>
  <c r="F83" i="1"/>
  <c r="Q3" i="1"/>
  <c r="R3" i="1" s="1"/>
  <c r="N61" i="1"/>
  <c r="N73" i="1" s="1"/>
  <c r="H79" i="1"/>
  <c r="I405" i="6" l="1"/>
  <c r="I410" i="6" s="1"/>
  <c r="G83" i="1"/>
  <c r="G85" i="1"/>
  <c r="CM17" i="1"/>
  <c r="CN17" i="1" s="1"/>
  <c r="CO17" i="1" s="1"/>
  <c r="CL17" i="1"/>
  <c r="H78" i="1"/>
  <c r="E96" i="1" s="1"/>
  <c r="E97" i="1" s="1"/>
  <c r="F19" i="10"/>
  <c r="C20" i="10" s="1"/>
  <c r="AB3" i="6"/>
  <c r="E423" i="6"/>
  <c r="E424" i="6"/>
  <c r="L405" i="6"/>
  <c r="K405" i="6"/>
  <c r="BD71" i="4"/>
  <c r="BE71" i="4"/>
  <c r="BF71" i="4" s="1"/>
  <c r="BG71" i="4" s="1"/>
  <c r="U397" i="6"/>
  <c r="P402" i="6" s="1"/>
  <c r="M415" i="6" s="1"/>
  <c r="I416" i="6" s="1"/>
  <c r="V57" i="6"/>
  <c r="V397" i="6" s="1"/>
  <c r="Q402" i="6" s="1"/>
  <c r="J410" i="6"/>
  <c r="K22" i="5"/>
  <c r="I23" i="5" s="1"/>
  <c r="O16" i="5"/>
  <c r="N13" i="5"/>
  <c r="M18" i="5"/>
  <c r="M19" i="5"/>
  <c r="M20" i="5"/>
  <c r="X8" i="5"/>
  <c r="M96" i="4"/>
  <c r="S89" i="4"/>
  <c r="R86" i="4"/>
  <c r="Q91" i="4"/>
  <c r="Q93" i="4"/>
  <c r="Q92" i="4"/>
  <c r="I96" i="4"/>
  <c r="AB82" i="4"/>
  <c r="W87" i="4" s="1"/>
  <c r="G82" i="1"/>
  <c r="E5" i="10" s="1"/>
  <c r="E6" i="10" s="1"/>
  <c r="F82" i="1"/>
  <c r="D5" i="10" s="1"/>
  <c r="D6" i="10" s="1"/>
  <c r="H84" i="1"/>
  <c r="O61" i="1"/>
  <c r="O73" i="1" s="1"/>
  <c r="I79" i="1"/>
  <c r="CP17" i="1" l="1"/>
  <c r="I78" i="1"/>
  <c r="I83" i="1" s="1"/>
  <c r="G19" i="10"/>
  <c r="H83" i="1"/>
  <c r="H82" i="1" s="1"/>
  <c r="F5" i="10" s="1"/>
  <c r="H85" i="1"/>
  <c r="F4" i="10"/>
  <c r="C13" i="10" s="1"/>
  <c r="M404" i="6"/>
  <c r="M401" i="6" s="1"/>
  <c r="M406" i="6" s="1"/>
  <c r="AC3" i="6"/>
  <c r="M17" i="5"/>
  <c r="Q90" i="4"/>
  <c r="Q95" i="4" s="1"/>
  <c r="BH71" i="4"/>
  <c r="BI71" i="4"/>
  <c r="BJ71" i="4" s="1"/>
  <c r="BK71" i="4" s="1"/>
  <c r="E107" i="4"/>
  <c r="I107" i="4"/>
  <c r="L410" i="6"/>
  <c r="K410" i="6"/>
  <c r="N20" i="5"/>
  <c r="N19" i="5"/>
  <c r="N18" i="5"/>
  <c r="Y8" i="5"/>
  <c r="P16" i="5"/>
  <c r="P13" i="5" s="1"/>
  <c r="O13" i="5"/>
  <c r="G86" i="1"/>
  <c r="W57" i="6"/>
  <c r="W397" i="6" s="1"/>
  <c r="R402" i="6" s="1"/>
  <c r="T89" i="4"/>
  <c r="T86" i="4" s="1"/>
  <c r="S86" i="4"/>
  <c r="R92" i="4"/>
  <c r="R91" i="4"/>
  <c r="R93" i="4"/>
  <c r="AC82" i="4"/>
  <c r="S3" i="1"/>
  <c r="I85" i="1"/>
  <c r="F86" i="1"/>
  <c r="P61" i="1"/>
  <c r="P73" i="1" s="1"/>
  <c r="J79" i="1"/>
  <c r="F6" i="10" l="1"/>
  <c r="C7" i="10" s="1"/>
  <c r="X87" i="4"/>
  <c r="U89" i="4" s="1"/>
  <c r="J78" i="1"/>
  <c r="H4" i="10" s="1"/>
  <c r="H19" i="10"/>
  <c r="G4" i="10"/>
  <c r="I84" i="1"/>
  <c r="I82" i="1" s="1"/>
  <c r="N404" i="6"/>
  <c r="N401" i="6" s="1"/>
  <c r="N407" i="6" s="1"/>
  <c r="M408" i="6"/>
  <c r="M407" i="6"/>
  <c r="AD3" i="6"/>
  <c r="N17" i="5"/>
  <c r="N22" i="5" s="1"/>
  <c r="R90" i="4"/>
  <c r="R95" i="4" s="1"/>
  <c r="O404" i="6"/>
  <c r="I411" i="6"/>
  <c r="BL71" i="4"/>
  <c r="BM71" i="4"/>
  <c r="BN71" i="4" s="1"/>
  <c r="BO71" i="4" s="1"/>
  <c r="M22" i="5"/>
  <c r="P18" i="5"/>
  <c r="P19" i="5"/>
  <c r="P20" i="5"/>
  <c r="O18" i="5"/>
  <c r="O19" i="5"/>
  <c r="O20" i="5"/>
  <c r="Q16" i="5"/>
  <c r="Z8" i="5"/>
  <c r="U14" i="5" s="1"/>
  <c r="H86" i="1"/>
  <c r="E87" i="1" s="1"/>
  <c r="X57" i="6"/>
  <c r="X397" i="6" s="1"/>
  <c r="S402" i="6" s="1"/>
  <c r="T91" i="4"/>
  <c r="T92" i="4"/>
  <c r="T93" i="4"/>
  <c r="S92" i="4"/>
  <c r="S91" i="4"/>
  <c r="S93" i="4"/>
  <c r="AD82" i="4"/>
  <c r="Y87" i="4" s="1"/>
  <c r="T3" i="1"/>
  <c r="J84" i="1"/>
  <c r="Q61" i="1"/>
  <c r="K79" i="1"/>
  <c r="N406" i="6" l="1"/>
  <c r="N408" i="6"/>
  <c r="J83" i="1"/>
  <c r="J85" i="1"/>
  <c r="V89" i="4"/>
  <c r="U86" i="4"/>
  <c r="U93" i="4" s="1"/>
  <c r="K78" i="1"/>
  <c r="I19" i="10"/>
  <c r="M405" i="6"/>
  <c r="M410" i="6" s="1"/>
  <c r="O401" i="6"/>
  <c r="P404" i="6"/>
  <c r="P401" i="6" s="1"/>
  <c r="AE3" i="6"/>
  <c r="AF3" i="6" s="1"/>
  <c r="AG3" i="6" s="1"/>
  <c r="AH3" i="6" s="1"/>
  <c r="AI3" i="6" s="1"/>
  <c r="AJ3" i="6" s="1"/>
  <c r="AK3" i="6" s="1"/>
  <c r="AL3" i="6" s="1"/>
  <c r="AM3" i="6" s="1"/>
  <c r="AN3" i="6" s="1"/>
  <c r="AO3" i="6" s="1"/>
  <c r="AP3" i="6" s="1"/>
  <c r="AQ3" i="6" s="1"/>
  <c r="AR3" i="6" s="1"/>
  <c r="AS3" i="6" s="1"/>
  <c r="AT3" i="6" s="1"/>
  <c r="AU3" i="6" s="1"/>
  <c r="AV3" i="6" s="1"/>
  <c r="AW3" i="6" s="1"/>
  <c r="AX3" i="6" s="1"/>
  <c r="AY3" i="6" s="1"/>
  <c r="AZ3" i="6" s="1"/>
  <c r="BA3" i="6" s="1"/>
  <c r="BB3" i="6" s="1"/>
  <c r="Q73" i="1"/>
  <c r="R61" i="1"/>
  <c r="R73" i="1" s="1"/>
  <c r="O17" i="5"/>
  <c r="P17" i="5"/>
  <c r="P22" i="5" s="1"/>
  <c r="G5" i="10"/>
  <c r="G6" i="10" s="1"/>
  <c r="T90" i="4"/>
  <c r="T95" i="4" s="1"/>
  <c r="S90" i="4"/>
  <c r="S95" i="4" s="1"/>
  <c r="BP71" i="4"/>
  <c r="BQ71" i="4"/>
  <c r="BR71" i="4" s="1"/>
  <c r="BS71" i="4" s="1"/>
  <c r="AA8" i="5"/>
  <c r="V14" i="5" s="1"/>
  <c r="R16" i="5"/>
  <c r="Q13" i="5"/>
  <c r="C11" i="10"/>
  <c r="O408" i="6"/>
  <c r="Y57" i="6"/>
  <c r="W89" i="4"/>
  <c r="V86" i="4"/>
  <c r="U91" i="4"/>
  <c r="AE82" i="4"/>
  <c r="Z87" i="4" s="1"/>
  <c r="U3" i="1"/>
  <c r="V3" i="1" s="1"/>
  <c r="K85" i="1"/>
  <c r="K83" i="1"/>
  <c r="K84" i="1"/>
  <c r="I86" i="1"/>
  <c r="L79" i="1"/>
  <c r="N405" i="6" l="1"/>
  <c r="J82" i="1"/>
  <c r="H5" i="10" s="1"/>
  <c r="BC3" i="6"/>
  <c r="BD3" i="6" s="1"/>
  <c r="BE3" i="6" s="1"/>
  <c r="BF3" i="6" s="1"/>
  <c r="U92" i="4"/>
  <c r="L78" i="1"/>
  <c r="J4" i="10" s="1"/>
  <c r="J19" i="10"/>
  <c r="G20" i="10" s="1"/>
  <c r="C21" i="10" s="1"/>
  <c r="I4" i="10"/>
  <c r="F96" i="1"/>
  <c r="F97" i="1" s="1"/>
  <c r="E98" i="1" s="1"/>
  <c r="G421" i="6"/>
  <c r="G422" i="6" s="1"/>
  <c r="F424" i="6" s="1"/>
  <c r="O407" i="6"/>
  <c r="O406" i="6"/>
  <c r="P406" i="6"/>
  <c r="P408" i="6"/>
  <c r="P407" i="6"/>
  <c r="F423" i="6"/>
  <c r="U90" i="4"/>
  <c r="U95" i="4" s="1"/>
  <c r="BT71" i="4"/>
  <c r="BU71" i="4"/>
  <c r="BV71" i="4" s="1"/>
  <c r="BW71" i="4" s="1"/>
  <c r="Y397" i="6"/>
  <c r="T402" i="6" s="1"/>
  <c r="Z57" i="6"/>
  <c r="AA57" i="6" s="1"/>
  <c r="N410" i="6"/>
  <c r="O22" i="5"/>
  <c r="M23" i="5" s="1"/>
  <c r="Q18" i="5"/>
  <c r="Q20" i="5"/>
  <c r="Q19" i="5"/>
  <c r="AB8" i="5"/>
  <c r="W14" i="5" s="1"/>
  <c r="S16" i="5"/>
  <c r="R13" i="5"/>
  <c r="J86" i="1"/>
  <c r="Q96" i="4"/>
  <c r="V91" i="4"/>
  <c r="V92" i="4"/>
  <c r="V93" i="4"/>
  <c r="X89" i="4"/>
  <c r="X86" i="4" s="1"/>
  <c r="W86" i="4"/>
  <c r="AF82" i="4"/>
  <c r="AA87" i="4" s="1"/>
  <c r="K82" i="1"/>
  <c r="I5" i="10" s="1"/>
  <c r="L85" i="1"/>
  <c r="L84" i="1"/>
  <c r="L83" i="1"/>
  <c r="S61" i="1"/>
  <c r="S73" i="1" s="1"/>
  <c r="M79" i="1"/>
  <c r="BG3" i="6" l="1"/>
  <c r="BH3" i="6" s="1"/>
  <c r="BI3" i="6" s="1"/>
  <c r="BJ3" i="6" s="1"/>
  <c r="BK3" i="6" s="1"/>
  <c r="BL3" i="6" s="1"/>
  <c r="BM3" i="6" s="1"/>
  <c r="BN3" i="6" s="1"/>
  <c r="BO3" i="6" s="1"/>
  <c r="BP3" i="6" s="1"/>
  <c r="BQ3" i="6" s="1"/>
  <c r="BR3" i="6" s="1"/>
  <c r="BS3" i="6" s="1"/>
  <c r="BT3" i="6" s="1"/>
  <c r="BU3" i="6" s="1"/>
  <c r="BV3" i="6" s="1"/>
  <c r="BW3" i="6" s="1"/>
  <c r="BX3" i="6" s="1"/>
  <c r="BY3" i="6" s="1"/>
  <c r="BZ3" i="6" s="1"/>
  <c r="CA3" i="6" s="1"/>
  <c r="CB3" i="6" s="1"/>
  <c r="CC3" i="6" s="1"/>
  <c r="CD3" i="6" s="1"/>
  <c r="CE3" i="6" s="1"/>
  <c r="CF3" i="6" s="1"/>
  <c r="CG3" i="6" s="1"/>
  <c r="CH3" i="6" s="1"/>
  <c r="CI3" i="6" s="1"/>
  <c r="CJ3" i="6" s="1"/>
  <c r="CK3" i="6" s="1"/>
  <c r="Q404" i="6"/>
  <c r="Q401" i="6" s="1"/>
  <c r="Q408" i="6" s="1"/>
  <c r="Q415" i="6"/>
  <c r="M416" i="6" s="1"/>
  <c r="O405" i="6"/>
  <c r="M78" i="1"/>
  <c r="K19" i="10"/>
  <c r="G13" i="10"/>
  <c r="C15" i="10" s="1"/>
  <c r="P405" i="6"/>
  <c r="P410" i="6" s="1"/>
  <c r="AB57" i="6"/>
  <c r="AA397" i="6"/>
  <c r="V402" i="6" s="1"/>
  <c r="Q17" i="5"/>
  <c r="R404" i="6"/>
  <c r="V90" i="4"/>
  <c r="Z397" i="6"/>
  <c r="U402" i="6" s="1"/>
  <c r="M107" i="4"/>
  <c r="BY71" i="4"/>
  <c r="BZ71" i="4" s="1"/>
  <c r="CA71" i="4" s="1"/>
  <c r="BX71" i="4"/>
  <c r="O410" i="6"/>
  <c r="T16" i="5"/>
  <c r="T13" i="5" s="1"/>
  <c r="S13" i="5"/>
  <c r="R19" i="5"/>
  <c r="R18" i="5"/>
  <c r="R20" i="5"/>
  <c r="K86" i="1"/>
  <c r="I6" i="10"/>
  <c r="Q406" i="6"/>
  <c r="H6" i="10"/>
  <c r="X91" i="4"/>
  <c r="X93" i="4"/>
  <c r="X92" i="4"/>
  <c r="V95" i="4"/>
  <c r="W92" i="4"/>
  <c r="W91" i="4"/>
  <c r="W93" i="4"/>
  <c r="AG82" i="4"/>
  <c r="AB87" i="4" s="1"/>
  <c r="W3" i="1"/>
  <c r="M85" i="1"/>
  <c r="M84" i="1"/>
  <c r="M83" i="1"/>
  <c r="L82" i="1"/>
  <c r="T61" i="1"/>
  <c r="T73" i="1" s="1"/>
  <c r="N79" i="1"/>
  <c r="Q407" i="6" l="1"/>
  <c r="CL3" i="6"/>
  <c r="CM3" i="6" s="1"/>
  <c r="CN3" i="6" s="1"/>
  <c r="CO3" i="6" s="1"/>
  <c r="N78" i="1"/>
  <c r="L4" i="10" s="1"/>
  <c r="L19" i="10"/>
  <c r="K4" i="10"/>
  <c r="S404" i="6"/>
  <c r="T404" i="6" s="1"/>
  <c r="T401" i="6" s="1"/>
  <c r="R401" i="6"/>
  <c r="R408" i="6" s="1"/>
  <c r="AC57" i="6"/>
  <c r="AB397" i="6"/>
  <c r="W402" i="6" s="1"/>
  <c r="R17" i="5"/>
  <c r="R22" i="5" s="1"/>
  <c r="R407" i="6"/>
  <c r="J5" i="10"/>
  <c r="J6" i="10" s="1"/>
  <c r="G7" i="10" s="1"/>
  <c r="Q405" i="6"/>
  <c r="X90" i="4"/>
  <c r="X95" i="4" s="1"/>
  <c r="W90" i="4"/>
  <c r="W95" i="4" s="1"/>
  <c r="M411" i="6"/>
  <c r="CC71" i="4"/>
  <c r="CD71" i="4" s="1"/>
  <c r="CE71" i="4" s="1"/>
  <c r="CB71" i="4"/>
  <c r="AC8" i="5"/>
  <c r="X14" i="5" s="1"/>
  <c r="U16" i="5" s="1"/>
  <c r="AD8" i="5"/>
  <c r="Y14" i="5" s="1"/>
  <c r="CK403" i="6"/>
  <c r="Q22" i="5"/>
  <c r="S18" i="5"/>
  <c r="S19" i="5"/>
  <c r="S20" i="5"/>
  <c r="T18" i="5"/>
  <c r="T19" i="5"/>
  <c r="T20" i="5"/>
  <c r="Y89" i="4"/>
  <c r="Z89" i="4" s="1"/>
  <c r="AA89" i="4" s="1"/>
  <c r="AB89" i="4" s="1"/>
  <c r="AH82" i="4"/>
  <c r="AC87" i="4" s="1"/>
  <c r="AI3" i="4"/>
  <c r="X3" i="1"/>
  <c r="N84" i="1"/>
  <c r="L86" i="1"/>
  <c r="M82" i="1"/>
  <c r="K5" i="10" s="1"/>
  <c r="U61" i="1"/>
  <c r="O79" i="1"/>
  <c r="S401" i="6" l="1"/>
  <c r="S406" i="6" s="1"/>
  <c r="O78" i="1"/>
  <c r="M4" i="10" s="1"/>
  <c r="M19" i="10"/>
  <c r="N83" i="1"/>
  <c r="N82" i="1" s="1"/>
  <c r="L5" i="10" s="1"/>
  <c r="N85" i="1"/>
  <c r="AD57" i="6"/>
  <c r="AC397" i="6"/>
  <c r="X402" i="6" s="1"/>
  <c r="U415" i="6" s="1"/>
  <c r="Q416" i="6" s="1"/>
  <c r="U73" i="1"/>
  <c r="V61" i="1"/>
  <c r="V73" i="1" s="1"/>
  <c r="T17" i="5"/>
  <c r="S17" i="5"/>
  <c r="R406" i="6"/>
  <c r="R405" i="6" s="1"/>
  <c r="CG71" i="4"/>
  <c r="CH71" i="4" s="1"/>
  <c r="CI71" i="4" s="1"/>
  <c r="CF71" i="4"/>
  <c r="Q410" i="6"/>
  <c r="T22" i="5"/>
  <c r="V16" i="5"/>
  <c r="U13" i="5"/>
  <c r="S22" i="5"/>
  <c r="AE8" i="5"/>
  <c r="Z14" i="5" s="1"/>
  <c r="U96" i="4"/>
  <c r="Q107" i="4" s="1"/>
  <c r="M86" i="1"/>
  <c r="K6" i="10"/>
  <c r="T408" i="6"/>
  <c r="T406" i="6"/>
  <c r="T407" i="6"/>
  <c r="I87" i="1"/>
  <c r="G11" i="10" s="1"/>
  <c r="Y86" i="4"/>
  <c r="AJ3" i="4"/>
  <c r="AI82" i="4"/>
  <c r="AD87" i="4" s="1"/>
  <c r="Y3" i="1"/>
  <c r="Z3" i="1" s="1"/>
  <c r="AA3" i="1" s="1"/>
  <c r="AB3" i="1" s="1"/>
  <c r="AC3" i="1" s="1"/>
  <c r="AD3" i="1" s="1"/>
  <c r="AE3" i="1" s="1"/>
  <c r="AF3" i="1" s="1"/>
  <c r="AG3" i="1" s="1"/>
  <c r="AH3" i="1" s="1"/>
  <c r="AI3" i="1" s="1"/>
  <c r="AJ3" i="1" s="1"/>
  <c r="AK3" i="1" s="1"/>
  <c r="AL3" i="1" s="1"/>
  <c r="AM3" i="1" s="1"/>
  <c r="AN3" i="1" s="1"/>
  <c r="AO3" i="1" s="1"/>
  <c r="AP3" i="1" s="1"/>
  <c r="AQ3" i="1" s="1"/>
  <c r="AR3" i="1" s="1"/>
  <c r="AS3" i="1" s="1"/>
  <c r="AT3" i="1" s="1"/>
  <c r="AU3" i="1" s="1"/>
  <c r="AV3" i="1" s="1"/>
  <c r="AW3" i="1" s="1"/>
  <c r="AX3" i="1" s="1"/>
  <c r="AY3" i="1" s="1"/>
  <c r="AZ3" i="1" s="1"/>
  <c r="BA3" i="1" s="1"/>
  <c r="BB3" i="1" s="1"/>
  <c r="BC3" i="1" s="1"/>
  <c r="BD3" i="1" s="1"/>
  <c r="BE3" i="1" s="1"/>
  <c r="BF3" i="1" s="1"/>
  <c r="BG3" i="1" s="1"/>
  <c r="BH3" i="1" s="1"/>
  <c r="BI3" i="1" s="1"/>
  <c r="BJ3" i="1" s="1"/>
  <c r="BK3" i="1" s="1"/>
  <c r="BL3" i="1" s="1"/>
  <c r="BM3" i="1" s="1"/>
  <c r="BN3" i="1" s="1"/>
  <c r="BO3" i="1" s="1"/>
  <c r="BP3" i="1" s="1"/>
  <c r="BQ3" i="1" s="1"/>
  <c r="BR3" i="1" s="1"/>
  <c r="BS3" i="1" s="1"/>
  <c r="BT3" i="1" s="1"/>
  <c r="BU3" i="1" s="1"/>
  <c r="BV3" i="1" s="1"/>
  <c r="BW3" i="1" s="1"/>
  <c r="BX3" i="1" s="1"/>
  <c r="BY3" i="1" s="1"/>
  <c r="CA3" i="1" s="1"/>
  <c r="CB3" i="1" s="1"/>
  <c r="CC3" i="1" s="1"/>
  <c r="CD3" i="1" s="1"/>
  <c r="CE3" i="1" s="1"/>
  <c r="CF3" i="1" s="1"/>
  <c r="CG3" i="1" s="1"/>
  <c r="CH3" i="1" s="1"/>
  <c r="CI3" i="1" s="1"/>
  <c r="CJ3" i="1" s="1"/>
  <c r="CK3" i="1" s="1"/>
  <c r="CL3" i="1" s="1"/>
  <c r="O84" i="1"/>
  <c r="P79" i="1"/>
  <c r="S408" i="6" l="1"/>
  <c r="S407" i="6"/>
  <c r="P78" i="1"/>
  <c r="G96" i="1" s="1"/>
  <c r="G97" i="1" s="1"/>
  <c r="F98" i="1" s="1"/>
  <c r="N19" i="10"/>
  <c r="K20" i="10" s="1"/>
  <c r="G21" i="10" s="1"/>
  <c r="CM3" i="1"/>
  <c r="CN3" i="1" s="1"/>
  <c r="CO3" i="1" s="1"/>
  <c r="O83" i="1"/>
  <c r="O85" i="1"/>
  <c r="AE57" i="6"/>
  <c r="AF57" i="6" s="1"/>
  <c r="AG57" i="6" s="1"/>
  <c r="AH57" i="6" s="1"/>
  <c r="AI57" i="6" s="1"/>
  <c r="AJ57" i="6" s="1"/>
  <c r="AK57" i="6" s="1"/>
  <c r="AL57" i="6" s="1"/>
  <c r="AM57" i="6" s="1"/>
  <c r="AN57" i="6" s="1"/>
  <c r="AO57" i="6" s="1"/>
  <c r="AP57" i="6" s="1"/>
  <c r="AQ57" i="6" s="1"/>
  <c r="AR57" i="6" s="1"/>
  <c r="AS57" i="6" s="1"/>
  <c r="AT57" i="6" s="1"/>
  <c r="AU57" i="6" s="1"/>
  <c r="AV57" i="6" s="1"/>
  <c r="AW57" i="6" s="1"/>
  <c r="AX57" i="6" s="1"/>
  <c r="AY57" i="6" s="1"/>
  <c r="AZ57" i="6" s="1"/>
  <c r="BA57" i="6" s="1"/>
  <c r="BB57" i="6" s="1"/>
  <c r="AD397" i="6"/>
  <c r="Y402" i="6" s="1"/>
  <c r="T405" i="6"/>
  <c r="N4" i="10"/>
  <c r="K13" i="10" s="1"/>
  <c r="G15" i="10" s="1"/>
  <c r="CK71" i="4"/>
  <c r="CL71" i="4" s="1"/>
  <c r="CM71" i="4" s="1"/>
  <c r="CJ71" i="4"/>
  <c r="U404" i="6"/>
  <c r="U401" i="6" s="1"/>
  <c r="R410" i="6"/>
  <c r="Q23" i="5"/>
  <c r="W16" i="5"/>
  <c r="V13" i="5"/>
  <c r="AF8" i="5"/>
  <c r="AA14" i="5" s="1"/>
  <c r="U18" i="5"/>
  <c r="U20" i="5"/>
  <c r="U19" i="5"/>
  <c r="N86" i="1"/>
  <c r="L6" i="10"/>
  <c r="Z86" i="4"/>
  <c r="Y91" i="4"/>
  <c r="Y93" i="4"/>
  <c r="Y92" i="4"/>
  <c r="AJ82" i="4"/>
  <c r="AE87" i="4" s="1"/>
  <c r="AK3" i="4"/>
  <c r="P84" i="1"/>
  <c r="O82" i="1"/>
  <c r="M5" i="10" s="1"/>
  <c r="W61" i="1"/>
  <c r="W73" i="1" s="1"/>
  <c r="Q79" i="1"/>
  <c r="S405" i="6" l="1"/>
  <c r="BC57" i="6"/>
  <c r="BD57" i="6" s="1"/>
  <c r="BE57" i="6" s="1"/>
  <c r="BF57" i="6" s="1"/>
  <c r="BE397" i="6"/>
  <c r="Q78" i="1"/>
  <c r="O4" i="10" s="1"/>
  <c r="O19" i="10"/>
  <c r="P83" i="1"/>
  <c r="P85" i="1"/>
  <c r="U17" i="5"/>
  <c r="Y90" i="4"/>
  <c r="Y95" i="4" s="1"/>
  <c r="CO71" i="4"/>
  <c r="CN71" i="4"/>
  <c r="AL3" i="4"/>
  <c r="AM3" i="4" s="1"/>
  <c r="AN3" i="4" s="1"/>
  <c r="AO3" i="4" s="1"/>
  <c r="AP3" i="4" s="1"/>
  <c r="AQ3" i="4" s="1"/>
  <c r="AR3" i="4" s="1"/>
  <c r="AS3" i="4" s="1"/>
  <c r="AT3" i="4" s="1"/>
  <c r="AU3" i="4" s="1"/>
  <c r="AV3" i="4" s="1"/>
  <c r="AW3" i="4" s="1"/>
  <c r="AX3" i="4" s="1"/>
  <c r="AY3" i="4" s="1"/>
  <c r="AZ3" i="4" s="1"/>
  <c r="BA3" i="4" s="1"/>
  <c r="BB3" i="4" s="1"/>
  <c r="BC3" i="4" s="1"/>
  <c r="BD3" i="4" s="1"/>
  <c r="BE3" i="4" s="1"/>
  <c r="BF3" i="4" s="1"/>
  <c r="BG3" i="4" s="1"/>
  <c r="BH3" i="4" s="1"/>
  <c r="BI3" i="4" s="1"/>
  <c r="BJ3" i="4" s="1"/>
  <c r="BK3" i="4" s="1"/>
  <c r="V404" i="6"/>
  <c r="W404" i="6" s="1"/>
  <c r="W401" i="6" s="1"/>
  <c r="S410" i="6"/>
  <c r="T410" i="6"/>
  <c r="U22" i="5"/>
  <c r="X16" i="5"/>
  <c r="X13" i="5" s="1"/>
  <c r="W13" i="5"/>
  <c r="V19" i="5"/>
  <c r="V18" i="5"/>
  <c r="V20" i="5"/>
  <c r="O86" i="1"/>
  <c r="M6" i="10"/>
  <c r="U406" i="6"/>
  <c r="U408" i="6"/>
  <c r="U407" i="6"/>
  <c r="AE397" i="6"/>
  <c r="Z402" i="6" s="1"/>
  <c r="Z92" i="4"/>
  <c r="Z91" i="4"/>
  <c r="Z93" i="4"/>
  <c r="AB86" i="4"/>
  <c r="AA86" i="4"/>
  <c r="AK82" i="4"/>
  <c r="AF87" i="4" s="1"/>
  <c r="Q85" i="1"/>
  <c r="Q84" i="1"/>
  <c r="Q83" i="1"/>
  <c r="P82" i="1"/>
  <c r="N5" i="10" s="1"/>
  <c r="X61" i="1"/>
  <c r="X73" i="1" s="1"/>
  <c r="R79" i="1"/>
  <c r="BG57" i="6" l="1"/>
  <c r="BH57" i="6" s="1"/>
  <c r="BI57" i="6" s="1"/>
  <c r="BJ57" i="6" s="1"/>
  <c r="BK57" i="6" s="1"/>
  <c r="BL57" i="6" s="1"/>
  <c r="BM57" i="6" s="1"/>
  <c r="BN57" i="6" s="1"/>
  <c r="BO57" i="6" s="1"/>
  <c r="BP57" i="6" s="1"/>
  <c r="BQ57" i="6" s="1"/>
  <c r="BR57" i="6" s="1"/>
  <c r="BS57" i="6" s="1"/>
  <c r="BT57" i="6" s="1"/>
  <c r="BU57" i="6" s="1"/>
  <c r="BV57" i="6" s="1"/>
  <c r="BW57" i="6" s="1"/>
  <c r="BX57" i="6" s="1"/>
  <c r="BY57" i="6" s="1"/>
  <c r="BZ57" i="6" s="1"/>
  <c r="CA57" i="6" s="1"/>
  <c r="CB57" i="6" s="1"/>
  <c r="CC57" i="6" s="1"/>
  <c r="CD57" i="6" s="1"/>
  <c r="CE57" i="6" s="1"/>
  <c r="CF57" i="6" s="1"/>
  <c r="CG57" i="6" s="1"/>
  <c r="CH57" i="6" s="1"/>
  <c r="CI57" i="6" s="1"/>
  <c r="CJ57" i="6" s="1"/>
  <c r="CK57" i="6" s="1"/>
  <c r="CL57" i="6" s="1"/>
  <c r="CM57" i="6" s="1"/>
  <c r="CN57" i="6" s="1"/>
  <c r="CO57" i="6" s="1"/>
  <c r="BF397" i="6"/>
  <c r="BL3" i="4"/>
  <c r="BK82" i="4"/>
  <c r="BF87" i="4" s="1"/>
  <c r="R78" i="1"/>
  <c r="P4" i="10" s="1"/>
  <c r="P19" i="10"/>
  <c r="V17" i="5"/>
  <c r="Z90" i="4"/>
  <c r="Z95" i="4" s="1"/>
  <c r="U405" i="6"/>
  <c r="V401" i="6"/>
  <c r="V408" i="6" s="1"/>
  <c r="Q411" i="6"/>
  <c r="AG8" i="5"/>
  <c r="AB14" i="5" s="1"/>
  <c r="Y16" i="5" s="1"/>
  <c r="Y13" i="5" s="1"/>
  <c r="V22" i="5"/>
  <c r="AH8" i="5"/>
  <c r="AC14" i="5" s="1"/>
  <c r="W19" i="5"/>
  <c r="W18" i="5"/>
  <c r="W20" i="5"/>
  <c r="X19" i="5"/>
  <c r="X20" i="5"/>
  <c r="X18" i="5"/>
  <c r="P86" i="1"/>
  <c r="N6" i="10"/>
  <c r="K7" i="10" s="1"/>
  <c r="X404" i="6"/>
  <c r="X401" i="6" s="1"/>
  <c r="AF397" i="6"/>
  <c r="AA402" i="6" s="1"/>
  <c r="AB91" i="4"/>
  <c r="AB92" i="4"/>
  <c r="AB93" i="4"/>
  <c r="AA92" i="4"/>
  <c r="AA91" i="4"/>
  <c r="AA93" i="4"/>
  <c r="AL82" i="4"/>
  <c r="AG87" i="4" s="1"/>
  <c r="R85" i="1"/>
  <c r="R84" i="1"/>
  <c r="R83" i="1"/>
  <c r="Q82" i="1"/>
  <c r="O5" i="10" s="1"/>
  <c r="Y61" i="1"/>
  <c r="S79" i="1"/>
  <c r="BM3" i="4" l="1"/>
  <c r="BL82" i="4"/>
  <c r="BG87" i="4" s="1"/>
  <c r="S78" i="1"/>
  <c r="Q4" i="10" s="1"/>
  <c r="Q19" i="10"/>
  <c r="Y73" i="1"/>
  <c r="Z61" i="1"/>
  <c r="AA61" i="1" s="1"/>
  <c r="AB61" i="1" s="1"/>
  <c r="AC61" i="1" s="1"/>
  <c r="AD61" i="1" s="1"/>
  <c r="AE61" i="1" s="1"/>
  <c r="AF61" i="1" s="1"/>
  <c r="AG61" i="1" s="1"/>
  <c r="AH61" i="1" s="1"/>
  <c r="AI61" i="1" s="1"/>
  <c r="AJ61" i="1" s="1"/>
  <c r="AK61" i="1" s="1"/>
  <c r="AL61" i="1" s="1"/>
  <c r="AM61" i="1" s="1"/>
  <c r="AN61" i="1" s="1"/>
  <c r="AO61" i="1" s="1"/>
  <c r="AP61" i="1" s="1"/>
  <c r="AQ61" i="1" s="1"/>
  <c r="AR61" i="1" s="1"/>
  <c r="AS61" i="1" s="1"/>
  <c r="AT61" i="1" s="1"/>
  <c r="AU61" i="1" s="1"/>
  <c r="AV61" i="1" s="1"/>
  <c r="AW61" i="1" s="1"/>
  <c r="AX61" i="1" s="1"/>
  <c r="AY61" i="1" s="1"/>
  <c r="AZ61" i="1" s="1"/>
  <c r="BA61" i="1" s="1"/>
  <c r="BB61" i="1" s="1"/>
  <c r="BC61" i="1" s="1"/>
  <c r="BD61" i="1" s="1"/>
  <c r="BE61" i="1" s="1"/>
  <c r="BF61" i="1" s="1"/>
  <c r="BG61" i="1" s="1"/>
  <c r="BH61" i="1" s="1"/>
  <c r="BI61" i="1" s="1"/>
  <c r="BJ61" i="1" s="1"/>
  <c r="BK61" i="1" s="1"/>
  <c r="BL61" i="1" s="1"/>
  <c r="BM61" i="1" s="1"/>
  <c r="BN61" i="1" s="1"/>
  <c r="BO61" i="1" s="1"/>
  <c r="BP61" i="1" s="1"/>
  <c r="BQ61" i="1" s="1"/>
  <c r="BR61" i="1" s="1"/>
  <c r="BS61" i="1" s="1"/>
  <c r="BT61" i="1" s="1"/>
  <c r="BU61" i="1" s="1"/>
  <c r="BV61" i="1" s="1"/>
  <c r="BW61" i="1" s="1"/>
  <c r="BX61" i="1" s="1"/>
  <c r="BY61" i="1" s="1"/>
  <c r="CA61" i="1" s="1"/>
  <c r="CB61" i="1" s="1"/>
  <c r="CC61" i="1" s="1"/>
  <c r="CD61" i="1" s="1"/>
  <c r="CE61" i="1" s="1"/>
  <c r="CF61" i="1" s="1"/>
  <c r="CG61" i="1" s="1"/>
  <c r="CH61" i="1" s="1"/>
  <c r="CI61" i="1" s="1"/>
  <c r="CJ61" i="1" s="1"/>
  <c r="CK61" i="1" s="1"/>
  <c r="CL61" i="1" s="1"/>
  <c r="X17" i="5"/>
  <c r="W17" i="5"/>
  <c r="AA90" i="4"/>
  <c r="AB90" i="4"/>
  <c r="V406" i="6"/>
  <c r="V407" i="6"/>
  <c r="U410" i="6"/>
  <c r="W22" i="5"/>
  <c r="X22" i="5"/>
  <c r="AI8" i="5"/>
  <c r="AD14" i="5" s="1"/>
  <c r="Z16" i="5"/>
  <c r="Q86" i="1"/>
  <c r="O6" i="10"/>
  <c r="W406" i="6"/>
  <c r="W408" i="6"/>
  <c r="W407" i="6"/>
  <c r="M87" i="1"/>
  <c r="K11" i="10" s="1"/>
  <c r="X408" i="6"/>
  <c r="X406" i="6"/>
  <c r="X407" i="6"/>
  <c r="AA95" i="4"/>
  <c r="AD89" i="4"/>
  <c r="AC86" i="4"/>
  <c r="AB95" i="4"/>
  <c r="CP25" i="4"/>
  <c r="AM82" i="4"/>
  <c r="AH87" i="4" s="1"/>
  <c r="R82" i="1"/>
  <c r="P5" i="10" s="1"/>
  <c r="S85" i="1"/>
  <c r="S83" i="1"/>
  <c r="S84" i="1"/>
  <c r="T79" i="1"/>
  <c r="BN3" i="4" l="1"/>
  <c r="BM82" i="4"/>
  <c r="BH87" i="4" s="1"/>
  <c r="T78" i="1"/>
  <c r="R19" i="10"/>
  <c r="O20" i="10" s="1"/>
  <c r="K21" i="10" s="1"/>
  <c r="CM61" i="1"/>
  <c r="CN61" i="1" s="1"/>
  <c r="CO61" i="1" s="1"/>
  <c r="CL73" i="1"/>
  <c r="Z73" i="1"/>
  <c r="U79" i="1" s="1"/>
  <c r="X405" i="6"/>
  <c r="V405" i="6"/>
  <c r="W405" i="6"/>
  <c r="R4" i="10"/>
  <c r="O13" i="10" s="1"/>
  <c r="K15" i="10" s="1"/>
  <c r="AG397" i="6"/>
  <c r="AB402" i="6" s="1"/>
  <c r="V410" i="6"/>
  <c r="Y96" i="4"/>
  <c r="U107" i="4" s="1"/>
  <c r="U23" i="5"/>
  <c r="AA16" i="5"/>
  <c r="Z13" i="5"/>
  <c r="AJ8" i="5"/>
  <c r="AE14" i="5" s="1"/>
  <c r="Y18" i="5"/>
  <c r="Y20" i="5"/>
  <c r="Y19" i="5"/>
  <c r="R86" i="1"/>
  <c r="P6" i="10"/>
  <c r="AE89" i="4"/>
  <c r="AD86" i="4"/>
  <c r="AC91" i="4"/>
  <c r="AC93" i="4"/>
  <c r="AC92" i="4"/>
  <c r="AN82" i="4"/>
  <c r="AI87" i="4" s="1"/>
  <c r="T85" i="1"/>
  <c r="T84" i="1"/>
  <c r="T83" i="1"/>
  <c r="S82" i="1"/>
  <c r="Q5" i="10" s="1"/>
  <c r="AA73" i="1"/>
  <c r="V79" i="1" s="1"/>
  <c r="T19" i="10" s="1"/>
  <c r="X33" i="10" l="1"/>
  <c r="Y404" i="6"/>
  <c r="Y401" i="6" s="1"/>
  <c r="Y415" i="6"/>
  <c r="U416" i="6" s="1"/>
  <c r="BO3" i="4"/>
  <c r="BN82" i="4"/>
  <c r="BI87" i="4" s="1"/>
  <c r="S19" i="10"/>
  <c r="U78" i="1"/>
  <c r="S4" i="10" s="1"/>
  <c r="Z404" i="6"/>
  <c r="Z401" i="6" s="1"/>
  <c r="Y17" i="5"/>
  <c r="Y22" i="5" s="1"/>
  <c r="AC90" i="4"/>
  <c r="AC95" i="4" s="1"/>
  <c r="AH397" i="6"/>
  <c r="AC402" i="6" s="1"/>
  <c r="W410" i="6"/>
  <c r="X410" i="6"/>
  <c r="AK8" i="5"/>
  <c r="AF14" i="5" s="1"/>
  <c r="Z19" i="5"/>
  <c r="Z18" i="5"/>
  <c r="Z20" i="5"/>
  <c r="AB16" i="5"/>
  <c r="AB13" i="5" s="1"/>
  <c r="AA13" i="5"/>
  <c r="S86" i="1"/>
  <c r="Q6" i="10"/>
  <c r="AI397" i="6"/>
  <c r="AD402" i="6" s="1"/>
  <c r="AF89" i="4"/>
  <c r="AF86" i="4" s="1"/>
  <c r="AE86" i="4"/>
  <c r="AD91" i="4"/>
  <c r="AD92" i="4"/>
  <c r="AD93" i="4"/>
  <c r="AO82" i="4"/>
  <c r="AJ87" i="4" s="1"/>
  <c r="CP72" i="1"/>
  <c r="U85" i="1"/>
  <c r="U83" i="1"/>
  <c r="T82" i="1"/>
  <c r="R5" i="10" s="1"/>
  <c r="AB73" i="1"/>
  <c r="W79" i="1" s="1"/>
  <c r="U19" i="10" s="1"/>
  <c r="V78" i="1"/>
  <c r="T4" i="10" s="1"/>
  <c r="AA404" i="6" l="1"/>
  <c r="AA401" i="6" s="1"/>
  <c r="BP3" i="4"/>
  <c r="BO82" i="4"/>
  <c r="BJ87" i="4" s="1"/>
  <c r="U84" i="1"/>
  <c r="U82" i="1" s="1"/>
  <c r="S5" i="10" s="1"/>
  <c r="Z17" i="5"/>
  <c r="AD90" i="4"/>
  <c r="AD95" i="4" s="1"/>
  <c r="Y407" i="6"/>
  <c r="Y406" i="6"/>
  <c r="U411" i="6"/>
  <c r="Y408" i="6"/>
  <c r="AA18" i="5"/>
  <c r="AA19" i="5"/>
  <c r="AA20" i="5"/>
  <c r="AB18" i="5"/>
  <c r="AB19" i="5"/>
  <c r="AB20" i="5"/>
  <c r="Z22" i="5"/>
  <c r="AC16" i="5"/>
  <c r="AL8" i="5"/>
  <c r="AG14" i="5" s="1"/>
  <c r="T86" i="1"/>
  <c r="R6" i="10"/>
  <c r="O7" i="10" s="1"/>
  <c r="Z408" i="6"/>
  <c r="Z407" i="6"/>
  <c r="Z406" i="6"/>
  <c r="AB404" i="6"/>
  <c r="AB401" i="6" s="1"/>
  <c r="AJ397" i="6"/>
  <c r="AE402" i="6" s="1"/>
  <c r="AG89" i="4"/>
  <c r="AF91" i="4"/>
  <c r="AF93" i="4"/>
  <c r="AF92" i="4"/>
  <c r="AE92" i="4"/>
  <c r="AE91" i="4"/>
  <c r="AE93" i="4"/>
  <c r="AP82" i="4"/>
  <c r="AK87" i="4" s="1"/>
  <c r="V85" i="1"/>
  <c r="V84" i="1"/>
  <c r="V83" i="1"/>
  <c r="AC73" i="1"/>
  <c r="X79" i="1" s="1"/>
  <c r="V19" i="10" s="1"/>
  <c r="W78" i="1"/>
  <c r="U4" i="10" s="1"/>
  <c r="S20" i="10" l="1"/>
  <c r="O21" i="10" s="1"/>
  <c r="BQ3" i="4"/>
  <c r="BP82" i="4"/>
  <c r="BK87" i="4" s="1"/>
  <c r="AA17" i="5"/>
  <c r="AB17" i="5"/>
  <c r="Z405" i="6"/>
  <c r="Y405" i="6"/>
  <c r="AE90" i="4"/>
  <c r="AE95" i="4" s="1"/>
  <c r="AF90" i="4"/>
  <c r="AF95" i="4" s="1"/>
  <c r="AM8" i="5"/>
  <c r="AH14" i="5" s="1"/>
  <c r="AB22" i="5"/>
  <c r="AD16" i="5"/>
  <c r="AC13" i="5"/>
  <c r="AA22" i="5"/>
  <c r="U86" i="1"/>
  <c r="S6" i="10"/>
  <c r="AA406" i="6"/>
  <c r="AA408" i="6"/>
  <c r="AA407" i="6"/>
  <c r="Q87" i="1"/>
  <c r="O11" i="10" s="1"/>
  <c r="AB408" i="6"/>
  <c r="AB406" i="6"/>
  <c r="AB407" i="6"/>
  <c r="AK397" i="6"/>
  <c r="AF402" i="6" s="1"/>
  <c r="AC404" i="6" s="1"/>
  <c r="AH89" i="4"/>
  <c r="AG86" i="4"/>
  <c r="AQ82" i="4"/>
  <c r="AL87" i="4" s="1"/>
  <c r="W85" i="1"/>
  <c r="W84" i="1"/>
  <c r="W83" i="1"/>
  <c r="V82" i="1"/>
  <c r="T5" i="10" s="1"/>
  <c r="AD73" i="1"/>
  <c r="X78" i="1"/>
  <c r="AC415" i="6" l="1"/>
  <c r="Y416" i="6" s="1"/>
  <c r="BR3" i="4"/>
  <c r="BQ82" i="4"/>
  <c r="BL87" i="4" s="1"/>
  <c r="AB405" i="6"/>
  <c r="AA405" i="6"/>
  <c r="V4" i="10"/>
  <c r="S13" i="10" s="1"/>
  <c r="O15" i="10" s="1"/>
  <c r="Y410" i="6"/>
  <c r="Z410" i="6"/>
  <c r="Y23" i="5"/>
  <c r="AC18" i="5"/>
  <c r="AC19" i="5"/>
  <c r="AC20" i="5"/>
  <c r="AE16" i="5"/>
  <c r="AD13" i="5"/>
  <c r="AN8" i="5"/>
  <c r="AI14" i="5" s="1"/>
  <c r="AD404" i="6"/>
  <c r="AC401" i="6"/>
  <c r="V86" i="1"/>
  <c r="T6" i="10"/>
  <c r="AL397" i="6"/>
  <c r="AG402" i="6" s="1"/>
  <c r="AC96" i="4"/>
  <c r="AG91" i="4"/>
  <c r="AG93" i="4"/>
  <c r="AG92" i="4"/>
  <c r="AI89" i="4"/>
  <c r="AH86" i="4"/>
  <c r="AR82" i="4"/>
  <c r="AM87" i="4" s="1"/>
  <c r="X85" i="1"/>
  <c r="X84" i="1"/>
  <c r="X83" i="1"/>
  <c r="W82" i="1"/>
  <c r="U5" i="10" s="1"/>
  <c r="AE73" i="1"/>
  <c r="Y79" i="1"/>
  <c r="BS3" i="4" l="1"/>
  <c r="BR82" i="4"/>
  <c r="BM87" i="4" s="1"/>
  <c r="Y78" i="1"/>
  <c r="W4" i="10" s="1"/>
  <c r="W19" i="10"/>
  <c r="AC17" i="5"/>
  <c r="AC22" i="5" s="1"/>
  <c r="AG90" i="4"/>
  <c r="AG95" i="4" s="1"/>
  <c r="Y107" i="4"/>
  <c r="AB410" i="6"/>
  <c r="AA410" i="6"/>
  <c r="AO8" i="5"/>
  <c r="AJ14" i="5" s="1"/>
  <c r="AD20" i="5"/>
  <c r="AD19" i="5"/>
  <c r="AD18" i="5"/>
  <c r="AF16" i="5"/>
  <c r="AF13" i="5" s="1"/>
  <c r="AE13" i="5"/>
  <c r="W86" i="1"/>
  <c r="U6" i="10"/>
  <c r="AC406" i="6"/>
  <c r="AC408" i="6"/>
  <c r="AC407" i="6"/>
  <c r="AE404" i="6"/>
  <c r="AD401" i="6"/>
  <c r="AM397" i="6"/>
  <c r="AH402" i="6" s="1"/>
  <c r="AH92" i="4"/>
  <c r="AH91" i="4"/>
  <c r="AH93" i="4"/>
  <c r="AJ89" i="4"/>
  <c r="AJ86" i="4" s="1"/>
  <c r="AI86" i="4"/>
  <c r="AS82" i="4"/>
  <c r="AN87" i="4" s="1"/>
  <c r="Y85" i="1"/>
  <c r="Y84" i="1"/>
  <c r="Y83" i="1"/>
  <c r="X82" i="1"/>
  <c r="V5" i="10" s="1"/>
  <c r="AF73" i="1"/>
  <c r="Z79" i="1"/>
  <c r="BT3" i="4" l="1"/>
  <c r="BS82" i="4"/>
  <c r="BN87" i="4" s="1"/>
  <c r="Z78" i="1"/>
  <c r="X4" i="10" s="1"/>
  <c r="X19" i="10"/>
  <c r="AD17" i="5"/>
  <c r="AC405" i="6"/>
  <c r="AH90" i="4"/>
  <c r="AH95" i="4" s="1"/>
  <c r="Y411" i="6"/>
  <c r="AE19" i="5"/>
  <c r="AE18" i="5"/>
  <c r="AE20" i="5"/>
  <c r="AF19" i="5"/>
  <c r="AF20" i="5"/>
  <c r="AF18" i="5"/>
  <c r="AD22" i="5"/>
  <c r="AP8" i="5"/>
  <c r="AK14" i="5" s="1"/>
  <c r="AG16" i="5"/>
  <c r="AF404" i="6"/>
  <c r="AF401" i="6" s="1"/>
  <c r="AE401" i="6"/>
  <c r="X86" i="1"/>
  <c r="V6" i="10"/>
  <c r="S7" i="10" s="1"/>
  <c r="AD408" i="6"/>
  <c r="AD407" i="6"/>
  <c r="AD406" i="6"/>
  <c r="AN397" i="6"/>
  <c r="AI402" i="6" s="1"/>
  <c r="AJ91" i="4"/>
  <c r="AJ92" i="4"/>
  <c r="AJ93" i="4"/>
  <c r="AI92" i="4"/>
  <c r="AI91" i="4"/>
  <c r="AI93" i="4"/>
  <c r="AK89" i="4"/>
  <c r="AT82" i="4"/>
  <c r="AO87" i="4" s="1"/>
  <c r="Y82" i="1"/>
  <c r="W5" i="10" s="1"/>
  <c r="Z85" i="1"/>
  <c r="Z83" i="1"/>
  <c r="AG73" i="1"/>
  <c r="AA79" i="1"/>
  <c r="X32" i="10" l="1"/>
  <c r="BU3" i="4"/>
  <c r="BT82" i="4"/>
  <c r="BO87" i="4" s="1"/>
  <c r="AA78" i="1"/>
  <c r="Y4" i="10" s="1"/>
  <c r="Y19" i="10"/>
  <c r="Z84" i="1"/>
  <c r="Z82" i="1" s="1"/>
  <c r="X5" i="10" s="1"/>
  <c r="AI90" i="4"/>
  <c r="AI95" i="4" s="1"/>
  <c r="AF17" i="5"/>
  <c r="AF22" i="5" s="1"/>
  <c r="AE17" i="5"/>
  <c r="AE22" i="5" s="1"/>
  <c r="AD405" i="6"/>
  <c r="AJ90" i="4"/>
  <c r="AJ95" i="4" s="1"/>
  <c r="AC410" i="6"/>
  <c r="AQ8" i="5"/>
  <c r="AL14" i="5" s="1"/>
  <c r="AH16" i="5"/>
  <c r="AG13" i="5"/>
  <c r="Y86" i="1"/>
  <c r="W6" i="10"/>
  <c r="AF408" i="6"/>
  <c r="AF406" i="6"/>
  <c r="AF407" i="6"/>
  <c r="U87" i="1"/>
  <c r="S11" i="10" s="1"/>
  <c r="AE406" i="6"/>
  <c r="AE408" i="6"/>
  <c r="AE407" i="6"/>
  <c r="AO397" i="6"/>
  <c r="AJ402" i="6" s="1"/>
  <c r="AG404" i="6" s="1"/>
  <c r="AL89" i="4"/>
  <c r="AK86" i="4"/>
  <c r="AU82" i="4"/>
  <c r="AP87" i="4" s="1"/>
  <c r="AA85" i="1"/>
  <c r="AA84" i="1"/>
  <c r="AH73" i="1"/>
  <c r="AB79" i="1"/>
  <c r="AG415" i="6" l="1"/>
  <c r="AC416" i="6" s="1"/>
  <c r="BV3" i="4"/>
  <c r="BU82" i="4"/>
  <c r="BP87" i="4" s="1"/>
  <c r="AB78" i="1"/>
  <c r="Z4" i="10" s="1"/>
  <c r="W13" i="10" s="1"/>
  <c r="S15" i="10" s="1"/>
  <c r="Z19" i="10"/>
  <c r="AA83" i="1"/>
  <c r="AA82" i="1" s="1"/>
  <c r="Y5" i="10" s="1"/>
  <c r="AE405" i="6"/>
  <c r="AF405" i="6"/>
  <c r="AD410" i="6"/>
  <c r="AC23" i="5"/>
  <c r="AG18" i="5"/>
  <c r="AG20" i="5"/>
  <c r="AG19" i="5"/>
  <c r="AI16" i="5"/>
  <c r="AH13" i="5"/>
  <c r="AR8" i="5"/>
  <c r="AM14" i="5" s="1"/>
  <c r="AH404" i="6"/>
  <c r="AG401" i="6"/>
  <c r="Z86" i="1"/>
  <c r="X6" i="10"/>
  <c r="AP397" i="6"/>
  <c r="AK402" i="6" s="1"/>
  <c r="AK91" i="4"/>
  <c r="AK93" i="4"/>
  <c r="AK92" i="4"/>
  <c r="AG96" i="4"/>
  <c r="AM89" i="4"/>
  <c r="AL86" i="4"/>
  <c r="AV82" i="4"/>
  <c r="AQ87" i="4" s="1"/>
  <c r="AB84" i="1"/>
  <c r="AI73" i="1"/>
  <c r="AC79" i="1"/>
  <c r="W20" i="10" l="1"/>
  <c r="S21" i="10" s="1"/>
  <c r="BW3" i="4"/>
  <c r="BV82" i="4"/>
  <c r="BQ87" i="4" s="1"/>
  <c r="AC78" i="1"/>
  <c r="AA4" i="10" s="1"/>
  <c r="AA19" i="10"/>
  <c r="AB83" i="1"/>
  <c r="AB85" i="1"/>
  <c r="AG17" i="5"/>
  <c r="AG22" i="5" s="1"/>
  <c r="AK90" i="4"/>
  <c r="AK95" i="4" s="1"/>
  <c r="AC107" i="4"/>
  <c r="AF410" i="6"/>
  <c r="AE410" i="6"/>
  <c r="AS8" i="5"/>
  <c r="AN14" i="5" s="1"/>
  <c r="AH19" i="5"/>
  <c r="AH18" i="5"/>
  <c r="AH20" i="5"/>
  <c r="AJ16" i="5"/>
  <c r="AJ13" i="5" s="1"/>
  <c r="AI13" i="5"/>
  <c r="AA86" i="1"/>
  <c r="Y6" i="10"/>
  <c r="AG406" i="6"/>
  <c r="AG408" i="6"/>
  <c r="AG407" i="6"/>
  <c r="AI404" i="6"/>
  <c r="AH401" i="6"/>
  <c r="AQ397" i="6"/>
  <c r="AL402" i="6" s="1"/>
  <c r="AN89" i="4"/>
  <c r="AN86" i="4" s="1"/>
  <c r="AM86" i="4"/>
  <c r="AL91" i="4"/>
  <c r="AL92" i="4"/>
  <c r="AL93" i="4"/>
  <c r="AW82" i="4"/>
  <c r="AR87" i="4" s="1"/>
  <c r="AC85" i="1"/>
  <c r="AC84" i="1"/>
  <c r="AC83" i="1"/>
  <c r="AB82" i="1"/>
  <c r="Z5" i="10" s="1"/>
  <c r="AJ73" i="1"/>
  <c r="AD79" i="1"/>
  <c r="BX3" i="4" l="1"/>
  <c r="BY3" i="4" s="1"/>
  <c r="BZ3" i="4" s="1"/>
  <c r="CA3" i="4" s="1"/>
  <c r="CB3" i="4" s="1"/>
  <c r="CC3" i="4" s="1"/>
  <c r="CD3" i="4" s="1"/>
  <c r="CE3" i="4" s="1"/>
  <c r="CF3" i="4" s="1"/>
  <c r="CG3" i="4" s="1"/>
  <c r="CH3" i="4" s="1"/>
  <c r="CI3" i="4" s="1"/>
  <c r="CJ3" i="4" s="1"/>
  <c r="CK3" i="4" s="1"/>
  <c r="CL3" i="4" s="1"/>
  <c r="CM3" i="4" s="1"/>
  <c r="CN3" i="4" s="1"/>
  <c r="CO3" i="4" s="1"/>
  <c r="BW82" i="4"/>
  <c r="BR87" i="4" s="1"/>
  <c r="AD78" i="1"/>
  <c r="AB4" i="10" s="1"/>
  <c r="AB19" i="10"/>
  <c r="AH17" i="5"/>
  <c r="AG405" i="6"/>
  <c r="AL90" i="4"/>
  <c r="AL95" i="4" s="1"/>
  <c r="AC411" i="6"/>
  <c r="AH22" i="5"/>
  <c r="AI20" i="5"/>
  <c r="AI18" i="5"/>
  <c r="AI19" i="5"/>
  <c r="AJ19" i="5"/>
  <c r="AJ20" i="5"/>
  <c r="AJ18" i="5"/>
  <c r="AT8" i="5"/>
  <c r="AO14" i="5" s="1"/>
  <c r="AK16" i="5"/>
  <c r="AH408" i="6"/>
  <c r="AH407" i="6"/>
  <c r="AH406" i="6"/>
  <c r="AB86" i="1"/>
  <c r="Z6" i="10"/>
  <c r="W7" i="10" s="1"/>
  <c r="AJ404" i="6"/>
  <c r="AJ401" i="6" s="1"/>
  <c r="AI401" i="6"/>
  <c r="AR397" i="6"/>
  <c r="AM402" i="6" s="1"/>
  <c r="AO89" i="4"/>
  <c r="AN91" i="4"/>
  <c r="AN93" i="4"/>
  <c r="AN92" i="4"/>
  <c r="AM91" i="4"/>
  <c r="AM93" i="4"/>
  <c r="AM92" i="4"/>
  <c r="AX82" i="4"/>
  <c r="AS87" i="4" s="1"/>
  <c r="AD85" i="1"/>
  <c r="AD84" i="1"/>
  <c r="AD83" i="1"/>
  <c r="AC82" i="1"/>
  <c r="AA5" i="10" s="1"/>
  <c r="AK73" i="1"/>
  <c r="AE79" i="1"/>
  <c r="AE78" i="1" l="1"/>
  <c r="AC4" i="10" s="1"/>
  <c r="AC19" i="10"/>
  <c r="AJ17" i="5"/>
  <c r="AJ22" i="5" s="1"/>
  <c r="AI17" i="5"/>
  <c r="AH405" i="6"/>
  <c r="AM90" i="4"/>
  <c r="AM95" i="4" s="1"/>
  <c r="AN90" i="4"/>
  <c r="AN95" i="4" s="1"/>
  <c r="AG410" i="6"/>
  <c r="CP71" i="4"/>
  <c r="HA71" i="4" s="1"/>
  <c r="AI22" i="5"/>
  <c r="AL16" i="5"/>
  <c r="AK13" i="5"/>
  <c r="AU8" i="5"/>
  <c r="AP14" i="5" s="1"/>
  <c r="AC86" i="1"/>
  <c r="AA6" i="10"/>
  <c r="AI406" i="6"/>
  <c r="AI408" i="6"/>
  <c r="AI407" i="6"/>
  <c r="Y87" i="1"/>
  <c r="W11" i="10" s="1"/>
  <c r="AJ408" i="6"/>
  <c r="AJ406" i="6"/>
  <c r="AJ407" i="6"/>
  <c r="AS397" i="6"/>
  <c r="AN402" i="6" s="1"/>
  <c r="AK404" i="6" s="1"/>
  <c r="AP89" i="4"/>
  <c r="AO86" i="4"/>
  <c r="AY82" i="4"/>
  <c r="AT87" i="4" s="1"/>
  <c r="AE85" i="1"/>
  <c r="AE84" i="1"/>
  <c r="AE83" i="1"/>
  <c r="AD82" i="1"/>
  <c r="AB5" i="10" s="1"/>
  <c r="AL73" i="1"/>
  <c r="AF79" i="1"/>
  <c r="AK415" i="6" l="1"/>
  <c r="AG416" i="6" s="1"/>
  <c r="AF78" i="1"/>
  <c r="AF85" i="1" s="1"/>
  <c r="AD19" i="10"/>
  <c r="AA20" i="10" s="1"/>
  <c r="W21" i="10" s="1"/>
  <c r="AI405" i="6"/>
  <c r="AJ405" i="6"/>
  <c r="AD4" i="10"/>
  <c r="AA13" i="10" s="1"/>
  <c r="W15" i="10" s="1"/>
  <c r="AH410" i="6"/>
  <c r="AG23" i="5"/>
  <c r="AV8" i="5"/>
  <c r="AQ14" i="5" s="1"/>
  <c r="AK19" i="5"/>
  <c r="AK18" i="5"/>
  <c r="AK20" i="5"/>
  <c r="AM16" i="5"/>
  <c r="AL13" i="5"/>
  <c r="AL404" i="6"/>
  <c r="AK401" i="6"/>
  <c r="AD86" i="1"/>
  <c r="AB6" i="10"/>
  <c r="AT397" i="6"/>
  <c r="AO402" i="6" s="1"/>
  <c r="AK96" i="4"/>
  <c r="AQ89" i="4"/>
  <c r="AP86" i="4"/>
  <c r="AO91" i="4"/>
  <c r="AO93" i="4"/>
  <c r="AO92" i="4"/>
  <c r="AZ82" i="4"/>
  <c r="AU87" i="4" s="1"/>
  <c r="AF84" i="1"/>
  <c r="AE82" i="1"/>
  <c r="AC5" i="10" s="1"/>
  <c r="AM73" i="1"/>
  <c r="AG79" i="1"/>
  <c r="AG78" i="1" l="1"/>
  <c r="AE4" i="10" s="1"/>
  <c r="AE19" i="10"/>
  <c r="AF83" i="1"/>
  <c r="AK17" i="5"/>
  <c r="AK22" i="5" s="1"/>
  <c r="AO90" i="4"/>
  <c r="AG107" i="4"/>
  <c r="AJ410" i="6"/>
  <c r="AI410" i="6"/>
  <c r="AN16" i="5"/>
  <c r="AN13" i="5" s="1"/>
  <c r="AM13" i="5"/>
  <c r="AL19" i="5"/>
  <c r="AL18" i="5"/>
  <c r="AL20" i="5"/>
  <c r="AW8" i="5"/>
  <c r="AR14" i="5" s="1"/>
  <c r="AK406" i="6"/>
  <c r="AK408" i="6"/>
  <c r="AK407" i="6"/>
  <c r="AE86" i="1"/>
  <c r="AC6" i="10"/>
  <c r="AM404" i="6"/>
  <c r="AL401" i="6"/>
  <c r="AU397" i="6"/>
  <c r="AP402" i="6" s="1"/>
  <c r="AR89" i="4"/>
  <c r="AR86" i="4" s="1"/>
  <c r="AQ86" i="4"/>
  <c r="AO95" i="4"/>
  <c r="AP92" i="4"/>
  <c r="AP91" i="4"/>
  <c r="AP93" i="4"/>
  <c r="BA82" i="4"/>
  <c r="AV87" i="4" s="1"/>
  <c r="AG85" i="1"/>
  <c r="AG84" i="1"/>
  <c r="AG83" i="1"/>
  <c r="AF82" i="1"/>
  <c r="AD5" i="10" s="1"/>
  <c r="AN73" i="1"/>
  <c r="AH79" i="1"/>
  <c r="AH78" i="1" l="1"/>
  <c r="AF4" i="10" s="1"/>
  <c r="AF19" i="10"/>
  <c r="AL17" i="5"/>
  <c r="AP90" i="4"/>
  <c r="AK405" i="6"/>
  <c r="AG411" i="6"/>
  <c r="AL22" i="5"/>
  <c r="AM18" i="5"/>
  <c r="AM20" i="5"/>
  <c r="AM19" i="5"/>
  <c r="AO16" i="5"/>
  <c r="AX8" i="5"/>
  <c r="AS14" i="5" s="1"/>
  <c r="AN18" i="5"/>
  <c r="AN19" i="5"/>
  <c r="AN20" i="5"/>
  <c r="AF86" i="1"/>
  <c r="AD6" i="10"/>
  <c r="AA7" i="10" s="1"/>
  <c r="AN404" i="6"/>
  <c r="AN401" i="6" s="1"/>
  <c r="AM401" i="6"/>
  <c r="AL408" i="6"/>
  <c r="AL407" i="6"/>
  <c r="AL406" i="6"/>
  <c r="AV397" i="6"/>
  <c r="AQ402" i="6" s="1"/>
  <c r="AS89" i="4"/>
  <c r="AR91" i="4"/>
  <c r="AR92" i="4"/>
  <c r="AR93" i="4"/>
  <c r="AP95" i="4"/>
  <c r="AQ92" i="4"/>
  <c r="AQ91" i="4"/>
  <c r="AQ93" i="4"/>
  <c r="BB82" i="4"/>
  <c r="AW87" i="4" s="1"/>
  <c r="AH84" i="1"/>
  <c r="AH83" i="1"/>
  <c r="AG82" i="1"/>
  <c r="AE5" i="10" s="1"/>
  <c r="AO73" i="1"/>
  <c r="AI79" i="1"/>
  <c r="AI78" i="1" l="1"/>
  <c r="AG4" i="10" s="1"/>
  <c r="AG19" i="10"/>
  <c r="AH85" i="1"/>
  <c r="AH82" i="1" s="1"/>
  <c r="AF5" i="10" s="1"/>
  <c r="AM17" i="5"/>
  <c r="AM22" i="5" s="1"/>
  <c r="AN17" i="5"/>
  <c r="AN22" i="5" s="1"/>
  <c r="AL405" i="6"/>
  <c r="AR90" i="4"/>
  <c r="AR95" i="4" s="1"/>
  <c r="AQ90" i="4"/>
  <c r="AQ95" i="4" s="1"/>
  <c r="AK410" i="6"/>
  <c r="AP16" i="5"/>
  <c r="AO13" i="5"/>
  <c r="AY8" i="5"/>
  <c r="AT14" i="5" s="1"/>
  <c r="AN408" i="6"/>
  <c r="AN406" i="6"/>
  <c r="AN407" i="6"/>
  <c r="AC87" i="1"/>
  <c r="AA11" i="10" s="1"/>
  <c r="AG86" i="1"/>
  <c r="AE6" i="10"/>
  <c r="AM406" i="6"/>
  <c r="AM408" i="6"/>
  <c r="AM407" i="6"/>
  <c r="AW397" i="6"/>
  <c r="AR402" i="6" s="1"/>
  <c r="AO404" i="6" s="1"/>
  <c r="AT89" i="4"/>
  <c r="AS86" i="4"/>
  <c r="BC82" i="4"/>
  <c r="AX87" i="4" s="1"/>
  <c r="AI85" i="1"/>
  <c r="AI84" i="1"/>
  <c r="AP73" i="1"/>
  <c r="AJ79" i="1"/>
  <c r="AO415" i="6" l="1"/>
  <c r="AK416" i="6" s="1"/>
  <c r="AJ78" i="1"/>
  <c r="AH4" i="10" s="1"/>
  <c r="AE13" i="10" s="1"/>
  <c r="AA15" i="10" s="1"/>
  <c r="AH19" i="10"/>
  <c r="AE20" i="10" s="1"/>
  <c r="AA21" i="10" s="1"/>
  <c r="AI83" i="1"/>
  <c r="AI82" i="1" s="1"/>
  <c r="AG5" i="10" s="1"/>
  <c r="AN405" i="6"/>
  <c r="AM405" i="6"/>
  <c r="AL410" i="6"/>
  <c r="AK23" i="5"/>
  <c r="AO19" i="5"/>
  <c r="AO18" i="5"/>
  <c r="AO20" i="5"/>
  <c r="AZ8" i="5"/>
  <c r="AU14" i="5" s="1"/>
  <c r="AQ16" i="5"/>
  <c r="AP13" i="5"/>
  <c r="AP404" i="6"/>
  <c r="AO401" i="6"/>
  <c r="AH86" i="1"/>
  <c r="AF6" i="10"/>
  <c r="AX397" i="6"/>
  <c r="AS402" i="6" s="1"/>
  <c r="AO96" i="4"/>
  <c r="AS91" i="4"/>
  <c r="AS93" i="4"/>
  <c r="AS92" i="4"/>
  <c r="AU89" i="4"/>
  <c r="AT86" i="4"/>
  <c r="BD82" i="4"/>
  <c r="AY87" i="4" s="1"/>
  <c r="AJ85" i="1"/>
  <c r="AQ73" i="1"/>
  <c r="AK79" i="1"/>
  <c r="AJ84" i="1" l="1"/>
  <c r="AK78" i="1"/>
  <c r="AI4" i="10" s="1"/>
  <c r="AI19" i="10"/>
  <c r="AJ83" i="1"/>
  <c r="AJ82" i="1" s="1"/>
  <c r="AH5" i="10" s="1"/>
  <c r="AO17" i="5"/>
  <c r="AO22" i="5" s="1"/>
  <c r="AS90" i="4"/>
  <c r="AS95" i="4" s="1"/>
  <c r="AK107" i="4"/>
  <c r="AN410" i="6"/>
  <c r="AM410" i="6"/>
  <c r="AP20" i="5"/>
  <c r="AP19" i="5"/>
  <c r="AP18" i="5"/>
  <c r="BA8" i="5"/>
  <c r="AV14" i="5" s="1"/>
  <c r="AR16" i="5"/>
  <c r="AQ13" i="5"/>
  <c r="AI86" i="1"/>
  <c r="AG6" i="10"/>
  <c r="AO406" i="6"/>
  <c r="AO408" i="6"/>
  <c r="AO407" i="6"/>
  <c r="AQ404" i="6"/>
  <c r="AP401" i="6"/>
  <c r="AY397" i="6"/>
  <c r="AT402" i="6" s="1"/>
  <c r="AT91" i="4"/>
  <c r="AT92" i="4"/>
  <c r="AT93" i="4"/>
  <c r="AV89" i="4"/>
  <c r="AV86" i="4" s="1"/>
  <c r="AU86" i="4"/>
  <c r="BF82" i="4"/>
  <c r="BA87" i="4" s="1"/>
  <c r="BE82" i="4"/>
  <c r="AZ87" i="4" s="1"/>
  <c r="AK85" i="1"/>
  <c r="AK83" i="1"/>
  <c r="AR73" i="1"/>
  <c r="AL79" i="1"/>
  <c r="AK84" i="1" l="1"/>
  <c r="AL78" i="1"/>
  <c r="AJ4" i="10" s="1"/>
  <c r="AJ19" i="10"/>
  <c r="AP17" i="5"/>
  <c r="AK411" i="6"/>
  <c r="AO405" i="6"/>
  <c r="AT90" i="4"/>
  <c r="AQ20" i="5"/>
  <c r="AQ18" i="5"/>
  <c r="AQ19" i="5"/>
  <c r="AR13" i="5"/>
  <c r="AS16" i="5"/>
  <c r="BB8" i="5"/>
  <c r="AW14" i="5" s="1"/>
  <c r="AJ86" i="1"/>
  <c r="AH6" i="10"/>
  <c r="AE7" i="10" s="1"/>
  <c r="AR404" i="6"/>
  <c r="AR401" i="6" s="1"/>
  <c r="AQ401" i="6"/>
  <c r="AP408" i="6"/>
  <c r="AP407" i="6"/>
  <c r="AP406" i="6"/>
  <c r="AZ397" i="6"/>
  <c r="AU402" i="6" s="1"/>
  <c r="AV91" i="4"/>
  <c r="AV93" i="4"/>
  <c r="AV92" i="4"/>
  <c r="AU92" i="4"/>
  <c r="AU91" i="4"/>
  <c r="AU93" i="4"/>
  <c r="AW89" i="4"/>
  <c r="AT95" i="4"/>
  <c r="BG82" i="4"/>
  <c r="BB87" i="4" s="1"/>
  <c r="AK82" i="1"/>
  <c r="AI5" i="10" s="1"/>
  <c r="AS73" i="1"/>
  <c r="AM79" i="1"/>
  <c r="AL85" i="1" l="1"/>
  <c r="AM78" i="1"/>
  <c r="AK4" i="10" s="1"/>
  <c r="AK19" i="10"/>
  <c r="AL83" i="1"/>
  <c r="AL84" i="1"/>
  <c r="AQ17" i="5"/>
  <c r="AP405" i="6"/>
  <c r="AU90" i="4"/>
  <c r="AU95" i="4" s="1"/>
  <c r="AV90" i="4"/>
  <c r="AO410" i="6"/>
  <c r="AT16" i="5"/>
  <c r="AS13" i="5"/>
  <c r="AR19" i="5"/>
  <c r="AR20" i="5"/>
  <c r="AR18" i="5"/>
  <c r="AP22" i="5"/>
  <c r="BC8" i="5"/>
  <c r="AX14" i="5" s="1"/>
  <c r="AQ22" i="5"/>
  <c r="AK86" i="1"/>
  <c r="AI6" i="10"/>
  <c r="AR408" i="6"/>
  <c r="AR406" i="6"/>
  <c r="AR407" i="6"/>
  <c r="AQ406" i="6"/>
  <c r="AQ408" i="6"/>
  <c r="AQ407" i="6"/>
  <c r="AG87" i="1"/>
  <c r="AE11" i="10" s="1"/>
  <c r="BA397" i="6"/>
  <c r="AV402" i="6" s="1"/>
  <c r="AS404" i="6" s="1"/>
  <c r="AX89" i="4"/>
  <c r="AW86" i="4"/>
  <c r="AV95" i="4"/>
  <c r="BH82" i="4"/>
  <c r="BC87" i="4" s="1"/>
  <c r="AT73" i="1"/>
  <c r="AN79" i="1"/>
  <c r="AL82" i="1" l="1"/>
  <c r="AJ5" i="10" s="1"/>
  <c r="AM84" i="1"/>
  <c r="AS415" i="6"/>
  <c r="AO416" i="6" s="1"/>
  <c r="AN78" i="1"/>
  <c r="AL4" i="10" s="1"/>
  <c r="AI13" i="10" s="1"/>
  <c r="AE15" i="10" s="1"/>
  <c r="AL19" i="10"/>
  <c r="AI20" i="10" s="1"/>
  <c r="AE21" i="10" s="1"/>
  <c r="AM83" i="1"/>
  <c r="AM85" i="1"/>
  <c r="AR17" i="5"/>
  <c r="AR22" i="5" s="1"/>
  <c r="AQ405" i="6"/>
  <c r="AR405" i="6"/>
  <c r="AP410" i="6"/>
  <c r="BD8" i="5"/>
  <c r="AY14" i="5" s="1"/>
  <c r="AS18" i="5"/>
  <c r="AS20" i="5"/>
  <c r="AS19" i="5"/>
  <c r="AU16" i="5"/>
  <c r="AT13" i="5"/>
  <c r="AT404" i="6"/>
  <c r="AS401" i="6"/>
  <c r="AL86" i="1"/>
  <c r="AJ6" i="10"/>
  <c r="BB397" i="6"/>
  <c r="AS96" i="4"/>
  <c r="AY89" i="4"/>
  <c r="AX86" i="4"/>
  <c r="AW91" i="4"/>
  <c r="AW93" i="4"/>
  <c r="AW92" i="4"/>
  <c r="BI82" i="4"/>
  <c r="BD87" i="4" s="1"/>
  <c r="AN83" i="1"/>
  <c r="AM82" i="1"/>
  <c r="AK5" i="10" s="1"/>
  <c r="AU73" i="1"/>
  <c r="AO79" i="1"/>
  <c r="AW402" i="6" l="1"/>
  <c r="AO78" i="1"/>
  <c r="AM4" i="10" s="1"/>
  <c r="AM19" i="10"/>
  <c r="AN85" i="1"/>
  <c r="AN84" i="1"/>
  <c r="AS17" i="5"/>
  <c r="AW90" i="4"/>
  <c r="AO107" i="4"/>
  <c r="AQ410" i="6"/>
  <c r="AR410" i="6"/>
  <c r="AT19" i="5"/>
  <c r="AT18" i="5"/>
  <c r="AT20" i="5"/>
  <c r="AS22" i="5"/>
  <c r="AO23" i="5"/>
  <c r="AV16" i="5"/>
  <c r="AV13" i="5" s="1"/>
  <c r="AU13" i="5"/>
  <c r="BE8" i="5"/>
  <c r="AZ14" i="5" s="1"/>
  <c r="AM86" i="1"/>
  <c r="AK6" i="10"/>
  <c r="AS406" i="6"/>
  <c r="AS408" i="6"/>
  <c r="AS407" i="6"/>
  <c r="AU404" i="6"/>
  <c r="AT401" i="6"/>
  <c r="BC397" i="6"/>
  <c r="AX402" i="6" s="1"/>
  <c r="AW95" i="4"/>
  <c r="AX92" i="4"/>
  <c r="AX91" i="4"/>
  <c r="AX93" i="4"/>
  <c r="AZ89" i="4"/>
  <c r="AZ86" i="4" s="1"/>
  <c r="AY86" i="4"/>
  <c r="BJ82" i="4"/>
  <c r="BE87" i="4" s="1"/>
  <c r="AO84" i="1"/>
  <c r="AV73" i="1"/>
  <c r="AP79" i="1"/>
  <c r="AN82" i="1" l="1"/>
  <c r="AL5" i="10" s="1"/>
  <c r="AO83" i="1"/>
  <c r="AO85" i="1"/>
  <c r="AP78" i="1"/>
  <c r="AN4" i="10" s="1"/>
  <c r="AN19" i="10"/>
  <c r="AT17" i="5"/>
  <c r="AO411" i="6"/>
  <c r="AX90" i="4"/>
  <c r="AX95" i="4" s="1"/>
  <c r="AS405" i="6"/>
  <c r="AV18" i="5"/>
  <c r="AV19" i="5"/>
  <c r="AV20" i="5"/>
  <c r="AW16" i="5"/>
  <c r="BF8" i="5"/>
  <c r="BA14" i="5" s="1"/>
  <c r="AU18" i="5"/>
  <c r="AU20" i="5"/>
  <c r="AU19" i="5"/>
  <c r="AN86" i="1"/>
  <c r="AL6" i="10"/>
  <c r="AI7" i="10" s="1"/>
  <c r="AT408" i="6"/>
  <c r="AT407" i="6"/>
  <c r="AT406" i="6"/>
  <c r="AV404" i="6"/>
  <c r="AV401" i="6" s="1"/>
  <c r="AU401" i="6"/>
  <c r="BD397" i="6"/>
  <c r="AY402" i="6" s="1"/>
  <c r="AY92" i="4"/>
  <c r="AY91" i="4"/>
  <c r="AY93" i="4"/>
  <c r="BA89" i="4"/>
  <c r="AZ91" i="4"/>
  <c r="AZ92" i="4"/>
  <c r="AZ93" i="4"/>
  <c r="AP84" i="1"/>
  <c r="AP85" i="1"/>
  <c r="AP83" i="1"/>
  <c r="AW73" i="1"/>
  <c r="AQ79" i="1"/>
  <c r="AO82" i="1" l="1"/>
  <c r="AM5" i="10" s="1"/>
  <c r="AM6" i="10" s="1"/>
  <c r="AQ78" i="1"/>
  <c r="AO4" i="10" s="1"/>
  <c r="AO19" i="10"/>
  <c r="AU17" i="5"/>
  <c r="AU22" i="5" s="1"/>
  <c r="AV17" i="5"/>
  <c r="AT405" i="6"/>
  <c r="AZ90" i="4"/>
  <c r="AZ95" i="4" s="1"/>
  <c r="AY90" i="4"/>
  <c r="AY95" i="4" s="1"/>
  <c r="AS410" i="6"/>
  <c r="AT22" i="5"/>
  <c r="BG8" i="5"/>
  <c r="BB14" i="5" s="1"/>
  <c r="AV22" i="5"/>
  <c r="AX16" i="5"/>
  <c r="AW13" i="5"/>
  <c r="AV408" i="6"/>
  <c r="AV406" i="6"/>
  <c r="AV407" i="6"/>
  <c r="AK87" i="1"/>
  <c r="AI11" i="10" s="1"/>
  <c r="AO86" i="1"/>
  <c r="AU406" i="6"/>
  <c r="AU408" i="6"/>
  <c r="AU407" i="6"/>
  <c r="AZ402" i="6"/>
  <c r="AW404" i="6" s="1"/>
  <c r="BB89" i="4"/>
  <c r="BA86" i="4"/>
  <c r="AQ83" i="1"/>
  <c r="AP82" i="1"/>
  <c r="AN5" i="10" s="1"/>
  <c r="AX73" i="1"/>
  <c r="AR79" i="1"/>
  <c r="AW415" i="6" l="1"/>
  <c r="AS416" i="6" s="1"/>
  <c r="AR78" i="1"/>
  <c r="AR84" i="1" s="1"/>
  <c r="AP19" i="10"/>
  <c r="AM20" i="10" s="1"/>
  <c r="AI21" i="10" s="1"/>
  <c r="AQ84" i="1"/>
  <c r="AQ85" i="1"/>
  <c r="AU405" i="6"/>
  <c r="AV405" i="6"/>
  <c r="AP4" i="10"/>
  <c r="AM13" i="10" s="1"/>
  <c r="AI15" i="10" s="1"/>
  <c r="AT410" i="6"/>
  <c r="AY16" i="5"/>
  <c r="AX13" i="5"/>
  <c r="AW19" i="5"/>
  <c r="AW20" i="5"/>
  <c r="AW18" i="5"/>
  <c r="BH8" i="5"/>
  <c r="BC14" i="5" s="1"/>
  <c r="AS23" i="5"/>
  <c r="AX404" i="6"/>
  <c r="AW401" i="6"/>
  <c r="AP86" i="1"/>
  <c r="AN6" i="10"/>
  <c r="BA402" i="6"/>
  <c r="AW96" i="4"/>
  <c r="BC89" i="4"/>
  <c r="BB86" i="4"/>
  <c r="BA91" i="4"/>
  <c r="BA93" i="4"/>
  <c r="BA92" i="4"/>
  <c r="AQ82" i="1"/>
  <c r="AO5" i="10" s="1"/>
  <c r="AY73" i="1"/>
  <c r="AS79" i="1"/>
  <c r="AR83" i="1" l="1"/>
  <c r="AS78" i="1"/>
  <c r="AQ4" i="10" s="1"/>
  <c r="AQ19" i="10"/>
  <c r="AR85" i="1"/>
  <c r="AW17" i="5"/>
  <c r="BA90" i="4"/>
  <c r="AS107" i="4"/>
  <c r="AV410" i="6"/>
  <c r="AU410" i="6"/>
  <c r="BI8" i="5"/>
  <c r="BD14" i="5" s="1"/>
  <c r="AX20" i="5"/>
  <c r="AX19" i="5"/>
  <c r="AX18" i="5"/>
  <c r="AZ16" i="5"/>
  <c r="AZ13" i="5" s="1"/>
  <c r="AY13" i="5"/>
  <c r="AQ86" i="1"/>
  <c r="AO6" i="10"/>
  <c r="AW406" i="6"/>
  <c r="AW408" i="6"/>
  <c r="AW407" i="6"/>
  <c r="AY404" i="6"/>
  <c r="AX401" i="6"/>
  <c r="BG397" i="6"/>
  <c r="BB402" i="6" s="1"/>
  <c r="BD89" i="4"/>
  <c r="BD86" i="4" s="1"/>
  <c r="BC86" i="4"/>
  <c r="BA95" i="4"/>
  <c r="BB91" i="4"/>
  <c r="BB92" i="4"/>
  <c r="BB93" i="4"/>
  <c r="AR82" i="1"/>
  <c r="AP5" i="10" s="1"/>
  <c r="AS84" i="1"/>
  <c r="AZ73" i="1"/>
  <c r="AT79" i="1"/>
  <c r="AS83" i="1" l="1"/>
  <c r="AS85" i="1"/>
  <c r="AT78" i="1"/>
  <c r="AR4" i="10" s="1"/>
  <c r="AR19" i="10"/>
  <c r="AX17" i="5"/>
  <c r="AX22" i="5" s="1"/>
  <c r="AW405" i="6"/>
  <c r="BB90" i="4"/>
  <c r="BB95" i="4" s="1"/>
  <c r="AS411" i="6"/>
  <c r="AY18" i="5"/>
  <c r="AY19" i="5"/>
  <c r="AY20" i="5"/>
  <c r="BJ8" i="5"/>
  <c r="BE14" i="5" s="1"/>
  <c r="BA16" i="5"/>
  <c r="AZ18" i="5"/>
  <c r="AZ19" i="5"/>
  <c r="AZ20" i="5"/>
  <c r="AW22" i="5"/>
  <c r="AR86" i="1"/>
  <c r="AP6" i="10"/>
  <c r="AM7" i="10" s="1"/>
  <c r="AX408" i="6"/>
  <c r="AX407" i="6"/>
  <c r="AX406" i="6"/>
  <c r="AZ404" i="6"/>
  <c r="AZ401" i="6" s="1"/>
  <c r="AY401" i="6"/>
  <c r="BH397" i="6"/>
  <c r="BC402" i="6" s="1"/>
  <c r="BC92" i="4"/>
  <c r="BC91" i="4"/>
  <c r="BC93" i="4"/>
  <c r="BE89" i="4"/>
  <c r="BD91" i="4"/>
  <c r="BD93" i="4"/>
  <c r="BD92" i="4"/>
  <c r="AT84" i="1"/>
  <c r="AT85" i="1"/>
  <c r="AT83" i="1"/>
  <c r="AS82" i="1"/>
  <c r="AQ5" i="10" s="1"/>
  <c r="BA73" i="1"/>
  <c r="AU79" i="1"/>
  <c r="AU78" i="1" l="1"/>
  <c r="AS4" i="10" s="1"/>
  <c r="AS19" i="10"/>
  <c r="AY17" i="5"/>
  <c r="AZ17" i="5"/>
  <c r="AZ22" i="5" s="1"/>
  <c r="AX405" i="6"/>
  <c r="BC90" i="4"/>
  <c r="BC95" i="4" s="1"/>
  <c r="BD90" i="4"/>
  <c r="AW410" i="6"/>
  <c r="BK8" i="5"/>
  <c r="BF14" i="5" s="1"/>
  <c r="BA13" i="5"/>
  <c r="BB16" i="5"/>
  <c r="AY22" i="5"/>
  <c r="AS86" i="1"/>
  <c r="AQ6" i="10"/>
  <c r="AZ408" i="6"/>
  <c r="AZ406" i="6"/>
  <c r="AZ407" i="6"/>
  <c r="AY406" i="6"/>
  <c r="AY408" i="6"/>
  <c r="AY407" i="6"/>
  <c r="AO87" i="1"/>
  <c r="AM11" i="10" s="1"/>
  <c r="BI397" i="6"/>
  <c r="BD402" i="6" s="1"/>
  <c r="BA404" i="6" s="1"/>
  <c r="BF89" i="4"/>
  <c r="BE86" i="4"/>
  <c r="BD95" i="4"/>
  <c r="AU84" i="1"/>
  <c r="AT82" i="1"/>
  <c r="AR5" i="10" s="1"/>
  <c r="BB73" i="1"/>
  <c r="AV79" i="1"/>
  <c r="BA415" i="6" l="1"/>
  <c r="AW416" i="6" s="1"/>
  <c r="AV78" i="1"/>
  <c r="AV83" i="1" s="1"/>
  <c r="AT19" i="10"/>
  <c r="AQ20" i="10" s="1"/>
  <c r="AM21" i="10" s="1"/>
  <c r="AU83" i="1"/>
  <c r="AU82" i="1" s="1"/>
  <c r="AS5" i="10" s="1"/>
  <c r="AU85" i="1"/>
  <c r="AY405" i="6"/>
  <c r="AZ405" i="6"/>
  <c r="AT4" i="10"/>
  <c r="AQ13" i="10" s="1"/>
  <c r="AM15" i="10" s="1"/>
  <c r="AX410" i="6"/>
  <c r="AW23" i="5"/>
  <c r="BC16" i="5"/>
  <c r="BB13" i="5"/>
  <c r="BL8" i="5"/>
  <c r="BG14" i="5" s="1"/>
  <c r="BA18" i="5"/>
  <c r="BA19" i="5"/>
  <c r="BA20" i="5"/>
  <c r="BB404" i="6"/>
  <c r="BA401" i="6"/>
  <c r="AT86" i="1"/>
  <c r="AR6" i="10"/>
  <c r="BJ397" i="6"/>
  <c r="BE402" i="6" s="1"/>
  <c r="BA96" i="4"/>
  <c r="BE91" i="4"/>
  <c r="BE93" i="4"/>
  <c r="BE92" i="4"/>
  <c r="BG89" i="4"/>
  <c r="BF86" i="4"/>
  <c r="AV84" i="1"/>
  <c r="AV85" i="1"/>
  <c r="BC73" i="1"/>
  <c r="AW79" i="1"/>
  <c r="AW78" i="1" l="1"/>
  <c r="AU4" i="10" s="1"/>
  <c r="AU19" i="10"/>
  <c r="BA17" i="5"/>
  <c r="BE90" i="4"/>
  <c r="BE95" i="4" s="1"/>
  <c r="AW107" i="4"/>
  <c r="AZ410" i="6"/>
  <c r="AY410" i="6"/>
  <c r="BB19" i="5"/>
  <c r="BB18" i="5"/>
  <c r="BB20" i="5"/>
  <c r="BA22" i="5"/>
  <c r="BM8" i="5"/>
  <c r="BH14" i="5" s="1"/>
  <c r="BD16" i="5"/>
  <c r="BD13" i="5" s="1"/>
  <c r="BC13" i="5"/>
  <c r="BI89" i="4"/>
  <c r="AU86" i="1"/>
  <c r="AS6" i="10"/>
  <c r="BA406" i="6"/>
  <c r="BA408" i="6"/>
  <c r="BA407" i="6"/>
  <c r="BC404" i="6"/>
  <c r="BB401" i="6"/>
  <c r="BK397" i="6"/>
  <c r="BF402" i="6" s="1"/>
  <c r="BH89" i="4"/>
  <c r="BH86" i="4" s="1"/>
  <c r="BG86" i="4"/>
  <c r="BF92" i="4"/>
  <c r="BF91" i="4"/>
  <c r="BF93" i="4"/>
  <c r="AV82" i="1"/>
  <c r="AT5" i="10" s="1"/>
  <c r="AW85" i="1"/>
  <c r="AW84" i="1"/>
  <c r="AW83" i="1"/>
  <c r="BD73" i="1"/>
  <c r="AX79" i="1"/>
  <c r="AX78" i="1" l="1"/>
  <c r="AV4" i="10" s="1"/>
  <c r="AV19" i="10"/>
  <c r="BB17" i="5"/>
  <c r="BF90" i="4"/>
  <c r="BF95" i="4" s="1"/>
  <c r="BA405" i="6"/>
  <c r="AW411" i="6"/>
  <c r="BD18" i="5"/>
  <c r="BD19" i="5"/>
  <c r="BD20" i="5"/>
  <c r="BC18" i="5"/>
  <c r="BC20" i="5"/>
  <c r="BC19" i="5"/>
  <c r="BE16" i="5"/>
  <c r="BN8" i="5"/>
  <c r="BI14" i="5" s="1"/>
  <c r="BB22" i="5"/>
  <c r="AV86" i="1"/>
  <c r="AT6" i="10"/>
  <c r="AQ7" i="10" s="1"/>
  <c r="BD404" i="6"/>
  <c r="BD401" i="6" s="1"/>
  <c r="BC401" i="6"/>
  <c r="BB408" i="6"/>
  <c r="BB407" i="6"/>
  <c r="BB406" i="6"/>
  <c r="BL397" i="6"/>
  <c r="BG402" i="6" s="1"/>
  <c r="BJ89" i="4"/>
  <c r="BI86" i="4"/>
  <c r="BH91" i="4"/>
  <c r="BH93" i="4"/>
  <c r="BH92" i="4"/>
  <c r="BG92" i="4"/>
  <c r="BG91" i="4"/>
  <c r="BG93" i="4"/>
  <c r="AX84" i="1"/>
  <c r="AX85" i="1"/>
  <c r="AX83" i="1"/>
  <c r="AW82" i="1"/>
  <c r="AU5" i="10" s="1"/>
  <c r="BE73" i="1"/>
  <c r="AY79" i="1"/>
  <c r="AY78" i="1" l="1"/>
  <c r="AW4" i="10" s="1"/>
  <c r="AW19" i="10"/>
  <c r="BD17" i="5"/>
  <c r="BC17" i="5"/>
  <c r="BB405" i="6"/>
  <c r="BH90" i="4"/>
  <c r="BH95" i="4" s="1"/>
  <c r="BG90" i="4"/>
  <c r="BG95" i="4" s="1"/>
  <c r="BA410" i="6"/>
  <c r="BF16" i="5"/>
  <c r="BE13" i="5"/>
  <c r="BO8" i="5"/>
  <c r="BJ14" i="5" s="1"/>
  <c r="BC22" i="5"/>
  <c r="BD22" i="5"/>
  <c r="BD408" i="6"/>
  <c r="BD406" i="6"/>
  <c r="BD407" i="6"/>
  <c r="AW86" i="1"/>
  <c r="AU6" i="10"/>
  <c r="BC406" i="6"/>
  <c r="BC408" i="6"/>
  <c r="BC407" i="6"/>
  <c r="AS87" i="1"/>
  <c r="AQ11" i="10" s="1"/>
  <c r="BM397" i="6"/>
  <c r="BH402" i="6" s="1"/>
  <c r="BE404" i="6" s="1"/>
  <c r="BI91" i="4"/>
  <c r="BI93" i="4"/>
  <c r="BI92" i="4"/>
  <c r="BK89" i="4"/>
  <c r="BJ86" i="4"/>
  <c r="AY85" i="1"/>
  <c r="AY84" i="1"/>
  <c r="AX82" i="1"/>
  <c r="AV5" i="10" s="1"/>
  <c r="BF73" i="1"/>
  <c r="AZ79" i="1"/>
  <c r="BE415" i="6" l="1"/>
  <c r="BA416" i="6" s="1"/>
  <c r="AZ78" i="1"/>
  <c r="AX4" i="10" s="1"/>
  <c r="AU13" i="10" s="1"/>
  <c r="AX19" i="10"/>
  <c r="AU20" i="10" s="1"/>
  <c r="AY83" i="1"/>
  <c r="AY82" i="1" s="1"/>
  <c r="AW5" i="10" s="1"/>
  <c r="BC405" i="6"/>
  <c r="BD405" i="6"/>
  <c r="BI90" i="4"/>
  <c r="BB410" i="6"/>
  <c r="BE19" i="5"/>
  <c r="BE18" i="5"/>
  <c r="BE20" i="5"/>
  <c r="BA23" i="5"/>
  <c r="BP8" i="5"/>
  <c r="BK14" i="5" s="1"/>
  <c r="BG16" i="5"/>
  <c r="BF13" i="5"/>
  <c r="BE96" i="4"/>
  <c r="BF404" i="6"/>
  <c r="BE401" i="6"/>
  <c r="AX86" i="1"/>
  <c r="AV6" i="10"/>
  <c r="BN397" i="6"/>
  <c r="BI402" i="6" s="1"/>
  <c r="BJ91" i="4"/>
  <c r="BJ93" i="4"/>
  <c r="BJ92" i="4"/>
  <c r="BI95" i="4"/>
  <c r="BL89" i="4"/>
  <c r="BL86" i="4" s="1"/>
  <c r="BK86" i="4"/>
  <c r="AZ83" i="1"/>
  <c r="BG73" i="1"/>
  <c r="BA79" i="1"/>
  <c r="AQ15" i="10" l="1"/>
  <c r="AQ21" i="10"/>
  <c r="BA78" i="1"/>
  <c r="AY4" i="10" s="1"/>
  <c r="AY19" i="10"/>
  <c r="AZ85" i="1"/>
  <c r="AZ84" i="1"/>
  <c r="BE17" i="5"/>
  <c r="BE22" i="5" s="1"/>
  <c r="BJ90" i="4"/>
  <c r="BJ95" i="4" s="1"/>
  <c r="BA107" i="4"/>
  <c r="BC410" i="6"/>
  <c r="BD410" i="6"/>
  <c r="BH16" i="5"/>
  <c r="BH13" i="5" s="1"/>
  <c r="BG13" i="5"/>
  <c r="BF19" i="5"/>
  <c r="BF18" i="5"/>
  <c r="BF20" i="5"/>
  <c r="BQ8" i="5"/>
  <c r="BL14" i="5" s="1"/>
  <c r="AY86" i="1"/>
  <c r="AW6" i="10"/>
  <c r="BE406" i="6"/>
  <c r="BE408" i="6"/>
  <c r="BE407" i="6"/>
  <c r="BG404" i="6"/>
  <c r="BF401" i="6"/>
  <c r="BO397" i="6"/>
  <c r="BJ402" i="6" s="1"/>
  <c r="BK92" i="4"/>
  <c r="BK91" i="4"/>
  <c r="BK93" i="4"/>
  <c r="BM89" i="4"/>
  <c r="BL91" i="4"/>
  <c r="BL93" i="4"/>
  <c r="BL92" i="4"/>
  <c r="BA85" i="1"/>
  <c r="BA84" i="1"/>
  <c r="BA83" i="1"/>
  <c r="BH73" i="1"/>
  <c r="BB79" i="1"/>
  <c r="AZ82" i="1" l="1"/>
  <c r="AX5" i="10" s="1"/>
  <c r="AX6" i="10" s="1"/>
  <c r="AU7" i="10" s="1"/>
  <c r="BB78" i="1"/>
  <c r="AZ4" i="10" s="1"/>
  <c r="AZ19" i="10"/>
  <c r="BF17" i="5"/>
  <c r="BE405" i="6"/>
  <c r="BL90" i="4"/>
  <c r="BL95" i="4" s="1"/>
  <c r="BK90" i="4"/>
  <c r="BK95" i="4" s="1"/>
  <c r="BA411" i="6"/>
  <c r="BR8" i="5"/>
  <c r="BM14" i="5" s="1"/>
  <c r="BI16" i="5"/>
  <c r="BG18" i="5"/>
  <c r="BG19" i="5"/>
  <c r="BG20" i="5"/>
  <c r="BF22" i="5"/>
  <c r="BH18" i="5"/>
  <c r="BH19" i="5"/>
  <c r="BH20" i="5"/>
  <c r="BF408" i="6"/>
  <c r="BF407" i="6"/>
  <c r="BF406" i="6"/>
  <c r="AZ86" i="1"/>
  <c r="BH404" i="6"/>
  <c r="BH401" i="6" s="1"/>
  <c r="BG401" i="6"/>
  <c r="BP397" i="6"/>
  <c r="BK402" i="6" s="1"/>
  <c r="BX82" i="4"/>
  <c r="BS87" i="4" s="1"/>
  <c r="BN89" i="4"/>
  <c r="BM86" i="4"/>
  <c r="BB84" i="1"/>
  <c r="BB85" i="1"/>
  <c r="BB83" i="1"/>
  <c r="BA82" i="1"/>
  <c r="AY5" i="10" s="1"/>
  <c r="BI73" i="1"/>
  <c r="BC79" i="1"/>
  <c r="BC78" i="1" l="1"/>
  <c r="BA4" i="10" s="1"/>
  <c r="BA19" i="10"/>
  <c r="BH17" i="5"/>
  <c r="BG17" i="5"/>
  <c r="BF405" i="6"/>
  <c r="BE410" i="6"/>
  <c r="BJ16" i="5"/>
  <c r="BI13" i="5"/>
  <c r="BH22" i="5"/>
  <c r="BG22" i="5"/>
  <c r="BS8" i="5"/>
  <c r="BN14" i="5" s="1"/>
  <c r="BI96" i="4"/>
  <c r="BA86" i="1"/>
  <c r="AY6" i="10"/>
  <c r="BG406" i="6"/>
  <c r="BG408" i="6"/>
  <c r="BG407" i="6"/>
  <c r="AW87" i="1"/>
  <c r="AU11" i="10" s="1"/>
  <c r="BH408" i="6"/>
  <c r="BH406" i="6"/>
  <c r="BH407" i="6"/>
  <c r="BQ397" i="6"/>
  <c r="BL402" i="6" s="1"/>
  <c r="BI404" i="6" s="1"/>
  <c r="BM91" i="4"/>
  <c r="BM92" i="4"/>
  <c r="BM93" i="4"/>
  <c r="BO89" i="4"/>
  <c r="BN86" i="4"/>
  <c r="BY82" i="4"/>
  <c r="BT87" i="4" s="1"/>
  <c r="BC85" i="1"/>
  <c r="BC83" i="1"/>
  <c r="BB82" i="1"/>
  <c r="AZ5" i="10" s="1"/>
  <c r="BJ73" i="1"/>
  <c r="BD79" i="1"/>
  <c r="BI415" i="6" l="1"/>
  <c r="BE416" i="6" s="1"/>
  <c r="BD78" i="1"/>
  <c r="BB4" i="10" s="1"/>
  <c r="AY13" i="10" s="1"/>
  <c r="AU15" i="10" s="1"/>
  <c r="BB19" i="10"/>
  <c r="AY20" i="10" s="1"/>
  <c r="AU21" i="10" s="1"/>
  <c r="BC84" i="1"/>
  <c r="BC82" i="1" s="1"/>
  <c r="BA5" i="10" s="1"/>
  <c r="BH405" i="6"/>
  <c r="BG405" i="6"/>
  <c r="BM90" i="4"/>
  <c r="BM95" i="4" s="1"/>
  <c r="BE107" i="4"/>
  <c r="BF410" i="6"/>
  <c r="BE23" i="5"/>
  <c r="BT8" i="5"/>
  <c r="BO14" i="5" s="1"/>
  <c r="BK16" i="5"/>
  <c r="BJ13" i="5"/>
  <c r="BI19" i="5"/>
  <c r="BI18" i="5"/>
  <c r="BI20" i="5"/>
  <c r="BJ404" i="6"/>
  <c r="BI401" i="6"/>
  <c r="BB86" i="1"/>
  <c r="AZ6" i="10"/>
  <c r="BR397" i="6"/>
  <c r="BM402" i="6" s="1"/>
  <c r="BZ82" i="4"/>
  <c r="BU87" i="4" s="1"/>
  <c r="BP89" i="4"/>
  <c r="BP86" i="4" s="1"/>
  <c r="BO86" i="4"/>
  <c r="BN92" i="4"/>
  <c r="BN91" i="4"/>
  <c r="BN93" i="4"/>
  <c r="BD83" i="1"/>
  <c r="BK73" i="1"/>
  <c r="BE79" i="1"/>
  <c r="BE78" i="1" l="1"/>
  <c r="BC4" i="10" s="1"/>
  <c r="BC19" i="10"/>
  <c r="BD85" i="1"/>
  <c r="BD84" i="1"/>
  <c r="BI17" i="5"/>
  <c r="BN90" i="4"/>
  <c r="BG410" i="6"/>
  <c r="BH410" i="6"/>
  <c r="BI22" i="5"/>
  <c r="BJ19" i="5"/>
  <c r="BJ18" i="5"/>
  <c r="BJ20" i="5"/>
  <c r="BU8" i="5"/>
  <c r="BP14" i="5" s="1"/>
  <c r="BL16" i="5"/>
  <c r="BL13" i="5" s="1"/>
  <c r="BK13" i="5"/>
  <c r="BI406" i="6"/>
  <c r="BI408" i="6"/>
  <c r="BI407" i="6"/>
  <c r="BC86" i="1"/>
  <c r="BA6" i="10"/>
  <c r="BK404" i="6"/>
  <c r="BJ401" i="6"/>
  <c r="BS397" i="6"/>
  <c r="BN402" i="6" s="1"/>
  <c r="BO91" i="4"/>
  <c r="BO92" i="4"/>
  <c r="BO93" i="4"/>
  <c r="BQ89" i="4"/>
  <c r="BQ86" i="4" s="1"/>
  <c r="BN95" i="4"/>
  <c r="BP91" i="4"/>
  <c r="BP93" i="4"/>
  <c r="BP92" i="4"/>
  <c r="CA82" i="4"/>
  <c r="BV87" i="4" s="1"/>
  <c r="BE85" i="1"/>
  <c r="BE84" i="1"/>
  <c r="BE83" i="1"/>
  <c r="BL73" i="1"/>
  <c r="BF79" i="1"/>
  <c r="BD82" i="1" l="1"/>
  <c r="BB5" i="10" s="1"/>
  <c r="BB6" i="10" s="1"/>
  <c r="AY7" i="10" s="1"/>
  <c r="BF78" i="1"/>
  <c r="BD4" i="10" s="1"/>
  <c r="BD19" i="10"/>
  <c r="BJ17" i="5"/>
  <c r="BJ22" i="5" s="1"/>
  <c r="BI405" i="6"/>
  <c r="BP90" i="4"/>
  <c r="BP95" i="4" s="1"/>
  <c r="BO90" i="4"/>
  <c r="BO95" i="4" s="1"/>
  <c r="BE411" i="6"/>
  <c r="BK19" i="5"/>
  <c r="BK18" i="5"/>
  <c r="BK20" i="5"/>
  <c r="BV8" i="5"/>
  <c r="BQ14" i="5" s="1"/>
  <c r="BM16" i="5"/>
  <c r="BL18" i="5"/>
  <c r="BL19" i="5"/>
  <c r="BL20" i="5"/>
  <c r="BD86" i="1"/>
  <c r="BL404" i="6"/>
  <c r="BL401" i="6" s="1"/>
  <c r="BK401" i="6"/>
  <c r="BJ408" i="6"/>
  <c r="BJ407" i="6"/>
  <c r="BJ406" i="6"/>
  <c r="BT397" i="6"/>
  <c r="BO402" i="6" s="1"/>
  <c r="BR89" i="4"/>
  <c r="BR86" i="4" s="1"/>
  <c r="CB82" i="4"/>
  <c r="BW87" i="4" s="1"/>
  <c r="BF84" i="1"/>
  <c r="BF85" i="1"/>
  <c r="BF83" i="1"/>
  <c r="BE82" i="1"/>
  <c r="BC5" i="10" s="1"/>
  <c r="BM73" i="1"/>
  <c r="BG79" i="1"/>
  <c r="BG78" i="1" l="1"/>
  <c r="BE4" i="10" s="1"/>
  <c r="BE19" i="10"/>
  <c r="BK17" i="5"/>
  <c r="BL17" i="5"/>
  <c r="BJ405" i="6"/>
  <c r="BI410" i="6"/>
  <c r="BM13" i="5"/>
  <c r="BN16" i="5"/>
  <c r="BK22" i="5"/>
  <c r="BL22" i="5"/>
  <c r="BW8" i="5"/>
  <c r="BR14" i="5" s="1"/>
  <c r="BM96" i="4"/>
  <c r="BL408" i="6"/>
  <c r="BL406" i="6"/>
  <c r="BL407" i="6"/>
  <c r="BE86" i="1"/>
  <c r="BC6" i="10"/>
  <c r="BK406" i="6"/>
  <c r="BK408" i="6"/>
  <c r="BK407" i="6"/>
  <c r="BA87" i="1"/>
  <c r="AY11" i="10" s="1"/>
  <c r="BU397" i="6"/>
  <c r="BP402" i="6" s="1"/>
  <c r="BM404" i="6" s="1"/>
  <c r="BQ91" i="4"/>
  <c r="BQ92" i="4"/>
  <c r="BQ93" i="4"/>
  <c r="CC82" i="4"/>
  <c r="BX87" i="4" s="1"/>
  <c r="BS89" i="4"/>
  <c r="BS86" i="4" s="1"/>
  <c r="BG83" i="1"/>
  <c r="BF82" i="1"/>
  <c r="BD5" i="10" s="1"/>
  <c r="BN73" i="1"/>
  <c r="BH79" i="1"/>
  <c r="BM415" i="6" l="1"/>
  <c r="BI416" i="6" s="1"/>
  <c r="BH78" i="1"/>
  <c r="BH84" i="1" s="1"/>
  <c r="BF19" i="10"/>
  <c r="BC20" i="10" s="1"/>
  <c r="AY21" i="10" s="1"/>
  <c r="BG84" i="1"/>
  <c r="BG85" i="1"/>
  <c r="BL405" i="6"/>
  <c r="BK405" i="6"/>
  <c r="BF4" i="10"/>
  <c r="BC13" i="10" s="1"/>
  <c r="AY15" i="10" s="1"/>
  <c r="BQ90" i="4"/>
  <c r="BQ95" i="4" s="1"/>
  <c r="BI107" i="4"/>
  <c r="BJ410" i="6"/>
  <c r="BN13" i="5"/>
  <c r="BO16" i="5"/>
  <c r="BX8" i="5"/>
  <c r="BS14" i="5" s="1"/>
  <c r="BI23" i="5"/>
  <c r="BM18" i="5"/>
  <c r="BM20" i="5"/>
  <c r="BM19" i="5"/>
  <c r="BN404" i="6"/>
  <c r="BM401" i="6"/>
  <c r="BF86" i="1"/>
  <c r="BD6" i="10"/>
  <c r="BV397" i="6"/>
  <c r="BQ402" i="6" s="1"/>
  <c r="BT89" i="4"/>
  <c r="BT86" i="4" s="1"/>
  <c r="CD82" i="4"/>
  <c r="BY87" i="4" s="1"/>
  <c r="BU89" i="4"/>
  <c r="BR91" i="4"/>
  <c r="BR93" i="4"/>
  <c r="BR92" i="4"/>
  <c r="BO73" i="1"/>
  <c r="BI79" i="1"/>
  <c r="BG82" i="1" l="1"/>
  <c r="BE5" i="10" s="1"/>
  <c r="BH83" i="1"/>
  <c r="BH82" i="1" s="1"/>
  <c r="BF5" i="10" s="1"/>
  <c r="BI78" i="1"/>
  <c r="BG4" i="10" s="1"/>
  <c r="BG19" i="10"/>
  <c r="BH85" i="1"/>
  <c r="BM17" i="5"/>
  <c r="BR90" i="4"/>
  <c r="BK410" i="6"/>
  <c r="BL410" i="6"/>
  <c r="BY8" i="5"/>
  <c r="BT14" i="5" s="1"/>
  <c r="BN19" i="5"/>
  <c r="BN18" i="5"/>
  <c r="BN20" i="5"/>
  <c r="BM22" i="5"/>
  <c r="BP16" i="5"/>
  <c r="BP13" i="5" s="1"/>
  <c r="BO13" i="5"/>
  <c r="BM406" i="6"/>
  <c r="BM408" i="6"/>
  <c r="BM407" i="6"/>
  <c r="BG86" i="1"/>
  <c r="BE6" i="10"/>
  <c r="BO404" i="6"/>
  <c r="BN401" i="6"/>
  <c r="BW397" i="6"/>
  <c r="BR402" i="6" s="1"/>
  <c r="BV89" i="4"/>
  <c r="BU86" i="4"/>
  <c r="BR95" i="4"/>
  <c r="BS91" i="4"/>
  <c r="BS93" i="4"/>
  <c r="BS92" i="4"/>
  <c r="CE82" i="4"/>
  <c r="BZ87" i="4" s="1"/>
  <c r="BT91" i="4"/>
  <c r="BT93" i="4"/>
  <c r="BT92" i="4"/>
  <c r="BI84" i="1"/>
  <c r="BP73" i="1"/>
  <c r="BJ79" i="1"/>
  <c r="BN17" i="5" l="1"/>
  <c r="BN22" i="5" s="1"/>
  <c r="BI83" i="1"/>
  <c r="BI85" i="1"/>
  <c r="BJ78" i="1"/>
  <c r="BH4" i="10" s="1"/>
  <c r="BH19" i="10"/>
  <c r="BM405" i="6"/>
  <c r="BS90" i="4"/>
  <c r="BS95" i="4" s="1"/>
  <c r="BT90" i="4"/>
  <c r="BT95" i="4" s="1"/>
  <c r="BI411" i="6"/>
  <c r="BP18" i="5"/>
  <c r="BP19" i="5"/>
  <c r="BP20" i="5"/>
  <c r="BO20" i="5"/>
  <c r="BO18" i="5"/>
  <c r="BO19" i="5"/>
  <c r="BQ16" i="5"/>
  <c r="BZ8" i="5"/>
  <c r="BU14" i="5" s="1"/>
  <c r="BH86" i="1"/>
  <c r="BF6" i="10"/>
  <c r="BC7" i="10" s="1"/>
  <c r="BN408" i="6"/>
  <c r="BN407" i="6"/>
  <c r="BN406" i="6"/>
  <c r="BP404" i="6"/>
  <c r="BP401" i="6" s="1"/>
  <c r="BO401" i="6"/>
  <c r="BX397" i="6"/>
  <c r="BS402" i="6" s="1"/>
  <c r="CF82" i="4"/>
  <c r="CA87" i="4" s="1"/>
  <c r="BU91" i="4"/>
  <c r="BU92" i="4"/>
  <c r="BU93" i="4"/>
  <c r="BW89" i="4"/>
  <c r="BV86" i="4"/>
  <c r="BJ84" i="1"/>
  <c r="BJ85" i="1"/>
  <c r="BJ83" i="1"/>
  <c r="BQ73" i="1"/>
  <c r="BK79" i="1"/>
  <c r="BI82" i="1" l="1"/>
  <c r="BG5" i="10" s="1"/>
  <c r="BG6" i="10" s="1"/>
  <c r="BK78" i="1"/>
  <c r="BI4" i="10" s="1"/>
  <c r="BI19" i="10"/>
  <c r="BQ96" i="4"/>
  <c r="BM107" i="4" s="1"/>
  <c r="BO17" i="5"/>
  <c r="BO22" i="5" s="1"/>
  <c r="BP17" i="5"/>
  <c r="BP22" i="5" s="1"/>
  <c r="BN405" i="6"/>
  <c r="BU90" i="4"/>
  <c r="BU95" i="4" s="1"/>
  <c r="BM410" i="6"/>
  <c r="CA8" i="5"/>
  <c r="BV14" i="5" s="1"/>
  <c r="BR16" i="5"/>
  <c r="BQ13" i="5"/>
  <c r="BI86" i="1"/>
  <c r="BP408" i="6"/>
  <c r="BP406" i="6"/>
  <c r="BP407" i="6"/>
  <c r="BE87" i="1"/>
  <c r="BC11" i="10" s="1"/>
  <c r="BO406" i="6"/>
  <c r="BO408" i="6"/>
  <c r="BO407" i="6"/>
  <c r="BY397" i="6"/>
  <c r="BT402" i="6" s="1"/>
  <c r="BQ404" i="6" s="1"/>
  <c r="BX89" i="4"/>
  <c r="BX86" i="4" s="1"/>
  <c r="BW86" i="4"/>
  <c r="CG82" i="4"/>
  <c r="CB87" i="4" s="1"/>
  <c r="BV92" i="4"/>
  <c r="BV93" i="4"/>
  <c r="BV91" i="4"/>
  <c r="BK85" i="1"/>
  <c r="BK83" i="1"/>
  <c r="BJ82" i="1"/>
  <c r="BH5" i="10" s="1"/>
  <c r="BR73" i="1"/>
  <c r="BL79" i="1"/>
  <c r="BQ415" i="6" l="1"/>
  <c r="BM416" i="6" s="1"/>
  <c r="BL78" i="1"/>
  <c r="BJ4" i="10" s="1"/>
  <c r="BG13" i="10" s="1"/>
  <c r="BC15" i="10" s="1"/>
  <c r="BJ19" i="10"/>
  <c r="BG20" i="10" s="1"/>
  <c r="BC21" i="10" s="1"/>
  <c r="BK84" i="1"/>
  <c r="BK82" i="1" s="1"/>
  <c r="BI5" i="10" s="1"/>
  <c r="BP405" i="6"/>
  <c r="BO405" i="6"/>
  <c r="BV90" i="4"/>
  <c r="BN410" i="6"/>
  <c r="BQ19" i="5"/>
  <c r="BQ18" i="5"/>
  <c r="BQ20" i="5"/>
  <c r="BM23" i="5"/>
  <c r="BS16" i="5"/>
  <c r="BR13" i="5"/>
  <c r="CB8" i="5"/>
  <c r="BW14" i="5" s="1"/>
  <c r="BR404" i="6"/>
  <c r="BQ401" i="6"/>
  <c r="BJ86" i="1"/>
  <c r="BH6" i="10"/>
  <c r="BZ397" i="6"/>
  <c r="BU402" i="6" s="1"/>
  <c r="BV95" i="4"/>
  <c r="CH82" i="4"/>
  <c r="CC87" i="4" s="1"/>
  <c r="BW92" i="4"/>
  <c r="BW91" i="4"/>
  <c r="BW93" i="4"/>
  <c r="BX91" i="4"/>
  <c r="BX93" i="4"/>
  <c r="BX92" i="4"/>
  <c r="BL85" i="1"/>
  <c r="BS73" i="1"/>
  <c r="BM79" i="1"/>
  <c r="BL84" i="1" l="1"/>
  <c r="BM78" i="1"/>
  <c r="BK4" i="10" s="1"/>
  <c r="BK19" i="10"/>
  <c r="BL83" i="1"/>
  <c r="BQ17" i="5"/>
  <c r="BQ22" i="5" s="1"/>
  <c r="BX90" i="4"/>
  <c r="BX95" i="4" s="1"/>
  <c r="BW90" i="4"/>
  <c r="BW95" i="4" s="1"/>
  <c r="BP410" i="6"/>
  <c r="BO410" i="6"/>
  <c r="BT16" i="5"/>
  <c r="BT13" i="5" s="1"/>
  <c r="BS13" i="5"/>
  <c r="CC8" i="5"/>
  <c r="BX14" i="5" s="1"/>
  <c r="BR19" i="5"/>
  <c r="BR18" i="5"/>
  <c r="BR20" i="5"/>
  <c r="BQ406" i="6"/>
  <c r="BQ408" i="6"/>
  <c r="BQ407" i="6"/>
  <c r="BK86" i="1"/>
  <c r="BI6" i="10"/>
  <c r="BS404" i="6"/>
  <c r="BR401" i="6"/>
  <c r="CA397" i="6"/>
  <c r="BV402" i="6" s="1"/>
  <c r="BL82" i="1"/>
  <c r="BJ5" i="10" s="1"/>
  <c r="BY89" i="4"/>
  <c r="CI82" i="4"/>
  <c r="CD87" i="4" s="1"/>
  <c r="BM84" i="1"/>
  <c r="BT73" i="1"/>
  <c r="BN79" i="1"/>
  <c r="BM83" i="1" l="1"/>
  <c r="BM85" i="1"/>
  <c r="BM82" i="1" s="1"/>
  <c r="BK5" i="10" s="1"/>
  <c r="BN78" i="1"/>
  <c r="BL4" i="10" s="1"/>
  <c r="BL19" i="10"/>
  <c r="BR17" i="5"/>
  <c r="BR22" i="5" s="1"/>
  <c r="BM411" i="6"/>
  <c r="BQ405" i="6"/>
  <c r="BT19" i="5"/>
  <c r="BT20" i="5"/>
  <c r="BT18" i="5"/>
  <c r="BU16" i="5"/>
  <c r="CD8" i="5"/>
  <c r="BY14" i="5" s="1"/>
  <c r="BS19" i="5"/>
  <c r="BS18" i="5"/>
  <c r="BS20" i="5"/>
  <c r="BU96" i="4"/>
  <c r="BL86" i="1"/>
  <c r="BJ6" i="10"/>
  <c r="BG7" i="10" s="1"/>
  <c r="BT404" i="6"/>
  <c r="BT401" i="6" s="1"/>
  <c r="BS401" i="6"/>
  <c r="BR408" i="6"/>
  <c r="BR407" i="6"/>
  <c r="BR406" i="6"/>
  <c r="CB397" i="6"/>
  <c r="BW402" i="6" s="1"/>
  <c r="CJ82" i="4"/>
  <c r="CE87" i="4" s="1"/>
  <c r="BZ89" i="4"/>
  <c r="BY86" i="4"/>
  <c r="BN84" i="1"/>
  <c r="BN85" i="1"/>
  <c r="BN83" i="1"/>
  <c r="BU73" i="1"/>
  <c r="BO79" i="1"/>
  <c r="BO78" i="1" l="1"/>
  <c r="BM4" i="10" s="1"/>
  <c r="BM19" i="10"/>
  <c r="BS17" i="5"/>
  <c r="BS22" i="5" s="1"/>
  <c r="BT17" i="5"/>
  <c r="BR405" i="6"/>
  <c r="BQ107" i="4"/>
  <c r="BQ410" i="6"/>
  <c r="BT22" i="5"/>
  <c r="CE8" i="5"/>
  <c r="BZ14" i="5" s="1"/>
  <c r="BV16" i="5"/>
  <c r="BU13" i="5"/>
  <c r="BT408" i="6"/>
  <c r="BT406" i="6"/>
  <c r="BT407" i="6"/>
  <c r="BM86" i="1"/>
  <c r="BK6" i="10"/>
  <c r="BS406" i="6"/>
  <c r="BS408" i="6"/>
  <c r="BS407" i="6"/>
  <c r="BI87" i="1"/>
  <c r="BG11" i="10" s="1"/>
  <c r="CC397" i="6"/>
  <c r="BX402" i="6" s="1"/>
  <c r="BU404" i="6" s="1"/>
  <c r="BY92" i="4"/>
  <c r="BY93" i="4"/>
  <c r="BY91" i="4"/>
  <c r="CA89" i="4"/>
  <c r="BZ86" i="4"/>
  <c r="CK82" i="4"/>
  <c r="CF87" i="4" s="1"/>
  <c r="BO83" i="1"/>
  <c r="BN82" i="1"/>
  <c r="BL5" i="10" s="1"/>
  <c r="BV73" i="1"/>
  <c r="BP79" i="1"/>
  <c r="BU415" i="6" l="1"/>
  <c r="BQ416" i="6" s="1"/>
  <c r="BP78" i="1"/>
  <c r="BP84" i="1" s="1"/>
  <c r="BN19" i="10"/>
  <c r="BK20" i="10" s="1"/>
  <c r="BG21" i="10" s="1"/>
  <c r="BO84" i="1"/>
  <c r="BO82" i="1" s="1"/>
  <c r="BM5" i="10" s="1"/>
  <c r="BO85" i="1"/>
  <c r="BS405" i="6"/>
  <c r="BT405" i="6"/>
  <c r="BN4" i="10"/>
  <c r="BK13" i="10" s="1"/>
  <c r="BG15" i="10" s="1"/>
  <c r="BY90" i="4"/>
  <c r="BY95" i="4" s="1"/>
  <c r="BR410" i="6"/>
  <c r="BQ23" i="5"/>
  <c r="BW16" i="5"/>
  <c r="BV13" i="5"/>
  <c r="BU18" i="5"/>
  <c r="BU20" i="5"/>
  <c r="BU19" i="5"/>
  <c r="CF8" i="5"/>
  <c r="CA14" i="5" s="1"/>
  <c r="BV404" i="6"/>
  <c r="BU401" i="6"/>
  <c r="BN86" i="1"/>
  <c r="BL6" i="10"/>
  <c r="CD397" i="6"/>
  <c r="BY402" i="6" s="1"/>
  <c r="CL82" i="4"/>
  <c r="CG87" i="4" s="1"/>
  <c r="BZ91" i="4"/>
  <c r="BZ93" i="4"/>
  <c r="BZ92" i="4"/>
  <c r="CB89" i="4"/>
  <c r="CB86" i="4" s="1"/>
  <c r="CA86" i="4"/>
  <c r="BW73" i="1"/>
  <c r="BQ79" i="1"/>
  <c r="BP83" i="1" l="1"/>
  <c r="BQ78" i="1"/>
  <c r="BO4" i="10" s="1"/>
  <c r="BO19" i="10"/>
  <c r="BP85" i="1"/>
  <c r="BU17" i="5"/>
  <c r="BZ90" i="4"/>
  <c r="BZ95" i="4" s="1"/>
  <c r="BS410" i="6"/>
  <c r="BT410" i="6"/>
  <c r="CG8" i="5"/>
  <c r="CB14" i="5" s="1"/>
  <c r="BV19" i="5"/>
  <c r="BV18" i="5"/>
  <c r="BV20" i="5"/>
  <c r="BU22" i="5"/>
  <c r="BX16" i="5"/>
  <c r="BX13" i="5" s="1"/>
  <c r="BW13" i="5"/>
  <c r="BU406" i="6"/>
  <c r="BU408" i="6"/>
  <c r="BU407" i="6"/>
  <c r="BO86" i="1"/>
  <c r="BM6" i="10"/>
  <c r="BW404" i="6"/>
  <c r="BV401" i="6"/>
  <c r="CE397" i="6"/>
  <c r="BZ402" i="6" s="1"/>
  <c r="CB91" i="4"/>
  <c r="CB93" i="4"/>
  <c r="CB92" i="4"/>
  <c r="CA92" i="4"/>
  <c r="CA91" i="4"/>
  <c r="CA93" i="4"/>
  <c r="CC89" i="4"/>
  <c r="CM82" i="4"/>
  <c r="CH87" i="4" s="1"/>
  <c r="BP82" i="1"/>
  <c r="BN5" i="10" s="1"/>
  <c r="BQ84" i="1"/>
  <c r="BX73" i="1"/>
  <c r="BR79" i="1"/>
  <c r="BQ83" i="1" l="1"/>
  <c r="BQ85" i="1"/>
  <c r="BR78" i="1"/>
  <c r="BP4" i="10" s="1"/>
  <c r="BP19" i="10"/>
  <c r="BV17" i="5"/>
  <c r="BV22" i="5" s="1"/>
  <c r="BU405" i="6"/>
  <c r="CA90" i="4"/>
  <c r="CA95" i="4" s="1"/>
  <c r="CB90" i="4"/>
  <c r="CB95" i="4" s="1"/>
  <c r="BQ411" i="6"/>
  <c r="BW20" i="5"/>
  <c r="BW18" i="5"/>
  <c r="BW19" i="5"/>
  <c r="BX18" i="5"/>
  <c r="BX19" i="5"/>
  <c r="BX20" i="5"/>
  <c r="BY16" i="5"/>
  <c r="CH8" i="5"/>
  <c r="CC14" i="5" s="1"/>
  <c r="BP86" i="1"/>
  <c r="BN6" i="10"/>
  <c r="BK7" i="10" s="1"/>
  <c r="BV408" i="6"/>
  <c r="BV407" i="6"/>
  <c r="BV406" i="6"/>
  <c r="BX404" i="6"/>
  <c r="BX401" i="6" s="1"/>
  <c r="BW401" i="6"/>
  <c r="CF397" i="6"/>
  <c r="CA402" i="6" s="1"/>
  <c r="CN82" i="4"/>
  <c r="CI87" i="4" s="1"/>
  <c r="CD89" i="4"/>
  <c r="CD86" i="4" s="1"/>
  <c r="CC86" i="4"/>
  <c r="BR83" i="1"/>
  <c r="BQ82" i="1"/>
  <c r="BO5" i="10" s="1"/>
  <c r="BY73" i="1"/>
  <c r="BS79" i="1"/>
  <c r="BS78" i="1" l="1"/>
  <c r="BQ4" i="10" s="1"/>
  <c r="BQ19" i="10"/>
  <c r="BR84" i="1"/>
  <c r="BR85" i="1"/>
  <c r="BW17" i="5"/>
  <c r="BX17" i="5"/>
  <c r="BX22" i="5" s="1"/>
  <c r="BV405" i="6"/>
  <c r="BU410" i="6"/>
  <c r="BW22" i="5"/>
  <c r="CI8" i="5"/>
  <c r="CD14" i="5" s="1"/>
  <c r="BZ16" i="5"/>
  <c r="BY13" i="5"/>
  <c r="BY96" i="4"/>
  <c r="BW406" i="6"/>
  <c r="BW408" i="6"/>
  <c r="BW407" i="6"/>
  <c r="BQ86" i="1"/>
  <c r="BO6" i="10"/>
  <c r="BX408" i="6"/>
  <c r="BX406" i="6"/>
  <c r="BX407" i="6"/>
  <c r="BM87" i="1"/>
  <c r="BK11" i="10" s="1"/>
  <c r="CG397" i="6"/>
  <c r="CB402" i="6" s="1"/>
  <c r="BY404" i="6" s="1"/>
  <c r="CC92" i="4"/>
  <c r="CC93" i="4"/>
  <c r="CC91" i="4"/>
  <c r="CE89" i="4"/>
  <c r="CO82" i="4"/>
  <c r="CJ87" i="4" s="1"/>
  <c r="BS84" i="1"/>
  <c r="BT79" i="1"/>
  <c r="BR82" i="1" l="1"/>
  <c r="BP5" i="10" s="1"/>
  <c r="BP6" i="10" s="1"/>
  <c r="BY415" i="6"/>
  <c r="BU416" i="6" s="1"/>
  <c r="BT78" i="1"/>
  <c r="BR4" i="10" s="1"/>
  <c r="BO13" i="10" s="1"/>
  <c r="BK15" i="10" s="1"/>
  <c r="BR19" i="10"/>
  <c r="BO20" i="10" s="1"/>
  <c r="BK21" i="10" s="1"/>
  <c r="BS83" i="1"/>
  <c r="BS85" i="1"/>
  <c r="CC90" i="4"/>
  <c r="CC95" i="4" s="1"/>
  <c r="BX405" i="6"/>
  <c r="BW405" i="6"/>
  <c r="BU107" i="4"/>
  <c r="BV410" i="6"/>
  <c r="BU23" i="5"/>
  <c r="BY18" i="5"/>
  <c r="BY20" i="5"/>
  <c r="BY19" i="5"/>
  <c r="CJ8" i="5"/>
  <c r="CE14" i="5" s="1"/>
  <c r="CA16" i="5"/>
  <c r="BZ13" i="5"/>
  <c r="BZ404" i="6"/>
  <c r="BY401" i="6"/>
  <c r="BR86" i="1"/>
  <c r="CH397" i="6"/>
  <c r="CC402" i="6" s="1"/>
  <c r="CF89" i="4"/>
  <c r="CF86" i="4" s="1"/>
  <c r="CE86" i="4"/>
  <c r="CD92" i="4"/>
  <c r="CD91" i="4"/>
  <c r="CD93" i="4"/>
  <c r="BT85" i="1"/>
  <c r="BS82" i="1"/>
  <c r="BQ5" i="10" s="1"/>
  <c r="CA73" i="1"/>
  <c r="BU79" i="1"/>
  <c r="BU78" i="1" l="1"/>
  <c r="BS4" i="10" s="1"/>
  <c r="BS19" i="10"/>
  <c r="BT84" i="1"/>
  <c r="BT83" i="1"/>
  <c r="BT82" i="1" s="1"/>
  <c r="BR5" i="10" s="1"/>
  <c r="BY17" i="5"/>
  <c r="CD90" i="4"/>
  <c r="CD95" i="4" s="1"/>
  <c r="BW410" i="6"/>
  <c r="BX410" i="6"/>
  <c r="CB16" i="5"/>
  <c r="CB13" i="5" s="1"/>
  <c r="CA13" i="5"/>
  <c r="BZ20" i="5"/>
  <c r="BZ19" i="5"/>
  <c r="BZ18" i="5"/>
  <c r="CF14" i="5"/>
  <c r="CC27" i="5" s="1"/>
  <c r="BY28" i="5" s="1"/>
  <c r="BY22" i="5"/>
  <c r="BS86" i="1"/>
  <c r="BQ6" i="10"/>
  <c r="BY406" i="6"/>
  <c r="BY408" i="6"/>
  <c r="BY407" i="6"/>
  <c r="CA404" i="6"/>
  <c r="BZ401" i="6"/>
  <c r="CE92" i="4"/>
  <c r="CE91" i="4"/>
  <c r="CE93" i="4"/>
  <c r="CG89" i="4"/>
  <c r="CF91" i="4"/>
  <c r="CF93" i="4"/>
  <c r="CF92" i="4"/>
  <c r="BU85" i="1"/>
  <c r="BU84" i="1"/>
  <c r="BU83" i="1"/>
  <c r="CB73" i="1"/>
  <c r="BV79" i="1"/>
  <c r="BZ17" i="5" l="1"/>
  <c r="BV78" i="1"/>
  <c r="BT4" i="10" s="1"/>
  <c r="BT19" i="10"/>
  <c r="BY405" i="6"/>
  <c r="CF90" i="4"/>
  <c r="CE90" i="4"/>
  <c r="CE95" i="4" s="1"/>
  <c r="BU411" i="6"/>
  <c r="CI397" i="6"/>
  <c r="CD402" i="6" s="1"/>
  <c r="BZ22" i="5"/>
  <c r="CA18" i="5"/>
  <c r="CA20" i="5"/>
  <c r="CA19" i="5"/>
  <c r="CC16" i="5"/>
  <c r="CG14" i="5"/>
  <c r="CB18" i="5"/>
  <c r="CB19" i="5"/>
  <c r="CB20" i="5"/>
  <c r="BZ408" i="6"/>
  <c r="BZ407" i="6"/>
  <c r="BZ406" i="6"/>
  <c r="BT86" i="1"/>
  <c r="BR6" i="10"/>
  <c r="BO7" i="10" s="1"/>
  <c r="CB404" i="6"/>
  <c r="CB401" i="6" s="1"/>
  <c r="CA401" i="6"/>
  <c r="CF95" i="4"/>
  <c r="CH89" i="4"/>
  <c r="CG86" i="4"/>
  <c r="BV85" i="1"/>
  <c r="BU82" i="1"/>
  <c r="BS5" i="10" s="1"/>
  <c r="CC73" i="1"/>
  <c r="BW79" i="1"/>
  <c r="BV84" i="1" l="1"/>
  <c r="BW78" i="1"/>
  <c r="BU4" i="10" s="1"/>
  <c r="BU19" i="10"/>
  <c r="BV83" i="1"/>
  <c r="BV82" i="1" s="1"/>
  <c r="BT5" i="10" s="1"/>
  <c r="CB17" i="5"/>
  <c r="CB22" i="5" s="1"/>
  <c r="CA17" i="5"/>
  <c r="CA22" i="5" s="1"/>
  <c r="BZ405" i="6"/>
  <c r="BY410" i="6"/>
  <c r="CJ397" i="6"/>
  <c r="CE402" i="6" s="1"/>
  <c r="CM8" i="5"/>
  <c r="CH14" i="5" s="1"/>
  <c r="CC13" i="5"/>
  <c r="CD16" i="5"/>
  <c r="CC96" i="4"/>
  <c r="CA406" i="6"/>
  <c r="CA408" i="6"/>
  <c r="CA407" i="6"/>
  <c r="BQ87" i="1"/>
  <c r="BO11" i="10" s="1"/>
  <c r="BU86" i="1"/>
  <c r="BS6" i="10"/>
  <c r="CB408" i="6"/>
  <c r="CB406" i="6"/>
  <c r="CB407" i="6"/>
  <c r="CG92" i="4"/>
  <c r="CG93" i="4"/>
  <c r="CG91" i="4"/>
  <c r="CI89" i="4"/>
  <c r="CH86" i="4"/>
  <c r="BW83" i="1"/>
  <c r="BX79" i="1"/>
  <c r="BU91" i="1" s="1"/>
  <c r="BQ92" i="1" s="1"/>
  <c r="BW85" i="1" l="1"/>
  <c r="BX78" i="1"/>
  <c r="BX83" i="1" s="1"/>
  <c r="BV19" i="10"/>
  <c r="BS20" i="10" s="1"/>
  <c r="BO21" i="10" s="1"/>
  <c r="BW84" i="1"/>
  <c r="BW82" i="1" s="1"/>
  <c r="BU5" i="10" s="1"/>
  <c r="CB405" i="6"/>
  <c r="CG90" i="4"/>
  <c r="CA405" i="6"/>
  <c r="BV4" i="10"/>
  <c r="BS13" i="10" s="1"/>
  <c r="BO15" i="10" s="1"/>
  <c r="BY107" i="4"/>
  <c r="BZ410" i="6"/>
  <c r="CK397" i="6"/>
  <c r="CF402" i="6" s="1"/>
  <c r="CC404" i="6" s="1"/>
  <c r="CE16" i="5"/>
  <c r="CD13" i="5"/>
  <c r="CC19" i="5"/>
  <c r="CC18" i="5"/>
  <c r="CC20" i="5"/>
  <c r="BY23" i="5"/>
  <c r="BV86" i="1"/>
  <c r="BT6" i="10"/>
  <c r="CJ89" i="4"/>
  <c r="CI86" i="4"/>
  <c r="CH91" i="4"/>
  <c r="CH93" i="4"/>
  <c r="CH92" i="4"/>
  <c r="CE73" i="1"/>
  <c r="BY79" i="1"/>
  <c r="CC415" i="6" l="1"/>
  <c r="BY416" i="6" s="1"/>
  <c r="BX85" i="1"/>
  <c r="BY78" i="1"/>
  <c r="BW4" i="10" s="1"/>
  <c r="BW19" i="10"/>
  <c r="BX84" i="1"/>
  <c r="CC17" i="5"/>
  <c r="CC22" i="5" s="1"/>
  <c r="CH90" i="4"/>
  <c r="CH95" i="4" s="1"/>
  <c r="CB410" i="6"/>
  <c r="CA410" i="6"/>
  <c r="CD404" i="6"/>
  <c r="CD401" i="6" s="1"/>
  <c r="CC401" i="6"/>
  <c r="CL397" i="6"/>
  <c r="CL399" i="6" s="1"/>
  <c r="CN8" i="5"/>
  <c r="CI14" i="5" s="1"/>
  <c r="CD20" i="5"/>
  <c r="CD19" i="5"/>
  <c r="CD18" i="5"/>
  <c r="CF16" i="5"/>
  <c r="CF13" i="5" s="1"/>
  <c r="CE13" i="5"/>
  <c r="CG95" i="4"/>
  <c r="BW86" i="1"/>
  <c r="BU6" i="10"/>
  <c r="CI91" i="4"/>
  <c r="CI93" i="4"/>
  <c r="CI92" i="4"/>
  <c r="CJ86" i="4"/>
  <c r="CF73" i="1"/>
  <c r="BZ79" i="1"/>
  <c r="BX82" i="1" l="1"/>
  <c r="BV5" i="10" s="1"/>
  <c r="BV6" i="10" s="1"/>
  <c r="BS7" i="10" s="1"/>
  <c r="CG402" i="6"/>
  <c r="BY84" i="1"/>
  <c r="BY83" i="1"/>
  <c r="BY82" i="1" s="1"/>
  <c r="BW5" i="10" s="1"/>
  <c r="BY85" i="1"/>
  <c r="BZ78" i="1"/>
  <c r="BX4" i="10" s="1"/>
  <c r="BX19" i="10"/>
  <c r="CD17" i="5"/>
  <c r="CD22" i="5" s="1"/>
  <c r="CI90" i="4"/>
  <c r="CI95" i="4" s="1"/>
  <c r="BY411" i="6"/>
  <c r="CC406" i="6"/>
  <c r="CE404" i="6"/>
  <c r="CF404" i="6" s="1"/>
  <c r="CF401" i="6" s="1"/>
  <c r="CC408" i="6"/>
  <c r="CM397" i="6"/>
  <c r="CH402" i="6" s="1"/>
  <c r="CC407" i="6"/>
  <c r="CO8" i="5"/>
  <c r="CF18" i="5"/>
  <c r="CF19" i="5"/>
  <c r="CF20" i="5"/>
  <c r="CE20" i="5"/>
  <c r="CE18" i="5"/>
  <c r="CE19" i="5"/>
  <c r="BX86" i="1"/>
  <c r="CD408" i="6"/>
  <c r="CD407" i="6"/>
  <c r="CD406" i="6"/>
  <c r="CJ91" i="4"/>
  <c r="CJ93" i="4"/>
  <c r="CJ92" i="4"/>
  <c r="CG73" i="1"/>
  <c r="CA79" i="1"/>
  <c r="BZ83" i="1" l="1"/>
  <c r="BZ84" i="1"/>
  <c r="BZ82" i="1" s="1"/>
  <c r="BX5" i="10" s="1"/>
  <c r="BZ85" i="1"/>
  <c r="CA78" i="1"/>
  <c r="BY4" i="10" s="1"/>
  <c r="BY19" i="10"/>
  <c r="CE17" i="5"/>
  <c r="CF17" i="5"/>
  <c r="CD405" i="6"/>
  <c r="CC405" i="6"/>
  <c r="CJ90" i="4"/>
  <c r="CE401" i="6"/>
  <c r="CJ14" i="5"/>
  <c r="CN397" i="6"/>
  <c r="CI402" i="6" s="1"/>
  <c r="CE22" i="5"/>
  <c r="CF22" i="5"/>
  <c r="BY86" i="1"/>
  <c r="BW6" i="10"/>
  <c r="CF408" i="6"/>
  <c r="CF407" i="6"/>
  <c r="CF406" i="6"/>
  <c r="BU87" i="1"/>
  <c r="BS11" i="10" s="1"/>
  <c r="CO397" i="6"/>
  <c r="CA83" i="1"/>
  <c r="CB79" i="1"/>
  <c r="BY91" i="1" s="1"/>
  <c r="BU92" i="1" s="1"/>
  <c r="CA85" i="1" l="1"/>
  <c r="CG16" i="5"/>
  <c r="CH16" i="5" s="1"/>
  <c r="CI16" i="5" s="1"/>
  <c r="CG27" i="5"/>
  <c r="CC28" i="5" s="1"/>
  <c r="CA84" i="1"/>
  <c r="CA82" i="1" s="1"/>
  <c r="BY5" i="10" s="1"/>
  <c r="CB78" i="1"/>
  <c r="BZ4" i="10" s="1"/>
  <c r="BW13" i="10" s="1"/>
  <c r="BS15" i="10" s="1"/>
  <c r="BZ19" i="10"/>
  <c r="BW20" i="10" s="1"/>
  <c r="BS21" i="10" s="1"/>
  <c r="CF405" i="6"/>
  <c r="CD410" i="6"/>
  <c r="CE406" i="6"/>
  <c r="CC410" i="6"/>
  <c r="CE408" i="6"/>
  <c r="CE407" i="6"/>
  <c r="CJ402" i="6"/>
  <c r="CG404" i="6" s="1"/>
  <c r="CC23" i="5"/>
  <c r="BZ86" i="1"/>
  <c r="BX6" i="10"/>
  <c r="CJ95" i="4"/>
  <c r="CB84" i="1"/>
  <c r="CI73" i="1"/>
  <c r="CC79" i="1"/>
  <c r="CG415" i="6" l="1"/>
  <c r="CC416" i="6" s="1"/>
  <c r="CG13" i="5"/>
  <c r="CG19" i="5" s="1"/>
  <c r="CB83" i="1"/>
  <c r="CB85" i="1"/>
  <c r="CC78" i="1"/>
  <c r="CA4" i="10" s="1"/>
  <c r="CA19" i="10"/>
  <c r="CE405" i="6"/>
  <c r="CF410" i="6"/>
  <c r="CH13" i="5"/>
  <c r="CJ16" i="5"/>
  <c r="CI13" i="5"/>
  <c r="CA86" i="1"/>
  <c r="BY6" i="10"/>
  <c r="CH404" i="6"/>
  <c r="CG401" i="6"/>
  <c r="CG96" i="4"/>
  <c r="CK96" i="4" s="1"/>
  <c r="CJ73" i="1"/>
  <c r="CD79" i="1"/>
  <c r="CG18" i="5" l="1"/>
  <c r="CG20" i="5"/>
  <c r="CC84" i="1"/>
  <c r="CC83" i="1"/>
  <c r="CC85" i="1"/>
  <c r="CB82" i="1"/>
  <c r="BZ5" i="10" s="1"/>
  <c r="BZ6" i="10" s="1"/>
  <c r="BW7" i="10" s="1"/>
  <c r="CD78" i="1"/>
  <c r="CB4" i="10" s="1"/>
  <c r="CB19" i="10"/>
  <c r="CH20" i="5"/>
  <c r="CC107" i="4"/>
  <c r="CE410" i="6"/>
  <c r="CC411" i="6" s="1"/>
  <c r="CH19" i="5"/>
  <c r="CH18" i="5"/>
  <c r="CI19" i="5"/>
  <c r="CI18" i="5"/>
  <c r="CI20" i="5"/>
  <c r="CJ13" i="5"/>
  <c r="CK13" i="5" s="1"/>
  <c r="CB86" i="1"/>
  <c r="CI404" i="6"/>
  <c r="CH401" i="6"/>
  <c r="CG408" i="6"/>
  <c r="CG406" i="6"/>
  <c r="CG407" i="6"/>
  <c r="CD85" i="1"/>
  <c r="CK73" i="1"/>
  <c r="CE79" i="1"/>
  <c r="CG17" i="5" l="1"/>
  <c r="CG22" i="5" s="1"/>
  <c r="CC82" i="1"/>
  <c r="CA5" i="10" s="1"/>
  <c r="CA6" i="10" s="1"/>
  <c r="CD84" i="1"/>
  <c r="CD83" i="1"/>
  <c r="CD82" i="1" s="1"/>
  <c r="CB5" i="10" s="1"/>
  <c r="CE78" i="1"/>
  <c r="CC4" i="10" s="1"/>
  <c r="CC19" i="10"/>
  <c r="CI17" i="5"/>
  <c r="CI22" i="5" s="1"/>
  <c r="CH17" i="5"/>
  <c r="CH22" i="5" s="1"/>
  <c r="CG405" i="6"/>
  <c r="CG107" i="4"/>
  <c r="CJ19" i="5"/>
  <c r="CJ20" i="5"/>
  <c r="CJ18" i="5"/>
  <c r="CJ404" i="6"/>
  <c r="CI401" i="6"/>
  <c r="BY87" i="1"/>
  <c r="BW11" i="10" s="1"/>
  <c r="CH408" i="6"/>
  <c r="CH407" i="6"/>
  <c r="CH406" i="6"/>
  <c r="CF79" i="1"/>
  <c r="CC91" i="1" s="1"/>
  <c r="BY92" i="1" s="1"/>
  <c r="CC86" i="1" l="1"/>
  <c r="CE84" i="1"/>
  <c r="CE83" i="1"/>
  <c r="CE85" i="1"/>
  <c r="CF78" i="1"/>
  <c r="CD4" i="10" s="1"/>
  <c r="CA13" i="10" s="1"/>
  <c r="BW15" i="10" s="1"/>
  <c r="CD19" i="10"/>
  <c r="CA20" i="10" s="1"/>
  <c r="BW21" i="10" s="1"/>
  <c r="CJ17" i="5"/>
  <c r="CH405" i="6"/>
  <c r="CG410" i="6"/>
  <c r="CJ401" i="6"/>
  <c r="CD86" i="1"/>
  <c r="CB6" i="10"/>
  <c r="CI406" i="6"/>
  <c r="CI408" i="6"/>
  <c r="CI407" i="6"/>
  <c r="CP3" i="1"/>
  <c r="CM73" i="1"/>
  <c r="CG79" i="1"/>
  <c r="CF85" i="1" l="1"/>
  <c r="CF84" i="1"/>
  <c r="CF83" i="1"/>
  <c r="CE82" i="1"/>
  <c r="CC5" i="10" s="1"/>
  <c r="CC6" i="10" s="1"/>
  <c r="CG78" i="1"/>
  <c r="CE4" i="10" s="1"/>
  <c r="CE19" i="10"/>
  <c r="CI405" i="6"/>
  <c r="CK401" i="6"/>
  <c r="CH410" i="6"/>
  <c r="CJ22" i="5"/>
  <c r="CK22" i="5" s="1"/>
  <c r="CJ407" i="6"/>
  <c r="CJ408" i="6"/>
  <c r="CJ406" i="6"/>
  <c r="CG84" i="1"/>
  <c r="CN73" i="1"/>
  <c r="CH79" i="1"/>
  <c r="CF82" i="1" l="1"/>
  <c r="CD5" i="10" s="1"/>
  <c r="CD6" i="10" s="1"/>
  <c r="CA7" i="10" s="1"/>
  <c r="CE86" i="1"/>
  <c r="CG83" i="1"/>
  <c r="CG85" i="1"/>
  <c r="CH78" i="1"/>
  <c r="CF4" i="10" s="1"/>
  <c r="CF19" i="10"/>
  <c r="CJ405" i="6"/>
  <c r="CG23" i="5"/>
  <c r="CK23" i="5" s="1"/>
  <c r="CF86" i="1"/>
  <c r="CI410" i="6"/>
  <c r="CO73" i="1"/>
  <c r="CI79" i="1"/>
  <c r="CH85" i="1" l="1"/>
  <c r="CG82" i="1"/>
  <c r="CE5" i="10" s="1"/>
  <c r="CE6" i="10" s="1"/>
  <c r="CH84" i="1"/>
  <c r="CH83" i="1"/>
  <c r="CI78" i="1"/>
  <c r="CG4" i="10" s="1"/>
  <c r="CG19" i="10"/>
  <c r="CK107" i="4"/>
  <c r="CJ410" i="6"/>
  <c r="CG411" i="6" s="1"/>
  <c r="CC87" i="1"/>
  <c r="CA11" i="10" s="1"/>
  <c r="CP61" i="1"/>
  <c r="CP73" i="1" s="1"/>
  <c r="CJ79" i="1"/>
  <c r="CG91" i="1" s="1"/>
  <c r="CC92" i="1" s="1"/>
  <c r="CG86" i="1" l="1"/>
  <c r="CI84" i="1"/>
  <c r="CH82" i="1"/>
  <c r="CF5" i="10" s="1"/>
  <c r="CF6" i="10" s="1"/>
  <c r="CI83" i="1"/>
  <c r="CI85" i="1"/>
  <c r="CK79" i="1"/>
  <c r="CH19" i="10"/>
  <c r="CE20" i="10" s="1"/>
  <c r="CA21" i="10" s="1"/>
  <c r="CJ78" i="1"/>
  <c r="CH86" i="1" l="1"/>
  <c r="CI82" i="1"/>
  <c r="CG5" i="10" s="1"/>
  <c r="CG6" i="10" s="1"/>
  <c r="CH4" i="10"/>
  <c r="CI86" i="1"/>
  <c r="CJ84" i="1"/>
  <c r="CK84" i="1" s="1"/>
  <c r="CJ83" i="1"/>
  <c r="CJ85" i="1"/>
  <c r="CK85" i="1" s="1"/>
  <c r="CK78" i="1"/>
  <c r="CI4" i="10" l="1"/>
  <c r="CE13" i="10"/>
  <c r="CA15" i="10" s="1"/>
  <c r="CJ82" i="1"/>
  <c r="CH5" i="10" s="1"/>
  <c r="CK83" i="1"/>
  <c r="CH6" i="10" l="1"/>
  <c r="CE7" i="10" s="1"/>
  <c r="CI13" i="10"/>
  <c r="CJ86" i="1"/>
  <c r="CK82" i="1"/>
  <c r="CO107" i="4" l="1"/>
  <c r="CP3" i="6"/>
  <c r="CK86" i="1"/>
  <c r="CG87" i="1"/>
  <c r="CK87" i="1" l="1"/>
  <c r="CE11" i="10"/>
  <c r="CS107" i="4"/>
  <c r="CP57" i="6" l="1"/>
  <c r="CP397" i="6" s="1"/>
  <c r="CK402" i="6"/>
  <c r="CW107" i="4" l="1"/>
  <c r="CK404" i="6" l="1"/>
  <c r="CK407" i="6" l="1"/>
  <c r="CK408" i="6"/>
  <c r="CK406" i="6" l="1"/>
  <c r="DA107" i="4" l="1"/>
  <c r="CK405" i="6"/>
  <c r="CK410" i="6" l="1"/>
  <c r="CK411" i="6" l="1"/>
  <c r="DE107" i="4" l="1"/>
  <c r="DI107" i="4" l="1"/>
  <c r="DM107" i="4" l="1"/>
  <c r="DQ107" i="4" l="1"/>
  <c r="DU107" i="4" l="1"/>
  <c r="CP3" i="4" l="1"/>
  <c r="CP82" i="4" s="1"/>
  <c r="CK87" i="4" l="1"/>
  <c r="CK89" i="4" l="1"/>
  <c r="CK92" i="4" l="1"/>
  <c r="CK93" i="4"/>
  <c r="CK86" i="4"/>
  <c r="CK91" i="4" l="1"/>
  <c r="CP8" i="5" l="1"/>
  <c r="CK95" i="4"/>
  <c r="CK90" i="4"/>
  <c r="CK14" i="5" l="1"/>
  <c r="CK4" i="10" l="1"/>
  <c r="CK16" i="5"/>
  <c r="CK19" i="5" l="1"/>
  <c r="CK20" i="5"/>
  <c r="CK18" i="5" l="1"/>
  <c r="CK9" i="10" s="1"/>
  <c r="CI5" i="10" l="1"/>
  <c r="CI6" i="10"/>
  <c r="CK17" i="5"/>
  <c r="CK5" i="10" s="1"/>
  <c r="CI7" i="10" l="1"/>
</calcChain>
</file>

<file path=xl/comments1.xml><?xml version="1.0" encoding="utf-8"?>
<comments xmlns="http://schemas.openxmlformats.org/spreadsheetml/2006/main">
  <authors>
    <author>作者</author>
    <author>rf</author>
  </authors>
  <commentList>
    <comment ref="F1" authorId="0" shapeId="0">
      <text>
        <r>
          <rPr>
            <sz val="9"/>
            <rFont val="宋体"/>
            <family val="3"/>
            <charset val="134"/>
          </rPr>
          <t>作者:
实测套内面积</t>
        </r>
      </text>
    </comment>
    <comment ref="C64" authorId="1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KF-B-12</t>
        </r>
        <r>
          <rPr>
            <sz val="9"/>
            <rFont val="宋体"/>
            <family val="3"/>
            <charset val="134"/>
          </rPr>
          <t xml:space="preserve">地下三层库房
</t>
        </r>
      </text>
    </comment>
    <comment ref="M64" authorId="0" shapeId="0">
      <text>
        <r>
          <rPr>
            <sz val="9"/>
            <rFont val="宋体"/>
            <family val="3"/>
            <charset val="134"/>
          </rPr>
          <t>作者:
2011.9.14-2012.3.13</t>
        </r>
      </text>
    </comment>
    <comment ref="V64" authorId="0" shapeId="0">
      <text>
        <r>
          <rPr>
            <sz val="9"/>
            <rFont val="宋体"/>
            <family val="3"/>
            <charset val="134"/>
          </rPr>
          <t>作者:
2012.6.1-11.30</t>
        </r>
      </text>
    </comment>
    <comment ref="CF64" authorId="0" shapeId="0">
      <text>
        <r>
          <rPr>
            <sz val="9"/>
            <rFont val="宋体"/>
            <family val="3"/>
            <charset val="134"/>
          </rPr>
          <t xml:space="preserve">2012.12-2013.5
</t>
        </r>
      </text>
    </comment>
    <comment ref="CL64" authorId="0" shapeId="0">
      <text>
        <r>
          <rPr>
            <sz val="9"/>
            <rFont val="宋体"/>
            <family val="3"/>
            <charset val="134"/>
          </rPr>
          <t xml:space="preserve">2013.6-2013.11
</t>
        </r>
      </text>
    </comment>
    <comment ref="V65" authorId="0" shapeId="0">
      <text>
        <r>
          <rPr>
            <sz val="9"/>
            <rFont val="宋体"/>
            <family val="3"/>
            <charset val="134"/>
          </rPr>
          <t xml:space="preserve">作者:
2012-6-562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F1" authorId="0" shapeId="0">
      <text>
        <r>
          <rPr>
            <sz val="9"/>
            <rFont val="宋体"/>
            <family val="3"/>
            <charset val="134"/>
          </rPr>
          <t>作者:
实测套内面积</t>
        </r>
      </text>
    </comment>
    <comment ref="F5" authorId="0" shapeId="0">
      <text>
        <r>
          <rPr>
            <sz val="9"/>
            <rFont val="宋体"/>
            <family val="3"/>
            <charset val="134"/>
          </rPr>
          <t>作者:
合同工无</t>
        </r>
      </text>
    </comment>
    <comment ref="I5" authorId="0" shapeId="0">
      <text>
        <r>
          <rPr>
            <sz val="9"/>
            <rFont val="宋体"/>
            <family val="3"/>
            <charset val="134"/>
          </rPr>
          <t>作者:
2011.3.1.1#</t>
        </r>
      </text>
    </comment>
    <comment ref="CC6" authorId="0" shapeId="0">
      <text>
        <r>
          <rPr>
            <sz val="9"/>
            <rFont val="宋体"/>
            <family val="3"/>
            <charset val="134"/>
          </rPr>
          <t>作者:
12.10-74</t>
        </r>
      </text>
    </comment>
  </commentList>
</comments>
</file>

<file path=xl/comments3.xml><?xml version="1.0" encoding="utf-8"?>
<comments xmlns="http://schemas.openxmlformats.org/spreadsheetml/2006/main">
  <authors>
    <author>作者</author>
    <author>rf</author>
  </authors>
  <commentList>
    <comment ref="F1" authorId="0" shapeId="0">
      <text>
        <r>
          <rPr>
            <sz val="9"/>
            <rFont val="宋体"/>
            <family val="3"/>
            <charset val="134"/>
          </rPr>
          <t>作者:
实测套内面积</t>
        </r>
      </text>
    </comment>
    <comment ref="I4" authorId="0" shapeId="0">
      <text>
        <r>
          <rPr>
            <sz val="9"/>
            <rFont val="宋体"/>
            <family val="3"/>
            <charset val="134"/>
          </rPr>
          <t>暴菲:
保函在2011.8-271凭证后</t>
        </r>
      </text>
    </comment>
    <comment ref="I6" authorId="0" shapeId="0">
      <text>
        <r>
          <rPr>
            <sz val="9"/>
            <rFont val="宋体"/>
            <family val="3"/>
            <charset val="134"/>
          </rPr>
          <t>作者:
2012.2-78</t>
        </r>
      </text>
    </comment>
    <comment ref="F7" authorId="0" shapeId="0">
      <text>
        <r>
          <rPr>
            <sz val="9"/>
            <rFont val="宋体"/>
            <family val="3"/>
            <charset val="134"/>
          </rPr>
          <t xml:space="preserve">作者:
B01#292.37,C31#20.57,143#73.76
</t>
        </r>
      </text>
    </comment>
    <comment ref="D11" authorId="1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2016.7.18-2016.8.31</t>
        </r>
        <r>
          <rPr>
            <sz val="9"/>
            <rFont val="宋体"/>
            <family val="3"/>
            <charset val="134"/>
          </rPr>
          <t xml:space="preserve">装修
</t>
        </r>
      </text>
    </comment>
    <comment ref="D19" authorId="1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2016.6.2-2016.7.31</t>
        </r>
        <r>
          <rPr>
            <sz val="9"/>
            <rFont val="宋体"/>
            <family val="3"/>
            <charset val="134"/>
          </rPr>
          <t xml:space="preserve">装修
</t>
        </r>
      </text>
    </comment>
    <comment ref="I28" authorId="0" shapeId="0">
      <text>
        <r>
          <rPr>
            <sz val="9"/>
            <rFont val="宋体"/>
            <family val="3"/>
            <charset val="134"/>
          </rPr>
          <t>作者:
2011.5-188#</t>
        </r>
      </text>
    </comment>
    <comment ref="I37" authorId="0" shapeId="0">
      <text>
        <r>
          <rPr>
            <sz val="9"/>
            <rFont val="宋体"/>
            <family val="3"/>
            <charset val="134"/>
          </rPr>
          <t>作者:
2011.1.24.491#</t>
        </r>
      </text>
    </comment>
    <comment ref="I40" authorId="0" shapeId="0">
      <text>
        <r>
          <rPr>
            <sz val="9"/>
            <rFont val="宋体"/>
            <family val="3"/>
            <charset val="134"/>
          </rPr>
          <t>作者:
2011.9-545</t>
        </r>
      </text>
    </comment>
    <comment ref="D41" authorId="1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2016.9.20-2016.10.19</t>
        </r>
        <r>
          <rPr>
            <sz val="9"/>
            <rFont val="宋体"/>
            <family val="3"/>
            <charset val="134"/>
          </rPr>
          <t>装修</t>
        </r>
      </text>
    </comment>
    <comment ref="I42" authorId="0" shapeId="0">
      <text>
        <r>
          <rPr>
            <sz val="9"/>
            <rFont val="宋体"/>
            <family val="3"/>
            <charset val="134"/>
          </rPr>
          <t>作者:
2011.9-545</t>
        </r>
      </text>
    </comment>
    <comment ref="CH69" authorId="0" shapeId="0">
      <text>
        <r>
          <rPr>
            <sz val="9"/>
            <rFont val="宋体"/>
            <family val="3"/>
            <charset val="134"/>
          </rPr>
          <t>作者:
2.1-2.14</t>
        </r>
      </text>
    </comment>
    <comment ref="I70" authorId="0" shapeId="0">
      <text>
        <r>
          <rPr>
            <sz val="9"/>
            <rFont val="宋体"/>
            <family val="3"/>
            <charset val="134"/>
          </rPr>
          <t>作者:
2012.2-78</t>
        </r>
      </text>
    </comment>
    <comment ref="CB70" authorId="0" shapeId="0">
      <text>
        <r>
          <rPr>
            <sz val="9"/>
            <rFont val="宋体"/>
            <family val="3"/>
            <charset val="134"/>
          </rPr>
          <t>作者:
7-515</t>
        </r>
      </text>
    </comment>
    <comment ref="CE70" authorId="0" shapeId="0">
      <text>
        <r>
          <rPr>
            <sz val="9"/>
            <rFont val="宋体"/>
            <family val="3"/>
            <charset val="134"/>
          </rPr>
          <t>作者:
12.10-429</t>
        </r>
      </text>
    </comment>
  </commentList>
</comments>
</file>

<file path=xl/comments4.xml><?xml version="1.0" encoding="utf-8"?>
<comments xmlns="http://schemas.openxmlformats.org/spreadsheetml/2006/main">
  <authors>
    <author>作者</author>
    <author>lujing4</author>
    <author>rf</author>
    <author>余志强</author>
    <author>lipengcheng</author>
    <author>sony</author>
  </authors>
  <commentList>
    <comment ref="F1" authorId="0" shapeId="0">
      <text>
        <r>
          <rPr>
            <sz val="9"/>
            <rFont val="宋体"/>
            <family val="3"/>
            <charset val="134"/>
          </rPr>
          <t>作者:
实测套内面积</t>
        </r>
      </text>
    </comment>
    <comment ref="I8" authorId="0" shapeId="0">
      <text>
        <r>
          <rPr>
            <sz val="9"/>
            <rFont val="宋体"/>
            <family val="3"/>
            <charset val="134"/>
          </rPr>
          <t>作者:
2011.8-91#</t>
        </r>
      </text>
    </comment>
    <comment ref="F15" authorId="0" shapeId="0">
      <text>
        <r>
          <rPr>
            <sz val="9"/>
            <rFont val="宋体"/>
            <family val="3"/>
            <charset val="134"/>
          </rPr>
          <t xml:space="preserve">从2013.6.1增加1.2平米
</t>
        </r>
      </text>
    </comment>
    <comment ref="C17" authorId="0" shapeId="0">
      <text>
        <r>
          <rPr>
            <sz val="9"/>
            <rFont val="宋体"/>
            <family val="3"/>
            <charset val="134"/>
          </rPr>
          <t>作者:
净销售额的14%，承租人的财务报告中所显示的净销售额是终局并且是决定性的依据，按月计算，按年结算。出租人每月5日前向出租人提交上月销售额报告。租赁年度结束10内，发差额租金付款通知单。</t>
        </r>
      </text>
    </comment>
    <comment ref="I20" authorId="0" shapeId="0">
      <text>
        <r>
          <rPr>
            <sz val="9"/>
            <rFont val="宋体"/>
            <family val="3"/>
            <charset val="134"/>
          </rPr>
          <t>作者:
2011.7-592#</t>
        </r>
      </text>
    </comment>
    <comment ref="F21" authorId="0" shapeId="0">
      <text>
        <r>
          <rPr>
            <sz val="9"/>
            <rFont val="宋体"/>
            <family val="3"/>
            <charset val="134"/>
          </rPr>
          <t>作者:
103#169.45，202-1#260.74</t>
        </r>
      </text>
    </comment>
    <comment ref="C23" authorId="0" shapeId="0">
      <text>
        <r>
          <rPr>
            <sz val="9"/>
            <rFont val="宋体"/>
            <family val="3"/>
            <charset val="134"/>
          </rPr>
          <t>作者:
提成租金,销售净额8%</t>
        </r>
      </text>
    </comment>
    <comment ref="I32" authorId="0" shapeId="0">
      <text>
        <r>
          <rPr>
            <sz val="9"/>
            <rFont val="宋体"/>
            <family val="3"/>
            <charset val="134"/>
          </rPr>
          <t>作者:
2011.9-501</t>
        </r>
      </text>
    </comment>
    <comment ref="G35" authorId="0" shapeId="0">
      <text>
        <r>
          <rPr>
            <sz val="9"/>
            <rFont val="宋体"/>
            <family val="3"/>
            <charset val="134"/>
          </rPr>
          <t>作者:
2010.11.15-2011.9.14,15元;2011.9.15-2012.9.14,17元</t>
        </r>
      </text>
    </comment>
    <comment ref="I36" authorId="0" shapeId="0">
      <text>
        <r>
          <rPr>
            <sz val="9"/>
            <rFont val="宋体"/>
            <family val="3"/>
            <charset val="134"/>
          </rPr>
          <t>作者:
2012.4-274</t>
        </r>
      </text>
    </comment>
    <comment ref="G37" authorId="0" shapeId="0">
      <text>
        <r>
          <rPr>
            <sz val="9"/>
            <rFont val="宋体"/>
            <family val="3"/>
            <charset val="134"/>
          </rPr>
          <t>作者:
2010.11.15-2011.9.14,15元;2011.9.15-2012.9.14,17元</t>
        </r>
      </text>
    </comment>
    <comment ref="I38" authorId="0" shapeId="0">
      <text>
        <r>
          <rPr>
            <sz val="9"/>
            <rFont val="宋体"/>
            <family val="3"/>
            <charset val="134"/>
          </rPr>
          <t>作者:
2012.4-274</t>
        </r>
      </text>
    </comment>
    <comment ref="I40" authorId="0" shapeId="0">
      <text>
        <r>
          <rPr>
            <sz val="9"/>
            <rFont val="宋体"/>
            <family val="3"/>
            <charset val="134"/>
          </rPr>
          <t>作者:
2011.12-594</t>
        </r>
      </text>
    </comment>
    <comment ref="I42" authorId="0" shapeId="0">
      <text>
        <r>
          <rPr>
            <sz val="9"/>
            <rFont val="宋体"/>
            <family val="3"/>
            <charset val="134"/>
          </rPr>
          <t>作者:
2012.1-90</t>
        </r>
      </text>
    </comment>
    <comment ref="I46" authorId="0" shapeId="0">
      <text>
        <r>
          <rPr>
            <sz val="9"/>
            <rFont val="宋体"/>
            <family val="3"/>
            <charset val="134"/>
          </rPr>
          <t>作者:
2012.2-96</t>
        </r>
      </text>
    </comment>
    <comment ref="F49" authorId="0" shapeId="0">
      <text>
        <r>
          <rPr>
            <sz val="9"/>
            <rFont val="宋体"/>
            <family val="3"/>
            <charset val="134"/>
          </rPr>
          <t>作者:
高层1356.96=1329.96+27
低层高区10.68</t>
        </r>
      </text>
    </comment>
    <comment ref="D51" authorId="0" shapeId="0">
      <text>
        <r>
          <rPr>
            <sz val="9"/>
            <rFont val="宋体"/>
            <family val="3"/>
            <charset val="134"/>
          </rPr>
          <t xml:space="preserve">2014年8月签订补充协议：从2014年8月11-2017年8月10日租金单价变更，抽成租金变为17%
</t>
        </r>
      </text>
    </comment>
    <comment ref="I64" authorId="0" shapeId="0">
      <text>
        <r>
          <rPr>
            <sz val="9"/>
            <rFont val="宋体"/>
            <family val="3"/>
            <charset val="134"/>
          </rPr>
          <t xml:space="preserve">2012-11-131#
</t>
        </r>
      </text>
    </comment>
    <comment ref="D65" authorId="0" shapeId="0">
      <text>
        <r>
          <rPr>
            <sz val="9"/>
            <rFont val="宋体"/>
            <family val="3"/>
            <charset val="134"/>
          </rPr>
          <t xml:space="preserve">2012.10.8-2015.10.7于补充协议一修改为2012.10.8-2014.5.31
</t>
        </r>
      </text>
    </comment>
    <comment ref="D67" authorId="1" shapeId="0">
      <text>
        <r>
          <rPr>
            <b/>
            <sz val="9"/>
            <color indexed="81"/>
            <rFont val="Tahoma"/>
            <family val="2"/>
          </rPr>
          <t>2017.11.10</t>
        </r>
        <r>
          <rPr>
            <b/>
            <sz val="9"/>
            <color indexed="81"/>
            <rFont val="宋体"/>
            <family val="3"/>
            <charset val="134"/>
          </rPr>
          <t>交场，</t>
        </r>
        <r>
          <rPr>
            <b/>
            <sz val="9"/>
            <color indexed="81"/>
            <rFont val="Tahoma"/>
            <family val="2"/>
          </rPr>
          <t>8</t>
        </r>
        <r>
          <rPr>
            <b/>
            <sz val="9"/>
            <color indexed="81"/>
            <rFont val="宋体"/>
            <family val="3"/>
            <charset val="134"/>
          </rPr>
          <t>年</t>
        </r>
      </text>
    </comment>
    <comment ref="I77" authorId="0" shapeId="0">
      <text>
        <r>
          <rPr>
            <sz val="9"/>
            <rFont val="宋体"/>
            <family val="3"/>
            <charset val="134"/>
          </rPr>
          <t>作者:
2011.8-91#</t>
        </r>
      </text>
    </comment>
    <comment ref="B82" authorId="0" shapeId="0">
      <text>
        <r>
          <rPr>
            <sz val="9"/>
            <rFont val="宋体"/>
            <family val="3"/>
            <charset val="134"/>
          </rPr>
          <t>zhaocong:
NC中租户商铺65-01</t>
        </r>
      </text>
    </comment>
    <comment ref="I85" authorId="0" shapeId="0">
      <text>
        <r>
          <rPr>
            <sz val="9"/>
            <rFont val="宋体"/>
            <family val="3"/>
            <charset val="134"/>
          </rPr>
          <t>作者:
2011.11-150</t>
        </r>
      </text>
    </comment>
    <comment ref="I93" authorId="0" shapeId="0">
      <text>
        <r>
          <rPr>
            <sz val="9"/>
            <rFont val="宋体"/>
            <family val="3"/>
            <charset val="134"/>
          </rPr>
          <t>作者:
2011.6-205#</t>
        </r>
      </text>
    </comment>
    <comment ref="I95" authorId="0" shapeId="0">
      <text>
        <r>
          <rPr>
            <sz val="9"/>
            <rFont val="宋体"/>
            <family val="3"/>
            <charset val="134"/>
          </rPr>
          <t>作者:
2011.11-150</t>
        </r>
      </text>
    </comment>
    <comment ref="I99" authorId="0" shapeId="0">
      <text>
        <r>
          <rPr>
            <sz val="9"/>
            <rFont val="宋体"/>
            <family val="3"/>
            <charset val="134"/>
          </rPr>
          <t>作者:
2011.7-548#</t>
        </r>
      </text>
    </comment>
    <comment ref="I112" authorId="0" shapeId="0">
      <text>
        <r>
          <rPr>
            <sz val="9"/>
            <rFont val="宋体"/>
            <family val="3"/>
            <charset val="134"/>
          </rPr>
          <t>作者:
2010.11.16.308#</t>
        </r>
      </text>
    </comment>
    <comment ref="D124" authorId="2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2016.4.15-2016.5.14</t>
        </r>
        <r>
          <rPr>
            <sz val="9"/>
            <rFont val="宋体"/>
            <family val="3"/>
            <charset val="134"/>
          </rPr>
          <t xml:space="preserve">装修免租期
</t>
        </r>
      </text>
    </comment>
    <comment ref="I135" authorId="0" shapeId="0">
      <text>
        <r>
          <rPr>
            <sz val="9"/>
            <rFont val="宋体"/>
            <family val="3"/>
            <charset val="134"/>
          </rPr>
          <t>作者:
2011.9-415</t>
        </r>
      </text>
    </comment>
    <comment ref="I139" authorId="0" shapeId="0">
      <text>
        <r>
          <rPr>
            <sz val="9"/>
            <rFont val="宋体"/>
            <family val="3"/>
            <charset val="134"/>
          </rPr>
          <t>作者:
2011.12-60</t>
        </r>
      </text>
    </comment>
    <comment ref="F140" authorId="3" shapeId="0">
      <text>
        <r>
          <rPr>
            <b/>
            <sz val="9"/>
            <color indexed="81"/>
            <rFont val="宋体"/>
            <family val="3"/>
            <charset val="134"/>
          </rPr>
          <t>余志强:</t>
        </r>
        <r>
          <rPr>
            <sz val="9"/>
            <color indexed="81"/>
            <rFont val="宋体"/>
            <family val="3"/>
            <charset val="134"/>
          </rPr>
          <t xml:space="preserve">
17.06.12起面积由296缩减为166.3</t>
        </r>
      </text>
    </comment>
    <comment ref="I141" authorId="0" shapeId="0">
      <text>
        <r>
          <rPr>
            <sz val="9"/>
            <rFont val="宋体"/>
            <family val="3"/>
            <charset val="134"/>
          </rPr>
          <t>作者:
2011.9-546</t>
        </r>
      </text>
    </comment>
    <comment ref="I143" authorId="0" shapeId="0">
      <text>
        <r>
          <rPr>
            <sz val="9"/>
            <rFont val="宋体"/>
            <family val="3"/>
            <charset val="134"/>
          </rPr>
          <t>作者:
2011.12-60</t>
        </r>
      </text>
    </comment>
    <comment ref="I145" authorId="0" shapeId="0">
      <text>
        <r>
          <rPr>
            <sz val="9"/>
            <rFont val="宋体"/>
            <family val="3"/>
            <charset val="134"/>
          </rPr>
          <t>作者:
2011.11-284</t>
        </r>
      </text>
    </comment>
    <comment ref="I147" authorId="0" shapeId="0">
      <text>
        <r>
          <rPr>
            <sz val="9"/>
            <rFont val="宋体"/>
            <family val="3"/>
            <charset val="134"/>
          </rPr>
          <t>作者:
2011.11-284</t>
        </r>
      </text>
    </comment>
    <comment ref="I149" authorId="0" shapeId="0">
      <text>
        <r>
          <rPr>
            <sz val="9"/>
            <rFont val="宋体"/>
            <family val="3"/>
            <charset val="134"/>
          </rPr>
          <t>作者:
2011.9-485</t>
        </r>
      </text>
    </comment>
    <comment ref="I154" authorId="0" shapeId="0">
      <text>
        <r>
          <rPr>
            <sz val="9"/>
            <rFont val="宋体"/>
            <family val="3"/>
            <charset val="134"/>
          </rPr>
          <t xml:space="preserve">由204转入
</t>
        </r>
      </text>
    </comment>
    <comment ref="I163" authorId="0" shapeId="0">
      <text>
        <r>
          <rPr>
            <sz val="9"/>
            <rFont val="宋体"/>
            <family val="3"/>
            <charset val="134"/>
          </rPr>
          <t>作者:
2011.6-205#</t>
        </r>
      </text>
    </comment>
    <comment ref="J167" authorId="0" shapeId="0">
      <text>
        <r>
          <rPr>
            <sz val="9"/>
            <rFont val="宋体"/>
            <family val="3"/>
            <charset val="134"/>
          </rPr>
          <t>作者:
2011.6-150#</t>
        </r>
      </text>
    </comment>
    <comment ref="I169" authorId="0" shapeId="0">
      <text>
        <r>
          <rPr>
            <sz val="9"/>
            <rFont val="宋体"/>
            <family val="3"/>
            <charset val="134"/>
          </rPr>
          <t>作者:
2012.4-98</t>
        </r>
      </text>
    </comment>
    <comment ref="I174" authorId="0" shapeId="0">
      <text>
        <r>
          <rPr>
            <sz val="9"/>
            <rFont val="宋体"/>
            <family val="3"/>
            <charset val="134"/>
          </rPr>
          <t>作者:
2011.6-378#</t>
        </r>
      </text>
    </comment>
    <comment ref="I175" authorId="0" shapeId="0">
      <text>
        <r>
          <rPr>
            <sz val="9"/>
            <rFont val="宋体"/>
            <family val="3"/>
            <charset val="134"/>
          </rPr>
          <t>作者:
2010.12.10.222#</t>
        </r>
      </text>
    </comment>
    <comment ref="I177" authorId="0" shapeId="0">
      <text>
        <r>
          <rPr>
            <sz val="9"/>
            <rFont val="宋体"/>
            <family val="3"/>
            <charset val="134"/>
          </rPr>
          <t>作者:
2010.12.10.222#</t>
        </r>
      </text>
    </comment>
    <comment ref="I180" authorId="0" shapeId="0">
      <text>
        <r>
          <rPr>
            <sz val="9"/>
            <rFont val="宋体"/>
            <family val="3"/>
            <charset val="134"/>
          </rPr>
          <t>作者:
2011.8-65#</t>
        </r>
      </text>
    </comment>
    <comment ref="I184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D185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免租期</t>
        </r>
        <r>
          <rPr>
            <sz val="9"/>
            <rFont val="Tahoma"/>
            <family val="2"/>
          </rPr>
          <t>2015.11.18-2016.03.17</t>
        </r>
      </text>
    </comment>
    <comment ref="I186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D187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2016.4.15-2016.5.14</t>
        </r>
        <r>
          <rPr>
            <sz val="9"/>
            <rFont val="宋体"/>
            <family val="3"/>
            <charset val="134"/>
          </rPr>
          <t xml:space="preserve">装修
</t>
        </r>
      </text>
    </comment>
    <comment ref="I188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D189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免租期</t>
        </r>
        <r>
          <rPr>
            <sz val="9"/>
            <rFont val="Tahoma"/>
            <family val="2"/>
          </rPr>
          <t>2015.11.18-2016.03.17</t>
        </r>
      </text>
    </comment>
    <comment ref="I190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D191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免租期</t>
        </r>
        <r>
          <rPr>
            <sz val="9"/>
            <rFont val="Tahoma"/>
            <family val="2"/>
          </rPr>
          <t>2015.12.15-2016.03.13</t>
        </r>
      </text>
    </comment>
    <comment ref="I192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I194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F203" authorId="0" shapeId="0">
      <text>
        <r>
          <rPr>
            <sz val="9"/>
            <rFont val="宋体"/>
            <family val="3"/>
            <charset val="134"/>
          </rPr>
          <t>作者:
变更租赁面积171.5变到279.69</t>
        </r>
      </text>
    </comment>
    <comment ref="I203" authorId="0" shapeId="0">
      <text>
        <r>
          <rPr>
            <sz val="9"/>
            <rFont val="宋体"/>
            <family val="3"/>
            <charset val="134"/>
          </rPr>
          <t>作者:
2011.1.11.129#之前押金172143元</t>
        </r>
      </text>
    </comment>
    <comment ref="D211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15.12.15-16.02.12</t>
        </r>
        <r>
          <rPr>
            <sz val="9"/>
            <rFont val="宋体"/>
            <family val="3"/>
            <charset val="134"/>
          </rPr>
          <t>免租期</t>
        </r>
      </text>
    </comment>
    <comment ref="I220" authorId="0" shapeId="0">
      <text>
        <r>
          <rPr>
            <sz val="9"/>
            <rFont val="宋体"/>
            <family val="3"/>
            <charset val="134"/>
          </rPr>
          <t>作者:
2011.12-334</t>
        </r>
      </text>
    </comment>
    <comment ref="I234" authorId="0" shapeId="0">
      <text>
        <r>
          <rPr>
            <sz val="9"/>
            <rFont val="宋体"/>
            <family val="3"/>
            <charset val="134"/>
          </rPr>
          <t>作者:
2011.10-348</t>
        </r>
      </text>
    </comment>
    <comment ref="I239" authorId="0" shapeId="0">
      <text>
        <r>
          <rPr>
            <sz val="9"/>
            <rFont val="宋体"/>
            <family val="3"/>
            <charset val="134"/>
          </rPr>
          <t>作者:
2010.12.3.82#</t>
        </r>
      </text>
    </comment>
    <comment ref="I242" authorId="0" shapeId="0">
      <text>
        <r>
          <rPr>
            <sz val="9"/>
            <rFont val="宋体"/>
            <family val="3"/>
            <charset val="134"/>
          </rPr>
          <t>作者:
2011.8-64#</t>
        </r>
      </text>
    </comment>
    <comment ref="C252" authorId="1" shapeId="0">
      <text>
        <r>
          <rPr>
            <b/>
            <sz val="9"/>
            <color indexed="81"/>
            <rFont val="宋体"/>
            <family val="3"/>
            <charset val="134"/>
          </rPr>
          <t>原为陈小龙</t>
        </r>
        <r>
          <rPr>
            <b/>
            <sz val="9"/>
            <color indexed="81"/>
            <rFont val="Tahoma"/>
            <family val="2"/>
          </rPr>
          <t>2017.09.01</t>
        </r>
        <r>
          <rPr>
            <b/>
            <sz val="9"/>
            <color indexed="81"/>
            <rFont val="宋体"/>
            <family val="3"/>
            <charset val="134"/>
          </rPr>
          <t>变更</t>
        </r>
      </text>
    </comment>
    <comment ref="U254" authorId="0" shapeId="0">
      <text>
        <r>
          <rPr>
            <sz val="9"/>
            <rFont val="宋体"/>
            <family val="3"/>
            <charset val="134"/>
          </rPr>
          <t xml:space="preserve">作者:
2012.5.25-6.24
</t>
        </r>
      </text>
    </comment>
    <comment ref="U255" authorId="0" shapeId="0">
      <text>
        <r>
          <rPr>
            <sz val="9"/>
            <rFont val="宋体"/>
            <family val="3"/>
            <charset val="134"/>
          </rPr>
          <t>作者:
2012-6-472</t>
        </r>
      </text>
    </comment>
    <comment ref="V255" authorId="0" shapeId="0">
      <text>
        <r>
          <rPr>
            <sz val="9"/>
            <rFont val="宋体"/>
            <family val="3"/>
            <charset val="134"/>
          </rPr>
          <t>作者:
2012-7-338</t>
        </r>
      </text>
    </comment>
    <comment ref="W255" authorId="0" shapeId="0">
      <text>
        <r>
          <rPr>
            <sz val="9"/>
            <rFont val="宋体"/>
            <family val="3"/>
            <charset val="134"/>
          </rPr>
          <t>作者:
7-338</t>
        </r>
      </text>
    </comment>
    <comment ref="CB255" authorId="0" shapeId="0">
      <text>
        <r>
          <rPr>
            <sz val="9"/>
            <rFont val="宋体"/>
            <family val="3"/>
            <charset val="134"/>
          </rPr>
          <t>作者:
7-340</t>
        </r>
      </text>
    </comment>
    <comment ref="CE255" authorId="0" shapeId="0">
      <text>
        <r>
          <rPr>
            <sz val="9"/>
            <rFont val="宋体"/>
            <family val="3"/>
            <charset val="134"/>
          </rPr>
          <t>作者:
12.10-237</t>
        </r>
      </text>
    </comment>
    <comment ref="I275" authorId="0" shapeId="0">
      <text>
        <r>
          <rPr>
            <sz val="9"/>
            <rFont val="宋体"/>
            <family val="3"/>
            <charset val="134"/>
          </rPr>
          <t>作者:
2011.2.24.132#</t>
        </r>
      </text>
    </comment>
    <comment ref="D285" authorId="2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2016.6.15-2016.7.14</t>
        </r>
        <r>
          <rPr>
            <sz val="9"/>
            <rFont val="宋体"/>
            <family val="3"/>
            <charset val="134"/>
          </rPr>
          <t xml:space="preserve">装修
</t>
        </r>
      </text>
    </comment>
    <comment ref="D299" authorId="2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2016.7.8-2016.8.6</t>
        </r>
        <r>
          <rPr>
            <sz val="9"/>
            <rFont val="宋体"/>
            <family val="3"/>
            <charset val="134"/>
          </rPr>
          <t xml:space="preserve">装修免租
</t>
        </r>
      </text>
    </comment>
    <comment ref="CC311" authorId="0" shapeId="0">
      <text>
        <r>
          <rPr>
            <sz val="9"/>
            <rFont val="宋体"/>
            <family val="3"/>
            <charset val="134"/>
          </rPr>
          <t>作者:
抽成+3541.7
12.10-422</t>
        </r>
      </text>
    </comment>
    <comment ref="CE311" authorId="0" shapeId="0">
      <text>
        <r>
          <rPr>
            <sz val="9"/>
            <rFont val="宋体"/>
            <family val="3"/>
            <charset val="134"/>
          </rPr>
          <t>作者:
12.10-237</t>
        </r>
      </text>
    </comment>
    <comment ref="CF311" authorId="0" shapeId="0">
      <text>
        <r>
          <rPr>
            <sz val="9"/>
            <rFont val="宋体"/>
            <family val="3"/>
            <charset val="134"/>
          </rPr>
          <t>作者:
12.10-237</t>
        </r>
      </text>
    </comment>
    <comment ref="CB315" authorId="0" shapeId="0">
      <text>
        <r>
          <rPr>
            <sz val="9"/>
            <rFont val="宋体"/>
            <family val="3"/>
            <charset val="134"/>
          </rPr>
          <t>作者:
8-186</t>
        </r>
      </text>
    </comment>
    <comment ref="CD315" authorId="0" shapeId="0">
      <text>
        <r>
          <rPr>
            <sz val="9"/>
            <rFont val="宋体"/>
            <family val="3"/>
            <charset val="134"/>
          </rPr>
          <t>作者:
12.10-173</t>
        </r>
      </text>
    </comment>
    <comment ref="CE315" authorId="0" shapeId="0">
      <text>
        <r>
          <rPr>
            <sz val="9"/>
            <rFont val="宋体"/>
            <family val="3"/>
            <charset val="134"/>
          </rPr>
          <t>作者:
12.10-419</t>
        </r>
      </text>
    </comment>
    <comment ref="I316" authorId="0" shapeId="0">
      <text>
        <r>
          <rPr>
            <sz val="9"/>
            <rFont val="宋体"/>
            <family val="3"/>
            <charset val="134"/>
          </rPr>
          <t>2009.12.20-2011.12.19</t>
        </r>
      </text>
    </comment>
    <comment ref="D318" authorId="2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2016.3.1-2016.3.30</t>
        </r>
        <r>
          <rPr>
            <sz val="9"/>
            <rFont val="宋体"/>
            <family val="3"/>
            <charset val="134"/>
          </rPr>
          <t>装修免租期</t>
        </r>
      </text>
    </comment>
    <comment ref="F342" authorId="3" shapeId="0">
      <text>
        <r>
          <rPr>
            <b/>
            <sz val="9"/>
            <color indexed="81"/>
            <rFont val="宋体"/>
            <family val="3"/>
            <charset val="134"/>
          </rPr>
          <t>余志强:</t>
        </r>
        <r>
          <rPr>
            <sz val="9"/>
            <color indexed="81"/>
            <rFont val="宋体"/>
            <family val="3"/>
            <charset val="134"/>
          </rPr>
          <t xml:space="preserve">
17.06.01商铺由502-7变更为502-6、7，面积由45.02增加为60</t>
        </r>
      </text>
    </comment>
    <comment ref="F348" authorId="0" shapeId="0">
      <text>
        <r>
          <rPr>
            <sz val="9"/>
            <rFont val="宋体"/>
            <family val="3"/>
            <charset val="134"/>
          </rPr>
          <t>Administrator:
原998.88，后增加到1015.50</t>
        </r>
      </text>
    </comment>
    <comment ref="I351" authorId="0" shapeId="0">
      <text>
        <r>
          <rPr>
            <sz val="9"/>
            <rFont val="宋体"/>
            <family val="3"/>
            <charset val="134"/>
          </rPr>
          <t>作者:
2011.8-172#</t>
        </r>
      </text>
    </comment>
    <comment ref="C354" authorId="0" shapeId="0">
      <text>
        <r>
          <rPr>
            <sz val="9"/>
            <rFont val="宋体"/>
            <family val="3"/>
            <charset val="134"/>
          </rPr>
          <t xml:space="preserve">作者:
第二年(12个月)首月20日前结算净票房营业额＝总票房－(总票房*5%电影基金)-[(总票房-总票房*5%电影基金)-总票房*3.36%营业税及附加]，每月10前提交上月票房营业额报表
</t>
        </r>
      </text>
    </comment>
    <comment ref="F354" authorId="0" shapeId="0">
      <text>
        <r>
          <rPr>
            <sz val="9"/>
            <rFont val="宋体"/>
            <family val="3"/>
            <charset val="134"/>
          </rPr>
          <t>作者:
5层729.6，6层3336.2
补充协议二2011.3.1增加3层面积767平米</t>
        </r>
      </text>
    </comment>
    <comment ref="I358" authorId="0" shapeId="0">
      <text>
        <r>
          <rPr>
            <sz val="9"/>
            <rFont val="宋体"/>
            <family val="3"/>
            <charset val="134"/>
          </rPr>
          <t xml:space="preserve">增加3504.01
</t>
        </r>
      </text>
    </comment>
    <comment ref="I362" authorId="0" shapeId="0">
      <text>
        <r>
          <rPr>
            <sz val="9"/>
            <rFont val="宋体"/>
            <family val="3"/>
            <charset val="134"/>
          </rPr>
          <t>作者:
2010.12.9.183#</t>
        </r>
      </text>
    </comment>
    <comment ref="I364" authorId="0" shapeId="0">
      <text>
        <r>
          <rPr>
            <sz val="9"/>
            <rFont val="宋体"/>
            <family val="3"/>
            <charset val="134"/>
          </rPr>
          <t>作者:
2010.12.9.183#</t>
        </r>
      </text>
    </comment>
    <comment ref="D366" authorId="5" shapeId="0">
      <text>
        <r>
          <rPr>
            <b/>
            <sz val="9"/>
            <color indexed="81"/>
            <rFont val="宋体"/>
            <family val="3"/>
            <charset val="134"/>
          </rPr>
          <t>sony:</t>
        </r>
        <r>
          <rPr>
            <sz val="9"/>
            <color indexed="81"/>
            <rFont val="宋体"/>
            <family val="3"/>
            <charset val="134"/>
          </rPr>
          <t xml:space="preserve">
2017.11.1-2019.10.31年租金180万；2019.11.1-2021.10.31年租金190万</t>
        </r>
      </text>
    </comment>
    <comment ref="I367" authorId="0" shapeId="0">
      <text>
        <r>
          <rPr>
            <sz val="9"/>
            <rFont val="宋体"/>
            <family val="3"/>
            <charset val="134"/>
          </rPr>
          <t>作者:
2011.7-142#</t>
        </r>
      </text>
    </comment>
    <comment ref="I369" authorId="0" shapeId="0">
      <text>
        <r>
          <rPr>
            <sz val="9"/>
            <rFont val="宋体"/>
            <family val="3"/>
            <charset val="134"/>
          </rPr>
          <t>作者:
2011.8-597#</t>
        </r>
      </text>
    </comment>
    <comment ref="I371" authorId="0" shapeId="0">
      <text>
        <r>
          <rPr>
            <sz val="9"/>
            <rFont val="宋体"/>
            <family val="3"/>
            <charset val="134"/>
          </rPr>
          <t>作者:
2011.11-317</t>
        </r>
      </text>
    </comment>
    <comment ref="I373" authorId="0" shapeId="0">
      <text>
        <r>
          <rPr>
            <sz val="9"/>
            <rFont val="宋体"/>
            <family val="3"/>
            <charset val="134"/>
          </rPr>
          <t>作者:
2011.11-317</t>
        </r>
      </text>
    </comment>
    <comment ref="I375" authorId="0" shapeId="0">
      <text>
        <r>
          <rPr>
            <sz val="9"/>
            <rFont val="宋体"/>
            <family val="3"/>
            <charset val="134"/>
          </rPr>
          <t>作者:
2011.8-590#</t>
        </r>
      </text>
    </comment>
    <comment ref="I377" authorId="0" shapeId="0">
      <text>
        <r>
          <rPr>
            <sz val="9"/>
            <rFont val="宋体"/>
            <family val="3"/>
            <charset val="134"/>
          </rPr>
          <t>作者:
2011.8-590#</t>
        </r>
      </text>
    </comment>
    <comment ref="I387" authorId="0" shapeId="0">
      <text>
        <r>
          <rPr>
            <sz val="9"/>
            <rFont val="宋体"/>
            <family val="3"/>
            <charset val="134"/>
          </rPr>
          <t>作者:
2011.11-316</t>
        </r>
      </text>
    </comment>
    <comment ref="I389" authorId="0" shapeId="0">
      <text>
        <r>
          <rPr>
            <sz val="9"/>
            <rFont val="宋体"/>
            <family val="3"/>
            <charset val="134"/>
          </rPr>
          <t>作者:
2012.1-373</t>
        </r>
      </text>
    </comment>
    <comment ref="I391" authorId="0" shapeId="0">
      <text>
        <r>
          <rPr>
            <sz val="9"/>
            <rFont val="宋体"/>
            <family val="3"/>
            <charset val="134"/>
          </rPr>
          <t>作者:
2012.1-373</t>
        </r>
      </text>
    </comment>
    <comment ref="I393" authorId="0" shapeId="0">
      <text>
        <r>
          <rPr>
            <sz val="9"/>
            <rFont val="宋体"/>
            <family val="3"/>
            <charset val="134"/>
          </rPr>
          <t>作者:
2011.8-602#</t>
        </r>
      </text>
    </comment>
  </commentList>
</comments>
</file>

<file path=xl/sharedStrings.xml><?xml version="1.0" encoding="utf-8"?>
<sst xmlns="http://schemas.openxmlformats.org/spreadsheetml/2006/main" count="1956" uniqueCount="1416">
  <si>
    <t>商铺号</t>
  </si>
  <si>
    <t>商铺名称</t>
  </si>
  <si>
    <t>租赁期限</t>
  </si>
  <si>
    <t>面积</t>
  </si>
  <si>
    <t>平均单价</t>
  </si>
  <si>
    <t>押金</t>
  </si>
  <si>
    <t>租金合计</t>
  </si>
  <si>
    <r>
      <t>(</t>
    </r>
    <r>
      <rPr>
        <sz val="9"/>
        <color theme="1"/>
        <rFont val="宋体"/>
        <family val="3"/>
        <charset val="134"/>
      </rPr>
      <t>㎡</t>
    </r>
    <r>
      <rPr>
        <sz val="9"/>
        <color theme="1"/>
        <rFont val="华文新魏"/>
        <family val="3"/>
        <charset val="134"/>
      </rPr>
      <t>)</t>
    </r>
  </si>
  <si>
    <r>
      <t>(元/天/</t>
    </r>
    <r>
      <rPr>
        <sz val="9"/>
        <color theme="1"/>
        <rFont val="宋体"/>
        <family val="3"/>
        <charset val="134"/>
      </rPr>
      <t>㎡</t>
    </r>
    <r>
      <rPr>
        <sz val="9"/>
        <color theme="1"/>
        <rFont val="华文新魏"/>
        <family val="3"/>
        <charset val="134"/>
      </rPr>
      <t>)</t>
    </r>
  </si>
  <si>
    <t>北京北广传媒城市电视有限公司</t>
  </si>
  <si>
    <t>2011.11.1-2021.10.31</t>
  </si>
  <si>
    <t>通用磨坊贸易（上海）有限公司</t>
  </si>
  <si>
    <t>北京为之味餐饮有限公司</t>
  </si>
  <si>
    <t>北京三鼎原商贸有限公司</t>
  </si>
  <si>
    <t>绫致时装（天津）有限公司</t>
  </si>
  <si>
    <t>北京大食代餐饮有限公司</t>
  </si>
  <si>
    <t>北京美特肖普商贸有限公司</t>
  </si>
  <si>
    <t>江南布衣服饰（北京）有限公司</t>
  </si>
  <si>
    <t>罗克（北京）服饰有限公司</t>
  </si>
  <si>
    <t>2017.4.10-2018.4.9</t>
  </si>
  <si>
    <t>2011.09.01-2023.08.31</t>
  </si>
  <si>
    <t>2008.08.30-2018.08.29</t>
  </si>
  <si>
    <t>2014.12.20-2019.12.19</t>
  </si>
  <si>
    <t>2016.7.18-2020.7.17</t>
  </si>
  <si>
    <t>2015.2.10-2019.2.9</t>
  </si>
  <si>
    <t>2014.12.15-2018.12.14</t>
  </si>
  <si>
    <t>2016.6.2-2021.6.1</t>
  </si>
  <si>
    <t>2016.9.20-2018.9.19</t>
  </si>
  <si>
    <t>2008.07.14-2018.09.12</t>
  </si>
  <si>
    <t>北京爱慕服饰销售有限公司</t>
  </si>
  <si>
    <t>百丽鞋业（北京）有限公司</t>
    <phoneticPr fontId="10" type="noConversion"/>
  </si>
  <si>
    <t>2017.09.16-2018.09.15</t>
    <phoneticPr fontId="10" type="noConversion"/>
  </si>
  <si>
    <t>2016.5.1-2018.4.30</t>
  </si>
  <si>
    <t>2015.10.19-2018.10.18</t>
  </si>
  <si>
    <t>一层05</t>
  </si>
  <si>
    <t>北京络克风尚贸易有限公司</t>
  </si>
  <si>
    <t>一层07</t>
  </si>
  <si>
    <t>北京博盛华洋商贸有限公司</t>
  </si>
  <si>
    <t>一层08-09</t>
    <phoneticPr fontId="10" type="noConversion"/>
  </si>
  <si>
    <t>北京京广盈通贸易有限公司</t>
    <phoneticPr fontId="12" type="noConversion"/>
  </si>
  <si>
    <t>一层10</t>
  </si>
  <si>
    <t>北京京广盈通贸易有限公司</t>
  </si>
  <si>
    <t>北京世纪超科科技有限公司</t>
  </si>
  <si>
    <t>一层17</t>
  </si>
  <si>
    <t>北京好美洋生物技术有限公司</t>
    <phoneticPr fontId="10" type="noConversion"/>
  </si>
  <si>
    <t>2017.09.20-2018.09.19</t>
    <phoneticPr fontId="10" type="noConversion"/>
  </si>
  <si>
    <t>一层18</t>
  </si>
  <si>
    <t>北京尊贵视力商贸有限公司</t>
  </si>
  <si>
    <t>一层20</t>
  </si>
  <si>
    <t>一层101</t>
  </si>
  <si>
    <t>2008.08.01-2018.07.31</t>
  </si>
  <si>
    <t>一层102</t>
    <phoneticPr fontId="10" type="noConversion"/>
  </si>
  <si>
    <t>二层202-1/103</t>
  </si>
  <si>
    <t>北京屈臣氏个人用品连锁商品有限公司</t>
  </si>
  <si>
    <t>一层104-107\108.108A</t>
  </si>
  <si>
    <t>飒拉商业(北京)有限公司</t>
  </si>
  <si>
    <t>2010.07.15-2022.07.14</t>
  </si>
  <si>
    <t>一层110</t>
  </si>
  <si>
    <t>一层110-1</t>
  </si>
  <si>
    <t>上海吉茶餐饮管理有限公司北京分公司</t>
    <phoneticPr fontId="10" type="noConversion"/>
  </si>
  <si>
    <t>一层/二层-1-2</t>
  </si>
  <si>
    <t>绫致时装（天津）有限公司北京双井销售部</t>
  </si>
  <si>
    <t>2015.6.15-2021.6.14</t>
  </si>
  <si>
    <t>一层112</t>
  </si>
  <si>
    <t>广州赫斯汀服饰有限公司</t>
  </si>
  <si>
    <t>2017.4.1-2020.3.31</t>
  </si>
  <si>
    <t>一层113-114</t>
  </si>
  <si>
    <t>一层115</t>
  </si>
  <si>
    <t>鹏卫齐商业（上海）有限公司</t>
  </si>
  <si>
    <t>2015.5.1-2019.3.1</t>
  </si>
  <si>
    <t>一层116</t>
  </si>
  <si>
    <t>一层117</t>
  </si>
  <si>
    <t>2015.10.09-2018.10.08</t>
  </si>
  <si>
    <t>一层119</t>
  </si>
  <si>
    <t>2015.6.30-2018.6.29</t>
  </si>
  <si>
    <t>一层120</t>
  </si>
  <si>
    <t>一层121-4</t>
  </si>
  <si>
    <t>麦西姆杜特商业（上海）有限公司</t>
  </si>
  <si>
    <t>2011.09.01-2021.08.31</t>
  </si>
  <si>
    <t>一层125-1-2-02</t>
    <phoneticPr fontId="10" type="noConversion"/>
  </si>
  <si>
    <t>2017.10.23-2018.10.22</t>
    <phoneticPr fontId="10" type="noConversion"/>
  </si>
  <si>
    <t>一层128/二层220-222</t>
  </si>
  <si>
    <t>西雅衣家(中国)商业有限公司</t>
  </si>
  <si>
    <t>2008.10.24-2018.10.23</t>
  </si>
  <si>
    <t>一层130</t>
  </si>
  <si>
    <t>一层131/二层223</t>
  </si>
  <si>
    <t>北京必胜客比萨饼有限公司</t>
  </si>
  <si>
    <t>一层132、133</t>
  </si>
  <si>
    <t>北京周大福珠宝金行有限公司</t>
  </si>
  <si>
    <t>一层134-137</t>
  </si>
  <si>
    <t>丝芙兰(北京)化妆品销售有限公司</t>
  </si>
  <si>
    <t>一层140</t>
  </si>
  <si>
    <t>一层141-02</t>
  </si>
  <si>
    <t>北京美道宏业服饰有限公司</t>
    <phoneticPr fontId="10" type="noConversion"/>
  </si>
  <si>
    <t>一层142-1</t>
  </si>
  <si>
    <t>施华洛世奇（上海）贸易有限公司北京分公司</t>
  </si>
  <si>
    <t>一层142-2</t>
  </si>
  <si>
    <t>一层148</t>
  </si>
  <si>
    <t xml:space="preserve">北京星巴克咖啡有限公司 </t>
    <phoneticPr fontId="10" type="noConversion"/>
  </si>
  <si>
    <t>2017.11.10-2025.11.09</t>
    <phoneticPr fontId="10" type="noConversion"/>
  </si>
  <si>
    <t>一层149</t>
  </si>
  <si>
    <t>北京康美娜企业管理有限公司</t>
  </si>
  <si>
    <t>2015.8.5-2018.8.4</t>
  </si>
  <si>
    <t>北京全城热恋商场有限公司</t>
  </si>
  <si>
    <t>二层65</t>
  </si>
  <si>
    <t>北京清颜雅韵美容有限责任公司</t>
  </si>
  <si>
    <t>2015.3.10-2021.3.9</t>
  </si>
  <si>
    <t>二层201-1</t>
  </si>
  <si>
    <t>北京崇德商贸有限公司</t>
  </si>
  <si>
    <t>二层201-2</t>
  </si>
  <si>
    <t>二层203</t>
  </si>
  <si>
    <t>百丽鞋业（北京）有限公司</t>
  </si>
  <si>
    <t>二层204</t>
    <phoneticPr fontId="10" type="noConversion"/>
  </si>
  <si>
    <t>北京傲妮商贸有限公司</t>
    <phoneticPr fontId="10" type="noConversion"/>
  </si>
  <si>
    <t>二层205</t>
  </si>
  <si>
    <t>二层206、207-1</t>
  </si>
  <si>
    <t>2015.7.27-2018.7.26</t>
  </si>
  <si>
    <t>二层210</t>
  </si>
  <si>
    <t>2015.6.11-2018.6.10</t>
  </si>
  <si>
    <t>二层212</t>
  </si>
  <si>
    <t>二层213</t>
  </si>
  <si>
    <t>江苏飞耐时户外用品有限公司</t>
    <phoneticPr fontId="10" type="noConversion"/>
  </si>
  <si>
    <t>2017.09.01-2018.08.31</t>
    <phoneticPr fontId="10" type="noConversion"/>
  </si>
  <si>
    <t>二层214-1</t>
  </si>
  <si>
    <t>广州达衣岩服饰有限公司</t>
  </si>
  <si>
    <t>2015.7.17-2018.7.16</t>
  </si>
  <si>
    <t>二层215</t>
  </si>
  <si>
    <t>北京阿桑娜商贸有限公司</t>
  </si>
  <si>
    <t>二层216</t>
  </si>
  <si>
    <t>二层217</t>
  </si>
  <si>
    <t>北京意丰歌服饰有限公司</t>
    <phoneticPr fontId="10" type="noConversion"/>
  </si>
  <si>
    <t>2017.08.02-2018.08.01</t>
    <phoneticPr fontId="10" type="noConversion"/>
  </si>
  <si>
    <t>二层219</t>
  </si>
  <si>
    <t>北京斯科塞斯商贸有限公司</t>
    <phoneticPr fontId="10" type="noConversion"/>
  </si>
  <si>
    <t>二层224-225</t>
  </si>
  <si>
    <t>二层226</t>
  </si>
  <si>
    <t>东莞市卡蔓时装有限公司</t>
  </si>
  <si>
    <t>二层227</t>
  </si>
  <si>
    <t>二层228</t>
  </si>
  <si>
    <t>二层230</t>
  </si>
  <si>
    <t>上海西歌实业有限公司</t>
    <phoneticPr fontId="10" type="noConversion"/>
  </si>
  <si>
    <t>二层231</t>
  </si>
  <si>
    <t>广州市弘上服装有限公司</t>
  </si>
  <si>
    <t>2016.4.15-2018.4.14</t>
  </si>
  <si>
    <t>二层232</t>
  </si>
  <si>
    <t>二层233</t>
  </si>
  <si>
    <t>日播创美服饰(北京)有限公司</t>
  </si>
  <si>
    <t>二层234</t>
    <phoneticPr fontId="10" type="noConversion"/>
  </si>
  <si>
    <t>德津实业发展（深圳）有限公司</t>
    <phoneticPr fontId="10" type="noConversion"/>
  </si>
  <si>
    <t>2017.10.09-2019.04.08</t>
    <phoneticPr fontId="10" type="noConversion"/>
  </si>
  <si>
    <t>二层235-01</t>
  </si>
  <si>
    <t>上海卓新服饰有限公司北京第六分店</t>
  </si>
  <si>
    <t>2015.9.18-2018.9.17</t>
  </si>
  <si>
    <t>二层236-237</t>
  </si>
  <si>
    <t>绫致时装（天津）有限公司(ONLY)</t>
  </si>
  <si>
    <t>二层238-1</t>
  </si>
  <si>
    <t>深圳市天尚服装有限公司</t>
  </si>
  <si>
    <t>二层238-2</t>
  </si>
  <si>
    <t>上海丝绸集团品牌发展有限公司</t>
  </si>
  <si>
    <t>2017.5.20-2019.5.19</t>
  </si>
  <si>
    <t>二层239</t>
  </si>
  <si>
    <t>二层240-241</t>
    <phoneticPr fontId="10" type="noConversion"/>
  </si>
  <si>
    <t>绫致时装（天津）有限公司</t>
    <phoneticPr fontId="10" type="noConversion"/>
  </si>
  <si>
    <t>二层248</t>
  </si>
  <si>
    <t>二层249</t>
  </si>
  <si>
    <t>北京市豪情万履商贸有限责任公司</t>
  </si>
  <si>
    <t>2016.9.20-2020.9.19</t>
  </si>
  <si>
    <t>二层250</t>
  </si>
  <si>
    <t>二层251</t>
  </si>
  <si>
    <t>上海集熙服饰有限公司</t>
    <phoneticPr fontId="10" type="noConversion"/>
  </si>
  <si>
    <t>二层252</t>
  </si>
  <si>
    <t>北京艾瑞美时尚发饰品有限公司</t>
  </si>
  <si>
    <t>二层256-03</t>
  </si>
  <si>
    <t>二层257</t>
    <phoneticPr fontId="10" type="noConversion"/>
  </si>
  <si>
    <t>北京华宇时代钟表有限公司</t>
    <phoneticPr fontId="10" type="noConversion"/>
  </si>
  <si>
    <t>2017.09.08-2018.09.07</t>
    <phoneticPr fontId="10" type="noConversion"/>
  </si>
  <si>
    <t>二层259</t>
  </si>
  <si>
    <t>北京基业天成科贸有限公司</t>
  </si>
  <si>
    <t>二层261</t>
  </si>
  <si>
    <t>北京瑶娴一族商贸有限公司</t>
  </si>
  <si>
    <t>三层301</t>
  </si>
  <si>
    <t>上海臻悦服饰股份有限公司</t>
  </si>
  <si>
    <t>三层302-2</t>
  </si>
  <si>
    <t>三层303-2-1b-01</t>
  </si>
  <si>
    <t>赫赫商贸（北京）有限公司</t>
  </si>
  <si>
    <t>三层303-1a,303-1b</t>
  </si>
  <si>
    <t>三层303-2-1a</t>
  </si>
  <si>
    <t>2017.11.01-2018.10.31</t>
    <phoneticPr fontId="10" type="noConversion"/>
  </si>
  <si>
    <t>三层304a</t>
  </si>
  <si>
    <t>三层304b-1、2、3</t>
  </si>
  <si>
    <t>2015.11.18-2020.11.17</t>
  </si>
  <si>
    <t>三层304b-4-1</t>
  </si>
  <si>
    <t>2016.4.15-2020.11.17</t>
  </si>
  <si>
    <t>三层304b-5</t>
  </si>
  <si>
    <t>三层304b-6-7</t>
  </si>
  <si>
    <t>2015.12.15-2019.12.14</t>
  </si>
  <si>
    <t>三层304b-8-9</t>
  </si>
  <si>
    <t>三层305-308</t>
  </si>
  <si>
    <t>2014.12.15-2019.12.14</t>
  </si>
  <si>
    <t>三层309</t>
  </si>
  <si>
    <t>华欧御泰（北京）贸易有限公司第二分公司</t>
  </si>
  <si>
    <t>三层310a、310b、311</t>
  </si>
  <si>
    <t>北京集盒商贸有限公司</t>
  </si>
  <si>
    <t>三层312-313</t>
  </si>
  <si>
    <t>三层314-315</t>
  </si>
  <si>
    <t>云海肴（北京）餐饮管理有限公司</t>
  </si>
  <si>
    <t>2016.02.01-2020.01.31</t>
  </si>
  <si>
    <t>三层316-b/317</t>
  </si>
  <si>
    <t>胜博殿餐饮管理（北京）有限公司</t>
  </si>
  <si>
    <t>三层316a-318-320</t>
  </si>
  <si>
    <t>2015.4.25-2019.4.24</t>
  </si>
  <si>
    <t>三层323-326</t>
  </si>
  <si>
    <t>三层327-330-330b</t>
  </si>
  <si>
    <t>三层302内330a</t>
    <phoneticPr fontId="10" type="noConversion"/>
  </si>
  <si>
    <t xml:space="preserve">石家庄大慈贸易有限公司 </t>
    <phoneticPr fontId="10" type="noConversion"/>
  </si>
  <si>
    <t>2017.10.25-2018.10.24</t>
    <phoneticPr fontId="10" type="noConversion"/>
  </si>
  <si>
    <t>三层331</t>
    <phoneticPr fontId="10" type="noConversion"/>
  </si>
  <si>
    <t>众信旅游集团股份有限公司</t>
    <phoneticPr fontId="10" type="noConversion"/>
  </si>
  <si>
    <t>2017.9.20-2018.9.19</t>
    <phoneticPr fontId="10" type="noConversion"/>
  </si>
  <si>
    <t>三层332</t>
    <phoneticPr fontId="10" type="noConversion"/>
  </si>
  <si>
    <t>北京佳群餐饮管理有限公司</t>
  </si>
  <si>
    <t>三层333-334</t>
  </si>
  <si>
    <t>三层335-337</t>
  </si>
  <si>
    <t>三层338</t>
  </si>
  <si>
    <t>北京盛益兴商贸有限公司</t>
  </si>
  <si>
    <t>三层340</t>
  </si>
  <si>
    <t>北京安华壹号文化创意产业有限公司</t>
  </si>
  <si>
    <t>三层341</t>
  </si>
  <si>
    <t>三层342-343</t>
  </si>
  <si>
    <t>佛山星期六鞋业有限公司</t>
    <phoneticPr fontId="10" type="noConversion"/>
  </si>
  <si>
    <t>三层344-345</t>
  </si>
  <si>
    <t>三层346</t>
  </si>
  <si>
    <t>斯泽塔塞眼镜贸易（北京）有限公司</t>
  </si>
  <si>
    <t>三层347</t>
  </si>
  <si>
    <t>三层348</t>
  </si>
  <si>
    <t>北京水果先生果品销售有限公司</t>
  </si>
  <si>
    <t>三层349</t>
  </si>
  <si>
    <t>三层350-351</t>
  </si>
  <si>
    <t>三层353</t>
  </si>
  <si>
    <t>鱼果果食品（北京）有限公司</t>
  </si>
  <si>
    <t>三层354-355</t>
  </si>
  <si>
    <t>2015.09.16-2018.09.15</t>
  </si>
  <si>
    <t>三层362</t>
  </si>
  <si>
    <t>北京合众号食品科技有限公司</t>
    <phoneticPr fontId="10" type="noConversion"/>
  </si>
  <si>
    <t>三层368</t>
  </si>
  <si>
    <t>北京名赫小可乐餐饮管理有限公司</t>
    <phoneticPr fontId="10" type="noConversion"/>
  </si>
  <si>
    <t>四层401</t>
  </si>
  <si>
    <t>四层402</t>
  </si>
  <si>
    <t>四层403</t>
  </si>
  <si>
    <t>北京太平鸟服饰有限公司</t>
  </si>
  <si>
    <t>2017.3.13-2019.3.12</t>
  </si>
  <si>
    <t>四层405-409</t>
  </si>
  <si>
    <t>2015.5.15-2018.4.30</t>
  </si>
  <si>
    <t>四层410a,410b,411-413</t>
    <phoneticPr fontId="10" type="noConversion"/>
  </si>
  <si>
    <t>北京帕皮科创教育科技有限公司</t>
    <phoneticPr fontId="10" type="noConversion"/>
  </si>
  <si>
    <t>2017.11.01-2020.10.31</t>
    <phoneticPr fontId="10" type="noConversion"/>
  </si>
  <si>
    <t>四层414,415-1</t>
    <phoneticPr fontId="10" type="noConversion"/>
  </si>
  <si>
    <t>北京卓美时代国际文化有限公司</t>
    <phoneticPr fontId="10" type="noConversion"/>
  </si>
  <si>
    <t>2017.11.01-2019.12.17</t>
    <phoneticPr fontId="10" type="noConversion"/>
  </si>
  <si>
    <t>四层415-2-416</t>
    <phoneticPr fontId="10" type="noConversion"/>
  </si>
  <si>
    <t>哈啰功夫文化传播（北京）有限公司</t>
    <phoneticPr fontId="10" type="noConversion"/>
  </si>
  <si>
    <t>2018.1.1-2020.12.31</t>
    <phoneticPr fontId="10" type="noConversion"/>
  </si>
  <si>
    <t>四层417-418、429-1</t>
  </si>
  <si>
    <t>北京卓美时代国际文化有限公司</t>
  </si>
  <si>
    <t>北京市西单麻辣诱惑餐饮有限公司</t>
  </si>
  <si>
    <t>四层435</t>
  </si>
  <si>
    <t>倍乐生商贸（中国）有限公司</t>
  </si>
  <si>
    <t>四层441</t>
  </si>
  <si>
    <t>四层442a</t>
  </si>
  <si>
    <t>四层442b-1</t>
  </si>
  <si>
    <t>北京柯妤时尚贸易有限公司</t>
    <phoneticPr fontId="10" type="noConversion"/>
  </si>
  <si>
    <t>四层442b-2</t>
  </si>
  <si>
    <t>四层444</t>
  </si>
  <si>
    <t>北京进巍美甲有限公司</t>
  </si>
  <si>
    <t>四层447</t>
  </si>
  <si>
    <t>北京山居客至文化传媒有限公司</t>
  </si>
  <si>
    <t>四层448</t>
  </si>
  <si>
    <t>四层449</t>
  </si>
  <si>
    <t>北京润之华星茶业有限公司</t>
  </si>
  <si>
    <t>四层450</t>
  </si>
  <si>
    <t>四层451、452、454、455</t>
  </si>
  <si>
    <t>四层458</t>
  </si>
  <si>
    <t>深圳市乐活电子商务有限公司</t>
  </si>
  <si>
    <t>四层459、460、461</t>
  </si>
  <si>
    <t>北京丽家丽婴婴童用品有限公司</t>
  </si>
  <si>
    <t>四层462</t>
  </si>
  <si>
    <t>2016.7.8-2018.9.22</t>
  </si>
  <si>
    <t>四层463</t>
  </si>
  <si>
    <t>四层464-465</t>
  </si>
  <si>
    <t>五层502-1</t>
  </si>
  <si>
    <t>2015.6.20-2018.6.19</t>
  </si>
  <si>
    <t>五层502-1b、502-2</t>
  </si>
  <si>
    <t>北京徐凯美发美容有限公司</t>
  </si>
  <si>
    <t>2015.7.1-2020.6.30</t>
  </si>
  <si>
    <t>五层502-3a-a</t>
  </si>
  <si>
    <t>北京茜美企业管理有限公司</t>
  </si>
  <si>
    <t>五层502-3a-2</t>
  </si>
  <si>
    <t>北京真朴教育科技发展有限公司</t>
  </si>
  <si>
    <t>2016.5.15-2020.5.14</t>
  </si>
  <si>
    <t>五层502-3b-1-2</t>
  </si>
  <si>
    <t>2013.7.15-2018.7.14</t>
  </si>
  <si>
    <t>五层502-3c</t>
  </si>
  <si>
    <t>五层502-3d</t>
  </si>
  <si>
    <t>五层502-4、502-11</t>
  </si>
  <si>
    <t>2015.7.23-2020.6.30</t>
  </si>
  <si>
    <t>五层502-5</t>
  </si>
  <si>
    <t>2015.7.23-2018.7.22</t>
  </si>
  <si>
    <t>五层502-6、502-7</t>
    <phoneticPr fontId="10" type="noConversion"/>
  </si>
  <si>
    <t>北京香满堂餐饮管理有限公司</t>
  </si>
  <si>
    <t>五层502-8</t>
  </si>
  <si>
    <t>纤活日记（北京）餐饮管理有限公司</t>
  </si>
  <si>
    <t>五层502-9</t>
  </si>
  <si>
    <t>北京今日亮陶艺文化有限公司</t>
  </si>
  <si>
    <t>五层504-525</t>
  </si>
  <si>
    <t>五层530-535</t>
  </si>
  <si>
    <t>北京市柏斯琴行有限公司</t>
  </si>
  <si>
    <t>2008.03.01-2028.02.28</t>
  </si>
  <si>
    <t>七层</t>
  </si>
  <si>
    <t>北京港丽餐饮管理有限公司</t>
  </si>
  <si>
    <t>2012.5.15-2020.5.14</t>
  </si>
  <si>
    <t>八层901</t>
  </si>
  <si>
    <t>九层1001</t>
  </si>
  <si>
    <t>十层B1001</t>
    <phoneticPr fontId="10" type="noConversion"/>
  </si>
  <si>
    <t>北京渝信紫龙餐饮有限公司</t>
    <phoneticPr fontId="10" type="noConversion"/>
  </si>
  <si>
    <t>十一层B1101</t>
  </si>
  <si>
    <t>富力广场东侧楼体招牌位E03</t>
  </si>
  <si>
    <t>富力广场东侧楼体招牌位E04</t>
  </si>
  <si>
    <t>富力广场东侧楼体招牌位E05</t>
  </si>
  <si>
    <t>北京丽家丽婴婴童用品股份有限公司</t>
  </si>
  <si>
    <t>富力广场东侧楼体招牌位E06</t>
  </si>
  <si>
    <t>富力广场东侧楼体招牌位E07</t>
  </si>
  <si>
    <t>富力广场东侧楼体招牌位E08</t>
  </si>
  <si>
    <t>富力广场东侧楼体招牌位E09</t>
  </si>
  <si>
    <t>北京思远优觅文化传播有限公司</t>
  </si>
  <si>
    <t>富力广场东侧楼体招牌位E10</t>
  </si>
  <si>
    <t>富力广场东侧楼体招牌位E11</t>
  </si>
  <si>
    <t>西藏汉拿山餐饮管理有限公司北京双井分店</t>
  </si>
  <si>
    <t>富力广场东侧楼体招牌位E12</t>
  </si>
  <si>
    <t>65号商用物业地下二层71-73/75-77/95-97停车位</t>
  </si>
  <si>
    <t>2017.11.25-2018.11.24</t>
    <phoneticPr fontId="10" type="noConversion"/>
  </si>
  <si>
    <t>一层11号</t>
    <phoneticPr fontId="12" type="noConversion"/>
  </si>
  <si>
    <t>2017.11.23-2018.11.22</t>
    <phoneticPr fontId="10" type="noConversion"/>
  </si>
  <si>
    <t>2017.09.16-2018.09.15</t>
    <phoneticPr fontId="12" type="noConversion"/>
  </si>
  <si>
    <t>四层421</t>
    <phoneticPr fontId="12" type="noConversion"/>
  </si>
  <si>
    <t>四层436</t>
    <phoneticPr fontId="12" type="noConversion"/>
  </si>
  <si>
    <t>北京玖乐教育科技有限公司</t>
    <phoneticPr fontId="12" type="noConversion"/>
  </si>
  <si>
    <t>2017.11.20 - 2018.11.19</t>
    <phoneticPr fontId="12" type="noConversion"/>
  </si>
  <si>
    <t>二层229</t>
    <phoneticPr fontId="12" type="noConversion"/>
  </si>
  <si>
    <t>2017.11.15-2019.11.14</t>
    <phoneticPr fontId="12" type="noConversion"/>
  </si>
  <si>
    <t>四层422-424</t>
    <phoneticPr fontId="12" type="noConversion"/>
  </si>
  <si>
    <t>智童启德（北京）教育科技有限公司</t>
    <phoneticPr fontId="12" type="noConversion"/>
  </si>
  <si>
    <t>2017.10.01-2018.09.30</t>
    <phoneticPr fontId="12" type="noConversion"/>
  </si>
  <si>
    <t>四层430-431</t>
    <phoneticPr fontId="12" type="noConversion"/>
  </si>
  <si>
    <t>2017.09.25-2018.09.24</t>
    <phoneticPr fontId="12" type="noConversion"/>
  </si>
  <si>
    <t>四层459、460、461</t>
    <phoneticPr fontId="12" type="noConversion"/>
  </si>
  <si>
    <t>2018.09.23-2020.09.22</t>
    <phoneticPr fontId="12" type="noConversion"/>
  </si>
  <si>
    <t>三层302内322a号</t>
    <phoneticPr fontId="12" type="noConversion"/>
  </si>
  <si>
    <t>泛洋汇聚（北京）商贸有限公司</t>
    <phoneticPr fontId="12" type="noConversion"/>
  </si>
  <si>
    <t>2017.12.8-2018.12.7</t>
    <phoneticPr fontId="12" type="noConversion"/>
  </si>
  <si>
    <t>序号</t>
    <phoneticPr fontId="2" type="noConversion"/>
  </si>
  <si>
    <t>2018年3季度</t>
    <phoneticPr fontId="2" type="noConversion"/>
  </si>
  <si>
    <t>2018年4季度</t>
    <phoneticPr fontId="2" type="noConversion"/>
  </si>
  <si>
    <t>2019年1季度</t>
    <phoneticPr fontId="2" type="noConversion"/>
  </si>
  <si>
    <t>2019年2季度</t>
    <phoneticPr fontId="2" type="noConversion"/>
  </si>
  <si>
    <t>2019年3季度</t>
    <phoneticPr fontId="2" type="noConversion"/>
  </si>
  <si>
    <t>2019年4季度</t>
    <phoneticPr fontId="2" type="noConversion"/>
  </si>
  <si>
    <t>2020年1季度</t>
    <phoneticPr fontId="2" type="noConversion"/>
  </si>
  <si>
    <t>2020年2季度</t>
    <phoneticPr fontId="2" type="noConversion"/>
  </si>
  <si>
    <t>2020年3季度</t>
    <phoneticPr fontId="2" type="noConversion"/>
  </si>
  <si>
    <t>2020年4季度</t>
    <phoneticPr fontId="2" type="noConversion"/>
  </si>
  <si>
    <t>2021年1季度</t>
    <phoneticPr fontId="2" type="noConversion"/>
  </si>
  <si>
    <t>2021年2季度</t>
    <phoneticPr fontId="2" type="noConversion"/>
  </si>
  <si>
    <t>2021年3季度</t>
    <phoneticPr fontId="2" type="noConversion"/>
  </si>
  <si>
    <t>2021年4季度</t>
    <phoneticPr fontId="2" type="noConversion"/>
  </si>
  <si>
    <t>2023年1季度</t>
    <phoneticPr fontId="2" type="noConversion"/>
  </si>
  <si>
    <t>2023年2季度</t>
    <phoneticPr fontId="2" type="noConversion"/>
  </si>
  <si>
    <t>2023年3季度</t>
    <phoneticPr fontId="2" type="noConversion"/>
  </si>
  <si>
    <t>2023年4季度</t>
    <phoneticPr fontId="2" type="noConversion"/>
  </si>
  <si>
    <t>2031年1季度</t>
    <phoneticPr fontId="2" type="noConversion"/>
  </si>
  <si>
    <t>2031年2季度</t>
    <phoneticPr fontId="2" type="noConversion"/>
  </si>
  <si>
    <t>2031年3季度</t>
    <phoneticPr fontId="2" type="noConversion"/>
  </si>
  <si>
    <t>2031年4季度</t>
    <phoneticPr fontId="2" type="noConversion"/>
  </si>
  <si>
    <t>2032年1季度</t>
    <phoneticPr fontId="2" type="noConversion"/>
  </si>
  <si>
    <t>2032年2季度</t>
    <phoneticPr fontId="2" type="noConversion"/>
  </si>
  <si>
    <t>2032年3季度</t>
    <phoneticPr fontId="2" type="noConversion"/>
  </si>
  <si>
    <t>2032年4季度</t>
    <phoneticPr fontId="2" type="noConversion"/>
  </si>
  <si>
    <t>2034年1季度</t>
    <phoneticPr fontId="2" type="noConversion"/>
  </si>
  <si>
    <t>2034年2季度</t>
    <phoneticPr fontId="2" type="noConversion"/>
  </si>
  <si>
    <t>2034年3季度</t>
    <phoneticPr fontId="2" type="noConversion"/>
  </si>
  <si>
    <t>2034年4季度</t>
    <phoneticPr fontId="2" type="noConversion"/>
  </si>
  <si>
    <t>2035年1季度</t>
    <phoneticPr fontId="2" type="noConversion"/>
  </si>
  <si>
    <t>2035年2季度</t>
    <phoneticPr fontId="2" type="noConversion"/>
  </si>
  <si>
    <t>2035年3季度</t>
    <phoneticPr fontId="2" type="noConversion"/>
  </si>
  <si>
    <t>2035年4季度</t>
    <phoneticPr fontId="2" type="noConversion"/>
  </si>
  <si>
    <t>所在楼层</t>
    <phoneticPr fontId="2" type="noConversion"/>
  </si>
  <si>
    <t>2017.09.16-2018.9.5</t>
    <phoneticPr fontId="10" type="noConversion"/>
  </si>
  <si>
    <t>平均租金（年）</t>
    <phoneticPr fontId="2" type="noConversion"/>
  </si>
  <si>
    <t>2017.9.29-2018.8.28</t>
    <phoneticPr fontId="10" type="noConversion"/>
  </si>
  <si>
    <t>-3</t>
    <phoneticPr fontId="2" type="noConversion"/>
  </si>
  <si>
    <t>3-5</t>
    <phoneticPr fontId="2" type="noConversion"/>
  </si>
  <si>
    <t>2017.9.1-2018.8.31</t>
    <phoneticPr fontId="10" type="noConversion"/>
  </si>
  <si>
    <t>2017.8.19-2018.8.18</t>
    <phoneticPr fontId="2" type="noConversion"/>
  </si>
  <si>
    <t>2017.7.9-2018.7.8</t>
    <phoneticPr fontId="2" type="noConversion"/>
  </si>
  <si>
    <t>2017.9.1-2018.8.31</t>
    <phoneticPr fontId="10" type="noConversion"/>
  </si>
  <si>
    <t>2017.9.1-2018.8.31</t>
    <phoneticPr fontId="10" type="noConversion"/>
  </si>
  <si>
    <t>2017.8.6-2018.8.5</t>
    <phoneticPr fontId="2" type="noConversion"/>
  </si>
  <si>
    <t>2017.9.6-2018.9.5</t>
    <phoneticPr fontId="10" type="noConversion"/>
  </si>
  <si>
    <t>2017.8.1-2018.7.31</t>
    <phoneticPr fontId="10" type="noConversion"/>
  </si>
  <si>
    <t>2017.11.11-2018.11.10</t>
    <phoneticPr fontId="10" type="noConversion"/>
  </si>
  <si>
    <t>2017.9.1-2018.8.31</t>
    <phoneticPr fontId="10" type="noConversion"/>
  </si>
  <si>
    <t>2017.11.18-2018.10.7</t>
    <phoneticPr fontId="10" type="noConversion"/>
  </si>
  <si>
    <t>-3</t>
    <phoneticPr fontId="2" type="noConversion"/>
  </si>
  <si>
    <t>2017.12.4-2018.12.3</t>
    <phoneticPr fontId="2" type="noConversion"/>
  </si>
  <si>
    <t>2017.11.6-2018.11.5</t>
    <phoneticPr fontId="2" type="noConversion"/>
  </si>
  <si>
    <t>2017.10.10-2018.10.9</t>
    <phoneticPr fontId="10" type="noConversion"/>
  </si>
  <si>
    <t>2017.9.1-2018.8.31</t>
    <phoneticPr fontId="10" type="noConversion"/>
  </si>
  <si>
    <t>2017.8.15-2018.8.14</t>
    <phoneticPr fontId="10" type="noConversion"/>
  </si>
  <si>
    <t>2017.6.12-2018.6.11</t>
    <phoneticPr fontId="10" type="noConversion"/>
  </si>
  <si>
    <t>-1</t>
    <phoneticPr fontId="2" type="noConversion"/>
  </si>
  <si>
    <t>2017.12.14-2018.06.13</t>
    <phoneticPr fontId="10" type="noConversion"/>
  </si>
  <si>
    <t>2017.6.1-2021.5.31</t>
    <phoneticPr fontId="2" type="noConversion"/>
  </si>
  <si>
    <t>2017.11.01-2018.04.30</t>
    <phoneticPr fontId="12" type="noConversion"/>
  </si>
  <si>
    <t>2015.7.10-2018.7.09</t>
    <phoneticPr fontId="2" type="noConversion"/>
  </si>
  <si>
    <t>2017.4.26-2018.4.25</t>
    <phoneticPr fontId="2" type="noConversion"/>
  </si>
  <si>
    <t>2017.11.01-2018.4.30</t>
    <phoneticPr fontId="10" type="noConversion"/>
  </si>
  <si>
    <t>2017.7.15-2018.7.14</t>
    <phoneticPr fontId="10" type="noConversion"/>
  </si>
  <si>
    <t>2017.7.16-2019.7.15</t>
    <phoneticPr fontId="10" type="noConversion"/>
  </si>
  <si>
    <t>2017.09.22-2018.09.21</t>
    <phoneticPr fontId="10" type="noConversion"/>
  </si>
  <si>
    <t>2018.1.13-2019.1.12</t>
    <phoneticPr fontId="10" type="noConversion"/>
  </si>
  <si>
    <t>2017.9.17-2019.9.16</t>
    <phoneticPr fontId="10" type="noConversion"/>
  </si>
  <si>
    <t>2017.4.15-2018.4.14</t>
    <phoneticPr fontId="2" type="noConversion"/>
  </si>
  <si>
    <t>2017.09.18-2019.08.17</t>
    <phoneticPr fontId="10" type="noConversion"/>
  </si>
  <si>
    <t>2017.10.01-2018.09.30</t>
    <phoneticPr fontId="10" type="noConversion"/>
  </si>
  <si>
    <t>2017.08.20-2018.08.19</t>
    <phoneticPr fontId="10" type="noConversion"/>
  </si>
  <si>
    <t>2017.9.7-2018.9.6</t>
    <phoneticPr fontId="10" type="noConversion"/>
  </si>
  <si>
    <t>2017.10.19-2018.10.18</t>
    <phoneticPr fontId="10" type="noConversion"/>
  </si>
  <si>
    <t>2016.9.12-2019.9.11</t>
    <phoneticPr fontId="2" type="noConversion"/>
  </si>
  <si>
    <t>2017.8.8-2018.8.7</t>
    <phoneticPr fontId="10" type="noConversion"/>
  </si>
  <si>
    <t>2017.6.24-2018.6.23</t>
    <phoneticPr fontId="10" type="noConversion"/>
  </si>
  <si>
    <t>1</t>
    <phoneticPr fontId="2" type="noConversion"/>
  </si>
  <si>
    <t>2017.9.4-2018.9.3</t>
    <phoneticPr fontId="10" type="noConversion"/>
  </si>
  <si>
    <t>2017.5.17-2018.5.16</t>
    <phoneticPr fontId="10" type="noConversion"/>
  </si>
  <si>
    <t>2017.09.29-2018.09.28</t>
    <phoneticPr fontId="10" type="noConversion"/>
  </si>
  <si>
    <t>2017.9.16-2018.9.15</t>
    <phoneticPr fontId="10" type="noConversion"/>
  </si>
  <si>
    <t>2017.7.1-2018.6.30</t>
    <phoneticPr fontId="10" type="noConversion"/>
  </si>
  <si>
    <t>2018.1.4-2019.1.3</t>
    <phoneticPr fontId="10" type="noConversion"/>
  </si>
  <si>
    <t>2017.09.20-2020.09.19</t>
    <phoneticPr fontId="10" type="noConversion"/>
  </si>
  <si>
    <t>1-2</t>
    <phoneticPr fontId="2" type="noConversion"/>
  </si>
  <si>
    <t>2017.04.01-2020.03.31</t>
    <phoneticPr fontId="2" type="noConversion"/>
  </si>
  <si>
    <t>2017.7.27-2018.7.26</t>
    <phoneticPr fontId="10" type="noConversion"/>
  </si>
  <si>
    <t>2017.8.11-2018.8.10</t>
    <phoneticPr fontId="10" type="noConversion"/>
  </si>
  <si>
    <t>2016.5.20-2018.12.31</t>
    <phoneticPr fontId="2" type="noConversion"/>
  </si>
  <si>
    <t>2017.09.18-2018.09.17</t>
    <phoneticPr fontId="10" type="noConversion"/>
  </si>
  <si>
    <t>2016.10.25-2018.10.24</t>
    <phoneticPr fontId="2" type="noConversion"/>
  </si>
  <si>
    <t>2017.6.27-2018.6.26</t>
    <phoneticPr fontId="10" type="noConversion"/>
  </si>
  <si>
    <t>2</t>
    <phoneticPr fontId="2" type="noConversion"/>
  </si>
  <si>
    <t>2017.10.21-2019.10.20</t>
    <phoneticPr fontId="10" type="noConversion"/>
  </si>
  <si>
    <t>2017.8.22-2018.8.21</t>
    <phoneticPr fontId="10" type="noConversion"/>
  </si>
  <si>
    <t>2017.03.11-2019.10.20</t>
    <phoneticPr fontId="2" type="noConversion"/>
  </si>
  <si>
    <t>2017.04.20-2019.04.19</t>
    <phoneticPr fontId="10" type="noConversion"/>
  </si>
  <si>
    <t>2017.04.01-2018.03.31</t>
    <phoneticPr fontId="2" type="noConversion"/>
  </si>
  <si>
    <t>2018.1.1-2018.12.31</t>
    <phoneticPr fontId="12" type="noConversion"/>
  </si>
  <si>
    <t>2016.12.20-2018.12.19</t>
    <phoneticPr fontId="2" type="noConversion"/>
  </si>
  <si>
    <t>2017.7.17-2018.7.16</t>
    <phoneticPr fontId="10" type="noConversion"/>
  </si>
  <si>
    <t>2017.08.22-2018.08.21</t>
    <phoneticPr fontId="10" type="noConversion"/>
  </si>
  <si>
    <t>2017.07.26-2019.07.25</t>
    <phoneticPr fontId="10" type="noConversion"/>
  </si>
  <si>
    <t>2017.04.12-2019.04.11</t>
    <phoneticPr fontId="2" type="noConversion"/>
  </si>
  <si>
    <t>2017.8.30-2018.8.29</t>
    <phoneticPr fontId="10" type="noConversion"/>
  </si>
  <si>
    <t>2017.6.16-2018.6.15</t>
    <phoneticPr fontId="10" type="noConversion"/>
  </si>
  <si>
    <t>2017.9.1-2019.8.31</t>
    <phoneticPr fontId="10" type="noConversion"/>
  </si>
  <si>
    <t>2017.10.22-2018.10.21</t>
    <phoneticPr fontId="10" type="noConversion"/>
  </si>
  <si>
    <t>2011.09.01-2018.08.31</t>
    <phoneticPr fontId="2" type="noConversion"/>
  </si>
  <si>
    <t>2017.05.22-2019.05.21</t>
    <phoneticPr fontId="2" type="noConversion"/>
  </si>
  <si>
    <t>2017.06.12-2020.06.11</t>
    <phoneticPr fontId="10" type="noConversion"/>
  </si>
  <si>
    <t>2017.07.01-2022.06.30</t>
    <phoneticPr fontId="10" type="noConversion"/>
  </si>
  <si>
    <t>2016.11.1-2021.10.31</t>
    <phoneticPr fontId="2" type="noConversion"/>
  </si>
  <si>
    <t>2017.9.1-2020.8.31</t>
    <phoneticPr fontId="10" type="noConversion"/>
  </si>
  <si>
    <t>2018.01.01-2018.12.31</t>
    <phoneticPr fontId="10" type="noConversion"/>
  </si>
  <si>
    <t>2017.9.25-2018.9.24</t>
    <phoneticPr fontId="10" type="noConversion"/>
  </si>
  <si>
    <t>2017.7.3-2018.7.2</t>
    <phoneticPr fontId="10" type="noConversion"/>
  </si>
  <si>
    <t>2017.10.12-2018.4.11</t>
    <phoneticPr fontId="12" type="noConversion"/>
  </si>
  <si>
    <t>2017.10.21-2018.04.20</t>
    <phoneticPr fontId="10" type="noConversion"/>
  </si>
  <si>
    <t>2017.11.06-2018.11.05</t>
    <phoneticPr fontId="10" type="noConversion"/>
  </si>
  <si>
    <t>2017.7.25-2018.7.24</t>
    <phoneticPr fontId="10" type="noConversion"/>
  </si>
  <si>
    <t>2017.6.15-2018.6.14</t>
    <phoneticPr fontId="2" type="noConversion"/>
  </si>
  <si>
    <t>2016.8.1-2020.7.31</t>
    <phoneticPr fontId="2" type="noConversion"/>
  </si>
  <si>
    <t>3</t>
    <phoneticPr fontId="2" type="noConversion"/>
  </si>
  <si>
    <t>2016.3.1-2019.2.28</t>
    <phoneticPr fontId="2" type="noConversion"/>
  </si>
  <si>
    <t>2017.11.16-2018.05.15</t>
    <phoneticPr fontId="10" type="noConversion"/>
  </si>
  <si>
    <t>2016.9.1-2018.8.31</t>
    <phoneticPr fontId="2" type="noConversion"/>
  </si>
  <si>
    <t>2017.9.3-2019.9.2</t>
    <phoneticPr fontId="2" type="noConversion"/>
  </si>
  <si>
    <t>2016.9.16-2021.9.15</t>
    <phoneticPr fontId="2" type="noConversion"/>
  </si>
  <si>
    <t>2014.08.01-2019.07.31</t>
    <phoneticPr fontId="2" type="noConversion"/>
  </si>
  <si>
    <t>2017.06.06-2019.06.05</t>
    <phoneticPr fontId="10" type="noConversion"/>
  </si>
  <si>
    <t>2017.8.1-2018.4.31</t>
    <phoneticPr fontId="10" type="noConversion"/>
  </si>
  <si>
    <t>2016.10.8-2018.10.7</t>
    <phoneticPr fontId="2" type="noConversion"/>
  </si>
  <si>
    <t>2016.8.6-2018.8.5</t>
    <phoneticPr fontId="10" type="noConversion"/>
  </si>
  <si>
    <t>2017.11.09-2018.5.8</t>
    <phoneticPr fontId="12" type="noConversion"/>
  </si>
  <si>
    <t>2017.10.10-2018.10.9</t>
    <phoneticPr fontId="12" type="noConversion"/>
  </si>
  <si>
    <t>2017.08.08-2020.08.07</t>
    <phoneticPr fontId="10" type="noConversion"/>
  </si>
  <si>
    <t>2017.08.01-2019.07.31</t>
    <phoneticPr fontId="10" type="noConversion"/>
  </si>
  <si>
    <t>2017.9.10-2019.9.9</t>
    <phoneticPr fontId="10" type="noConversion"/>
  </si>
  <si>
    <t>2014.06.15-2018.06.14</t>
    <phoneticPr fontId="2" type="noConversion"/>
  </si>
  <si>
    <t>2017.7.10-2018.7.9</t>
    <phoneticPr fontId="10" type="noConversion"/>
  </si>
  <si>
    <t>2017.03.16-2018.03.15</t>
    <phoneticPr fontId="2" type="noConversion"/>
  </si>
  <si>
    <t>4</t>
    <phoneticPr fontId="2" type="noConversion"/>
  </si>
  <si>
    <t>2017.11.01-2019.10.31</t>
    <phoneticPr fontId="10" type="noConversion"/>
  </si>
  <si>
    <t>2017.12.18-2019.12.17</t>
    <phoneticPr fontId="10" type="noConversion"/>
  </si>
  <si>
    <t>2018.01.11-2019.01.10</t>
    <phoneticPr fontId="10" type="noConversion"/>
  </si>
  <si>
    <t>2017.8.21-2018.8.20</t>
    <phoneticPr fontId="10" type="noConversion"/>
  </si>
  <si>
    <t>2016.8.20-2018.8.19</t>
    <phoneticPr fontId="2" type="noConversion"/>
  </si>
  <si>
    <t>2017.8.15-2018.9.14</t>
    <phoneticPr fontId="10" type="noConversion"/>
  </si>
  <si>
    <t>2017.4.6-2018.4.5</t>
    <phoneticPr fontId="2" type="noConversion"/>
  </si>
  <si>
    <t>2017.06.01-2018.05.31</t>
    <phoneticPr fontId="10" type="noConversion"/>
  </si>
  <si>
    <t>2017.06.15-2018.06.14</t>
    <phoneticPr fontId="10" type="noConversion"/>
  </si>
  <si>
    <t>2017.10.18-2018.10.17</t>
    <phoneticPr fontId="10" type="noConversion"/>
  </si>
  <si>
    <t>2017.08.19-2018.08.18</t>
    <phoneticPr fontId="10" type="noConversion"/>
  </si>
  <si>
    <t>2017.7.18-2018.7.17</t>
    <phoneticPr fontId="10" type="noConversion"/>
  </si>
  <si>
    <t>2017.07.01-2021.06.30</t>
    <phoneticPr fontId="10" type="noConversion"/>
  </si>
  <si>
    <t>2017.11.13-2018.11.12</t>
    <phoneticPr fontId="12" type="noConversion"/>
  </si>
  <si>
    <t>2015.9.23-2020.09.22</t>
    <phoneticPr fontId="12" type="noConversion"/>
  </si>
  <si>
    <t>2017.03.24-2019.03.23</t>
    <phoneticPr fontId="2" type="noConversion"/>
  </si>
  <si>
    <t>5</t>
    <phoneticPr fontId="2" type="noConversion"/>
  </si>
  <si>
    <t>2016.9.14-2019.9.13</t>
    <phoneticPr fontId="2" type="noConversion"/>
  </si>
  <si>
    <t>2017.10.15-2019.05.31</t>
    <phoneticPr fontId="10" type="noConversion"/>
  </si>
  <si>
    <t>2018.2.2-2019.2.1</t>
    <phoneticPr fontId="12" type="noConversion"/>
  </si>
  <si>
    <t>2014.09.01-2024.08.31</t>
    <phoneticPr fontId="2" type="noConversion"/>
  </si>
  <si>
    <t>2016.6.1-2019.5.31</t>
    <phoneticPr fontId="2" type="noConversion"/>
  </si>
  <si>
    <t>1、3、5、6</t>
    <phoneticPr fontId="2" type="noConversion"/>
  </si>
  <si>
    <t>7</t>
    <phoneticPr fontId="2" type="noConversion"/>
  </si>
  <si>
    <t>2015.9.1-2021.8.31</t>
    <phoneticPr fontId="2" type="noConversion"/>
  </si>
  <si>
    <t>8</t>
    <phoneticPr fontId="2" type="noConversion"/>
  </si>
  <si>
    <t>9</t>
    <phoneticPr fontId="2" type="noConversion"/>
  </si>
  <si>
    <t>2018.9.1-2020.2.29</t>
    <phoneticPr fontId="10" type="noConversion"/>
  </si>
  <si>
    <t>10</t>
    <phoneticPr fontId="2" type="noConversion"/>
  </si>
  <si>
    <t>2018.10.25-2020.02.29</t>
    <phoneticPr fontId="2" type="noConversion"/>
  </si>
  <si>
    <t>2018.01.01-2025.12.31</t>
    <phoneticPr fontId="10" type="noConversion"/>
  </si>
  <si>
    <t>2017.4.1-2018.3.31</t>
    <phoneticPr fontId="2" type="noConversion"/>
  </si>
  <si>
    <t>2015.4.1-2016.3.31</t>
    <phoneticPr fontId="2" type="noConversion"/>
  </si>
  <si>
    <t>2016.12.12-2017.12.11</t>
    <phoneticPr fontId="2" type="noConversion"/>
  </si>
  <si>
    <t>2018.01.17-2018.12.31</t>
    <phoneticPr fontId="12" type="noConversion"/>
  </si>
  <si>
    <t>2016.1.17-2017.1.16;</t>
    <phoneticPr fontId="12" type="noConversion"/>
  </si>
  <si>
    <t>-3</t>
    <phoneticPr fontId="2" type="noConversion"/>
  </si>
  <si>
    <t>2016.8.16-2018.8.15</t>
    <phoneticPr fontId="2" type="noConversion"/>
  </si>
  <si>
    <t>-2</t>
    <phoneticPr fontId="2" type="noConversion"/>
  </si>
  <si>
    <t>2017.3.6-2018.3.5</t>
  </si>
  <si>
    <t>2017.3.16-2018.3.15</t>
  </si>
  <si>
    <t>2017.3.24-2018.3.23</t>
  </si>
  <si>
    <t>2015.1.21-2018.1.20</t>
  </si>
  <si>
    <t>2015.4.1-2018.3.31</t>
  </si>
  <si>
    <t>一层06</t>
  </si>
  <si>
    <t>一层16</t>
  </si>
  <si>
    <t>一层101-1-1</t>
  </si>
  <si>
    <t>一层101-1</t>
  </si>
  <si>
    <t>一层139-02</t>
  </si>
  <si>
    <t>二层208-209</t>
  </si>
  <si>
    <t>二层211</t>
  </si>
  <si>
    <t>二层218</t>
  </si>
  <si>
    <t>二层260</t>
  </si>
  <si>
    <t>三层321</t>
  </si>
  <si>
    <t>北京安陆餐饮管理有限公司</t>
    <phoneticPr fontId="10" type="noConversion"/>
  </si>
  <si>
    <t>2017.3.22-2018.3.21</t>
  </si>
  <si>
    <t>三层361</t>
    <phoneticPr fontId="10" type="noConversion"/>
  </si>
  <si>
    <t>合月食品（北京）有限公司</t>
    <phoneticPr fontId="10" type="noConversion"/>
  </si>
  <si>
    <t>四层404</t>
  </si>
  <si>
    <t>四层433/438-440</t>
  </si>
  <si>
    <t>四层433/438-440前局部区域</t>
  </si>
  <si>
    <t>四层443</t>
  </si>
  <si>
    <t>四层445</t>
  </si>
  <si>
    <t>四层466</t>
  </si>
  <si>
    <t>五层502-10a、10b</t>
  </si>
  <si>
    <t>65号商用物业地下二层92、93停车位</t>
  </si>
  <si>
    <t>2017.12.20-2018.01.03</t>
    <phoneticPr fontId="12" type="noConversion"/>
  </si>
  <si>
    <t>2018.01.05-2018.01.21</t>
    <phoneticPr fontId="12" type="noConversion"/>
  </si>
  <si>
    <t>序号</t>
    <phoneticPr fontId="12" type="noConversion"/>
  </si>
  <si>
    <t>部位</t>
    <phoneticPr fontId="12" type="noConversion"/>
  </si>
  <si>
    <t>建筑面积</t>
    <phoneticPr fontId="12" type="noConversion"/>
  </si>
  <si>
    <t>用途</t>
    <phoneticPr fontId="12" type="noConversion"/>
  </si>
  <si>
    <t>楼层</t>
    <phoneticPr fontId="12" type="noConversion"/>
  </si>
  <si>
    <t>地下车库</t>
    <phoneticPr fontId="12" type="noConversion"/>
  </si>
  <si>
    <t>地下2层不分摊</t>
    <phoneticPr fontId="12" type="noConversion"/>
  </si>
  <si>
    <t>地下1层不分摊</t>
    <phoneticPr fontId="12" type="noConversion"/>
  </si>
  <si>
    <t>自行车库</t>
    <phoneticPr fontId="12" type="noConversion"/>
  </si>
  <si>
    <t>仓储做商业</t>
    <phoneticPr fontId="12" type="noConversion"/>
  </si>
  <si>
    <t>01层不分摊</t>
    <phoneticPr fontId="12" type="noConversion"/>
  </si>
  <si>
    <t>商场</t>
    <phoneticPr fontId="12" type="noConversion"/>
  </si>
  <si>
    <t>02层不分摊</t>
    <phoneticPr fontId="12" type="noConversion"/>
  </si>
  <si>
    <t>03层不分摊</t>
    <phoneticPr fontId="12" type="noConversion"/>
  </si>
  <si>
    <t>07层不分摊</t>
    <phoneticPr fontId="12" type="noConversion"/>
  </si>
  <si>
    <t>餐饮</t>
    <phoneticPr fontId="12" type="noConversion"/>
  </si>
  <si>
    <t>房屋所有权证</t>
    <phoneticPr fontId="2" type="noConversion"/>
  </si>
  <si>
    <t>不可分摊</t>
    <phoneticPr fontId="2" type="noConversion"/>
  </si>
  <si>
    <t>-2、-3层车库</t>
    <phoneticPr fontId="2" type="noConversion"/>
  </si>
  <si>
    <t>-1层商业</t>
    <phoneticPr fontId="2" type="noConversion"/>
  </si>
  <si>
    <t>1层商业</t>
    <phoneticPr fontId="2" type="noConversion"/>
  </si>
  <si>
    <t>2层商业</t>
    <phoneticPr fontId="2" type="noConversion"/>
  </si>
  <si>
    <t>3层商业</t>
    <phoneticPr fontId="2" type="noConversion"/>
  </si>
  <si>
    <t>4层商业</t>
    <phoneticPr fontId="2" type="noConversion"/>
  </si>
  <si>
    <t>5层商业</t>
    <phoneticPr fontId="2" type="noConversion"/>
  </si>
  <si>
    <t>6层商业</t>
    <phoneticPr fontId="2" type="noConversion"/>
  </si>
  <si>
    <t>7层商业</t>
    <phoneticPr fontId="2" type="noConversion"/>
  </si>
  <si>
    <t>8层商业</t>
    <phoneticPr fontId="2" type="noConversion"/>
  </si>
  <si>
    <t>9层商业</t>
    <phoneticPr fontId="2" type="noConversion"/>
  </si>
  <si>
    <t>10层商业</t>
    <phoneticPr fontId="2" type="noConversion"/>
  </si>
  <si>
    <t>11层商业</t>
    <phoneticPr fontId="2" type="noConversion"/>
  </si>
  <si>
    <t>合计</t>
    <phoneticPr fontId="2" type="noConversion"/>
  </si>
  <si>
    <t>现状现场</t>
    <phoneticPr fontId="2" type="noConversion"/>
  </si>
  <si>
    <t>-3车库、库房</t>
    <phoneticPr fontId="2" type="noConversion"/>
  </si>
  <si>
    <t>地下3层不分摊</t>
    <phoneticPr fontId="12" type="noConversion"/>
  </si>
  <si>
    <t>-1层自行车库</t>
    <phoneticPr fontId="2" type="noConversion"/>
  </si>
  <si>
    <t>地下商业</t>
    <phoneticPr fontId="2" type="noConversion"/>
  </si>
  <si>
    <t>KTV;多作餐厅</t>
    <phoneticPr fontId="2" type="noConversion"/>
  </si>
  <si>
    <t>渝信餐厅</t>
    <phoneticPr fontId="2" type="noConversion"/>
  </si>
  <si>
    <t>多作自助餐厅</t>
    <phoneticPr fontId="2" type="noConversion"/>
  </si>
  <si>
    <t>汉拿山；一品焖锅；小城渔家</t>
    <phoneticPr fontId="2" type="noConversion"/>
  </si>
  <si>
    <t>港丽</t>
    <phoneticPr fontId="2" type="noConversion"/>
  </si>
  <si>
    <t>UME影院</t>
    <phoneticPr fontId="2" type="noConversion"/>
  </si>
  <si>
    <t>儿童乐园；教育</t>
    <phoneticPr fontId="2" type="noConversion"/>
  </si>
  <si>
    <t>百货；餐饮</t>
    <phoneticPr fontId="2" type="noConversion"/>
  </si>
  <si>
    <t>所在楼层</t>
    <phoneticPr fontId="2" type="noConversion"/>
  </si>
  <si>
    <t>现状用途</t>
    <phoneticPr fontId="2" type="noConversion"/>
  </si>
  <si>
    <t>可出租面积</t>
    <phoneticPr fontId="2" type="noConversion"/>
  </si>
  <si>
    <t>-3层</t>
    <phoneticPr fontId="2" type="noConversion"/>
  </si>
  <si>
    <t>仓储</t>
    <phoneticPr fontId="2" type="noConversion"/>
  </si>
  <si>
    <t>-1层</t>
    <phoneticPr fontId="2" type="noConversion"/>
  </si>
  <si>
    <t>地上</t>
    <phoneticPr fontId="2" type="noConversion"/>
  </si>
  <si>
    <t>地上商业</t>
    <phoneticPr fontId="2" type="noConversion"/>
  </si>
  <si>
    <t>企业提供实测面积</t>
    <phoneticPr fontId="2" type="noConversion"/>
  </si>
  <si>
    <t>地下车位个数</t>
    <phoneticPr fontId="2" type="noConversion"/>
  </si>
  <si>
    <t>2017.4.1-2018.3.31</t>
    <phoneticPr fontId="2" type="noConversion"/>
  </si>
  <si>
    <t>2017.3.3-2018.3.2</t>
    <phoneticPr fontId="2" type="noConversion"/>
  </si>
  <si>
    <t>-3</t>
    <phoneticPr fontId="2" type="noConversion"/>
  </si>
  <si>
    <t>-3</t>
    <phoneticPr fontId="2" type="noConversion"/>
  </si>
  <si>
    <t>2017.2.15-2018.2.14</t>
    <phoneticPr fontId="2" type="noConversion"/>
  </si>
  <si>
    <t>2017.3.1-2018.2.28</t>
    <phoneticPr fontId="2" type="noConversion"/>
  </si>
  <si>
    <t>2017.03.01-2018.02.28</t>
    <phoneticPr fontId="2" type="noConversion"/>
  </si>
  <si>
    <t>2017.7.14-2018.1.13</t>
    <phoneticPr fontId="10" type="noConversion"/>
  </si>
  <si>
    <t>2017.03.17-2018.03.16</t>
    <phoneticPr fontId="2" type="noConversion"/>
  </si>
  <si>
    <t>2017.9.3-2018.3.2</t>
    <phoneticPr fontId="10" type="noConversion"/>
  </si>
  <si>
    <t>2016.3.26-2018.3.25</t>
    <phoneticPr fontId="2" type="noConversion"/>
  </si>
  <si>
    <t>2017.02.01-2018.01.31</t>
    <phoneticPr fontId="2" type="noConversion"/>
  </si>
  <si>
    <t>2017.09.16-2018.03.15</t>
    <phoneticPr fontId="10" type="noConversion"/>
  </si>
  <si>
    <t>11</t>
    <phoneticPr fontId="2" type="noConversion"/>
  </si>
  <si>
    <t>2017.7.11-2018.3.31</t>
    <phoneticPr fontId="10" type="noConversion"/>
  </si>
  <si>
    <t>2017.12.21-2018.03.20</t>
    <phoneticPr fontId="10" type="noConversion"/>
  </si>
  <si>
    <t>2017.1.15-2018.1.14</t>
    <phoneticPr fontId="2" type="noConversion"/>
  </si>
  <si>
    <t>2017.3.14-2018.3.13</t>
    <phoneticPr fontId="2" type="noConversion"/>
  </si>
  <si>
    <t>2018年2季度</t>
    <phoneticPr fontId="2" type="noConversion"/>
  </si>
  <si>
    <t>2022年1季度</t>
    <phoneticPr fontId="2" type="noConversion"/>
  </si>
  <si>
    <t>2022年2季度</t>
    <phoneticPr fontId="2" type="noConversion"/>
  </si>
  <si>
    <t>2022年3季度</t>
    <phoneticPr fontId="2" type="noConversion"/>
  </si>
  <si>
    <t>2022年4季度</t>
    <phoneticPr fontId="2" type="noConversion"/>
  </si>
  <si>
    <t>2024年1季度</t>
    <phoneticPr fontId="2" type="noConversion"/>
  </si>
  <si>
    <t>2024年2季度</t>
    <phoneticPr fontId="2" type="noConversion"/>
  </si>
  <si>
    <t>2024年3季度</t>
    <phoneticPr fontId="2" type="noConversion"/>
  </si>
  <si>
    <t>2024年4季度</t>
    <phoneticPr fontId="2" type="noConversion"/>
  </si>
  <si>
    <t>2025年1季度</t>
    <phoneticPr fontId="2" type="noConversion"/>
  </si>
  <si>
    <t>2025年2季度</t>
    <phoneticPr fontId="2" type="noConversion"/>
  </si>
  <si>
    <t>2025年3季度</t>
    <phoneticPr fontId="2" type="noConversion"/>
  </si>
  <si>
    <t>2025年4季度</t>
    <phoneticPr fontId="2" type="noConversion"/>
  </si>
  <si>
    <t>2026年1季度</t>
    <phoneticPr fontId="2" type="noConversion"/>
  </si>
  <si>
    <t>2026年2季度</t>
    <phoneticPr fontId="2" type="noConversion"/>
  </si>
  <si>
    <t>2026年3季度</t>
    <phoneticPr fontId="2" type="noConversion"/>
  </si>
  <si>
    <t>2026年4季度</t>
    <phoneticPr fontId="2" type="noConversion"/>
  </si>
  <si>
    <t>2027年1季度</t>
    <phoneticPr fontId="2" type="noConversion"/>
  </si>
  <si>
    <t>2027年2季度</t>
    <phoneticPr fontId="2" type="noConversion"/>
  </si>
  <si>
    <t>2027年3季度</t>
    <phoneticPr fontId="2" type="noConversion"/>
  </si>
  <si>
    <t>2027年4季度</t>
    <phoneticPr fontId="2" type="noConversion"/>
  </si>
  <si>
    <t>2028年1季度</t>
    <phoneticPr fontId="2" type="noConversion"/>
  </si>
  <si>
    <t>2028年2季度</t>
    <phoneticPr fontId="2" type="noConversion"/>
  </si>
  <si>
    <t>2028年3季度</t>
    <phoneticPr fontId="2" type="noConversion"/>
  </si>
  <si>
    <t>2028年4季度</t>
    <phoneticPr fontId="2" type="noConversion"/>
  </si>
  <si>
    <t>2029年1季度</t>
    <phoneticPr fontId="2" type="noConversion"/>
  </si>
  <si>
    <t>2029年2季度</t>
    <phoneticPr fontId="2" type="noConversion"/>
  </si>
  <si>
    <t>2029年3季度</t>
    <phoneticPr fontId="2" type="noConversion"/>
  </si>
  <si>
    <t>2029年4季度</t>
    <phoneticPr fontId="2" type="noConversion"/>
  </si>
  <si>
    <t>2030年1季度</t>
    <phoneticPr fontId="2" type="noConversion"/>
  </si>
  <si>
    <t>2030年2季度</t>
    <phoneticPr fontId="2" type="noConversion"/>
  </si>
  <si>
    <t>2030年3季度</t>
    <phoneticPr fontId="2" type="noConversion"/>
  </si>
  <si>
    <t>2030年4季度</t>
    <phoneticPr fontId="2" type="noConversion"/>
  </si>
  <si>
    <t>2033年1季度</t>
    <phoneticPr fontId="2" type="noConversion"/>
  </si>
  <si>
    <t>2033年2季度</t>
    <phoneticPr fontId="2" type="noConversion"/>
  </si>
  <si>
    <t>2033年3季度</t>
    <phoneticPr fontId="2" type="noConversion"/>
  </si>
  <si>
    <t>2033年4季度</t>
    <phoneticPr fontId="2" type="noConversion"/>
  </si>
  <si>
    <t>2036年1季度</t>
    <phoneticPr fontId="2" type="noConversion"/>
  </si>
  <si>
    <t>2036年2季度</t>
    <phoneticPr fontId="2" type="noConversion"/>
  </si>
  <si>
    <t>2036年3季度</t>
    <phoneticPr fontId="2" type="noConversion"/>
  </si>
  <si>
    <t>2036年4季度</t>
    <phoneticPr fontId="2" type="noConversion"/>
  </si>
  <si>
    <t>2037年1季度</t>
    <phoneticPr fontId="2" type="noConversion"/>
  </si>
  <si>
    <t>2037年2季度</t>
    <phoneticPr fontId="2" type="noConversion"/>
  </si>
  <si>
    <t>2037年3季度</t>
    <phoneticPr fontId="2" type="noConversion"/>
  </si>
  <si>
    <t>2037年4季度</t>
    <phoneticPr fontId="2" type="noConversion"/>
  </si>
  <si>
    <t>2038年1季度</t>
    <phoneticPr fontId="2" type="noConversion"/>
  </si>
  <si>
    <t>2038年2季度</t>
    <phoneticPr fontId="2" type="noConversion"/>
  </si>
  <si>
    <t>2038年3季度</t>
    <phoneticPr fontId="2" type="noConversion"/>
  </si>
  <si>
    <t>2038年4季度</t>
    <phoneticPr fontId="2" type="noConversion"/>
  </si>
  <si>
    <t>2039年1季度</t>
    <phoneticPr fontId="2" type="noConversion"/>
  </si>
  <si>
    <t>北京力姿商贸有限公司</t>
    <phoneticPr fontId="2" type="noConversion"/>
  </si>
  <si>
    <t>一层设票台/3层352/5层中庭大堂部分/6层全部</t>
    <phoneticPr fontId="2" type="noConversion"/>
  </si>
  <si>
    <t>2017.03.01-2019.02.28</t>
    <phoneticPr fontId="2" type="noConversion"/>
  </si>
  <si>
    <t>2017.04.01-2019.03.31</t>
    <phoneticPr fontId="2" type="noConversion"/>
  </si>
  <si>
    <t>2017.03.16-2019.03.15</t>
    <phoneticPr fontId="2" type="noConversion"/>
  </si>
  <si>
    <t>2017.4.1-2019.3.31</t>
    <phoneticPr fontId="2" type="noConversion"/>
  </si>
  <si>
    <t>北京市西单麻辣诱惑餐饮有限公司</t>
    <phoneticPr fontId="2" type="noConversion"/>
  </si>
  <si>
    <t>2016.3.1-2018.2.28</t>
    <phoneticPr fontId="2" type="noConversion"/>
  </si>
  <si>
    <t>北京为之味餐饮有限公司</t>
    <phoneticPr fontId="2" type="noConversion"/>
  </si>
  <si>
    <t>北京和信利成珠宝有限公司</t>
    <phoneticPr fontId="2" type="noConversion"/>
  </si>
  <si>
    <t>北京京广盈通贸易有限公司</t>
    <phoneticPr fontId="2" type="noConversion"/>
  </si>
  <si>
    <t>北京尚岑服饰有限公司</t>
    <phoneticPr fontId="2" type="noConversion"/>
  </si>
  <si>
    <t>北京华宇时代钟表有限公司</t>
    <phoneticPr fontId="2" type="noConversion"/>
  </si>
  <si>
    <t>黑龙江省金麟经贸发展有限公司</t>
    <phoneticPr fontId="2" type="noConversion"/>
  </si>
  <si>
    <t>北京爱慕服饰销售有限公司</t>
    <phoneticPr fontId="2" type="noConversion"/>
  </si>
  <si>
    <t>厦门市前沿科技开发有限公司</t>
    <phoneticPr fontId="2" type="noConversion"/>
  </si>
  <si>
    <t>北京阳光思特生物技术有限公司</t>
    <phoneticPr fontId="2" type="noConversion"/>
  </si>
  <si>
    <t>北京市欧卡德贸易有限公司</t>
    <phoneticPr fontId="2" type="noConversion"/>
  </si>
  <si>
    <t>北京奇妙佳儿童用品有限责任公司</t>
    <phoneticPr fontId="2" type="noConversion"/>
  </si>
  <si>
    <t>迪孚时代（北京）国际商业连锁有限公司</t>
    <phoneticPr fontId="2" type="noConversion"/>
  </si>
  <si>
    <t>资生堂丽源化妆品有限公司第一分店</t>
    <phoneticPr fontId="2" type="noConversion"/>
  </si>
  <si>
    <t>北京星巴克咖啡有限公司</t>
    <phoneticPr fontId="2" type="noConversion"/>
  </si>
  <si>
    <t>大连莱卡门服装有限公司北京第五分公司</t>
    <phoneticPr fontId="10" type="noConversion"/>
  </si>
  <si>
    <t>潘多拉珠宝设计（北京）有限公司</t>
    <phoneticPr fontId="2" type="noConversion"/>
  </si>
  <si>
    <t>浩瀚长空（北京）商贸有限责任公司北京市朝阳商贸分公司</t>
    <phoneticPr fontId="2" type="noConversion"/>
  </si>
  <si>
    <t>周大生珠宝股份有限公司北京朝阳分公司</t>
    <phoneticPr fontId="10" type="noConversion"/>
  </si>
  <si>
    <t>北京恒信凯特经贸有限责任公司</t>
    <phoneticPr fontId="2" type="noConversion"/>
  </si>
  <si>
    <t>北京美道恒业商贸有限公司富力强零售分公司</t>
    <phoneticPr fontId="10" type="noConversion"/>
  </si>
  <si>
    <t>地素时尚股份有限公司</t>
    <phoneticPr fontId="2" type="noConversion"/>
  </si>
  <si>
    <t>北京意丰歌服饰有限公司</t>
    <phoneticPr fontId="2" type="noConversion"/>
  </si>
  <si>
    <t>江南布衣服饰(北京)有限公司</t>
    <phoneticPr fontId="2" type="noConversion"/>
  </si>
  <si>
    <t>广州市质品服饰有限公司北京销售分公司</t>
    <phoneticPr fontId="2" type="noConversion"/>
  </si>
  <si>
    <t>北京鄂尔多斯时装有限公司</t>
    <phoneticPr fontId="10" type="noConversion"/>
  </si>
  <si>
    <t>广州市格风服饰有限公司北京尚柔分公司</t>
    <phoneticPr fontId="2" type="noConversion"/>
  </si>
  <si>
    <t>北京博雅万汇商贸有限公司</t>
    <phoneticPr fontId="10" type="noConversion"/>
  </si>
  <si>
    <t>天津赫璟商贸有限公司</t>
    <phoneticPr fontId="2" type="noConversion"/>
  </si>
  <si>
    <t>北京凯迪斯游乐设施有限公司</t>
    <phoneticPr fontId="2" type="noConversion"/>
  </si>
  <si>
    <t>北京纽乐童文化咨询有限公司</t>
    <phoneticPr fontId="2" type="noConversion"/>
  </si>
  <si>
    <t>北京市七田真富力教育咨询有限公司</t>
    <phoneticPr fontId="2" type="noConversion"/>
  </si>
  <si>
    <t>哈啰功夫文化传播（北京）有限公司</t>
    <phoneticPr fontId="2" type="noConversion"/>
  </si>
  <si>
    <t>上海龙辉餐饮管理有限公司北京双井店</t>
    <phoneticPr fontId="2" type="noConversion"/>
  </si>
  <si>
    <t>北京禾绿餐饮管理有限公司</t>
    <phoneticPr fontId="2" type="noConversion"/>
  </si>
  <si>
    <t>西藏汉拿山餐饮管理有限公司北京第二分店</t>
    <phoneticPr fontId="10" type="noConversion"/>
  </si>
  <si>
    <t>北京滇草香餐饮有限责任公司</t>
    <phoneticPr fontId="2" type="noConversion"/>
  </si>
  <si>
    <t>北京衣衣服装有限公司</t>
    <phoneticPr fontId="2" type="noConversion"/>
  </si>
  <si>
    <t>上海好孩子儿童服饰有限公司北京第三分公司</t>
    <phoneticPr fontId="2" type="noConversion"/>
  </si>
  <si>
    <t>泥想（北京）文化发展有限公司</t>
    <phoneticPr fontId="2" type="noConversion"/>
  </si>
  <si>
    <t>机时商贸（上海）有限公司</t>
    <phoneticPr fontId="2" type="noConversion"/>
  </si>
  <si>
    <t>永兴东润（中国）服饰有限公司北京朝阳儿童服饰五店</t>
    <phoneticPr fontId="2" type="noConversion"/>
  </si>
  <si>
    <t>北京蒙发利贸易有限公司</t>
    <phoneticPr fontId="2" type="noConversion"/>
  </si>
  <si>
    <t>北京咏莉美研商贸有限公司</t>
    <phoneticPr fontId="2" type="noConversion"/>
  </si>
  <si>
    <t>北京澳九记餐饮有限公司九好运餐饮分公司</t>
    <phoneticPr fontId="10" type="noConversion"/>
  </si>
  <si>
    <t>好孩子（中国）零售服务有限公司</t>
    <phoneticPr fontId="12" type="noConversion"/>
  </si>
  <si>
    <t>北京镜谜文化传媒有限公司</t>
    <phoneticPr fontId="2" type="noConversion"/>
  </si>
  <si>
    <t>北京市海淀区迈格森教育培训学校</t>
    <phoneticPr fontId="2" type="noConversion"/>
  </si>
  <si>
    <t>爱心灰姑娘天爱（北京）国际教育科技有限公司</t>
    <phoneticPr fontId="2" type="noConversion"/>
  </si>
  <si>
    <t>爱心灰姑娘（北京）国际教育科技有限公司</t>
    <phoneticPr fontId="2" type="noConversion"/>
  </si>
  <si>
    <t>北京思远影业有限公司</t>
    <phoneticPr fontId="10" type="noConversion"/>
  </si>
  <si>
    <t>西藏汉拿山餐饮管理有限公司</t>
    <phoneticPr fontId="2" type="noConversion"/>
  </si>
  <si>
    <t>北京多佐餐饮有限公司</t>
    <phoneticPr fontId="2" type="noConversion"/>
  </si>
  <si>
    <t>北京咿道餐饮有限公司</t>
    <phoneticPr fontId="10" type="noConversion"/>
  </si>
  <si>
    <t>上海龙辉餐饮管理有限公司北京双井店</t>
    <phoneticPr fontId="2" type="noConversion"/>
  </si>
  <si>
    <t>北京柯妤时尚贸易有限公司</t>
    <phoneticPr fontId="2" type="noConversion"/>
  </si>
  <si>
    <t>深圳市森巴彩宝首饰有限公司</t>
    <phoneticPr fontId="2" type="noConversion"/>
  </si>
  <si>
    <t>北京市千叶珠宝股份有限公司</t>
    <phoneticPr fontId="2" type="noConversion"/>
  </si>
  <si>
    <t>-3层仓储</t>
    <phoneticPr fontId="2" type="noConversion"/>
  </si>
  <si>
    <t>-2层地下车库</t>
    <phoneticPr fontId="2" type="noConversion"/>
  </si>
  <si>
    <t>-1层商业用房</t>
    <phoneticPr fontId="2" type="noConversion"/>
  </si>
  <si>
    <t>1层商业用房</t>
    <phoneticPr fontId="2" type="noConversion"/>
  </si>
  <si>
    <t>2层商业用房</t>
  </si>
  <si>
    <t>3层商业用房</t>
  </si>
  <si>
    <t>4层商业用房</t>
  </si>
  <si>
    <t>5层商业用房</t>
  </si>
  <si>
    <t>6层商业用房</t>
  </si>
  <si>
    <t>7层商业用房</t>
  </si>
  <si>
    <t>8层商业用房</t>
  </si>
  <si>
    <t>9层商业用房</t>
  </si>
  <si>
    <t>10层商业用房</t>
  </si>
  <si>
    <t>11层商业用房</t>
  </si>
  <si>
    <t>整理增长率</t>
    <phoneticPr fontId="2" type="noConversion"/>
  </si>
  <si>
    <t>客观增长率</t>
    <phoneticPr fontId="2" type="noConversion"/>
  </si>
  <si>
    <t>权重</t>
    <phoneticPr fontId="2" type="noConversion"/>
  </si>
  <si>
    <t>综合增长率</t>
    <phoneticPr fontId="2" type="noConversion"/>
  </si>
  <si>
    <t>整理出租率</t>
    <phoneticPr fontId="2" type="noConversion"/>
  </si>
  <si>
    <t>综合出租率</t>
    <phoneticPr fontId="2" type="noConversion"/>
  </si>
  <si>
    <t>押金情况</t>
    <phoneticPr fontId="2" type="noConversion"/>
  </si>
  <si>
    <t>客观出租率</t>
    <phoneticPr fontId="2" type="noConversion"/>
  </si>
  <si>
    <t>-3</t>
    <phoneticPr fontId="2" type="noConversion"/>
  </si>
  <si>
    <t>项目         年份</t>
    <phoneticPr fontId="10" type="noConversion"/>
  </si>
  <si>
    <r>
      <t>1</t>
    </r>
    <r>
      <rPr>
        <b/>
        <sz val="8"/>
        <rFont val="宋体"/>
        <family val="3"/>
        <charset val="134"/>
      </rPr>
      <t>、固定租金收入</t>
    </r>
    <phoneticPr fontId="10" type="noConversion"/>
  </si>
  <si>
    <r>
      <t>2</t>
    </r>
    <r>
      <rPr>
        <b/>
        <sz val="8"/>
        <rFont val="宋体"/>
        <family val="3"/>
        <charset val="134"/>
      </rPr>
      <t>、补缴提成收入</t>
    </r>
    <phoneticPr fontId="10" type="noConversion"/>
  </si>
  <si>
    <r>
      <t>3</t>
    </r>
    <r>
      <rPr>
        <b/>
        <sz val="8"/>
        <rFont val="宋体"/>
        <family val="3"/>
        <charset val="134"/>
      </rPr>
      <t>、押金收入</t>
    </r>
    <phoneticPr fontId="10" type="noConversion"/>
  </si>
  <si>
    <r>
      <t>1</t>
    </r>
    <r>
      <rPr>
        <b/>
        <sz val="8"/>
        <rFont val="宋体"/>
        <family val="3"/>
        <charset val="134"/>
      </rPr>
      <t>、房产税</t>
    </r>
    <phoneticPr fontId="10" type="noConversion"/>
  </si>
  <si>
    <r>
      <t>3</t>
    </r>
    <r>
      <rPr>
        <b/>
        <sz val="8"/>
        <rFont val="宋体"/>
        <family val="3"/>
        <charset val="134"/>
      </rPr>
      <t>、销售费等</t>
    </r>
    <phoneticPr fontId="10" type="noConversion"/>
  </si>
  <si>
    <t>合计</t>
  </si>
  <si>
    <r>
      <rPr>
        <b/>
        <sz val="9"/>
        <color theme="1"/>
        <rFont val="宋体"/>
        <family val="3"/>
        <charset val="134"/>
      </rPr>
      <t>序号</t>
    </r>
    <phoneticPr fontId="2" type="noConversion"/>
  </si>
  <si>
    <r>
      <rPr>
        <b/>
        <sz val="10"/>
        <color theme="1"/>
        <rFont val="宋体"/>
        <family val="3"/>
        <charset val="134"/>
      </rPr>
      <t>商铺号</t>
    </r>
  </si>
  <si>
    <r>
      <rPr>
        <b/>
        <sz val="10"/>
        <color theme="1"/>
        <rFont val="宋体"/>
        <family val="3"/>
        <charset val="134"/>
      </rPr>
      <t>商铺名称</t>
    </r>
  </si>
  <si>
    <r>
      <rPr>
        <b/>
        <sz val="9"/>
        <color theme="1"/>
        <rFont val="宋体"/>
        <family val="3"/>
        <charset val="134"/>
      </rPr>
      <t>租赁期限</t>
    </r>
  </si>
  <si>
    <r>
      <rPr>
        <b/>
        <sz val="9"/>
        <color theme="1"/>
        <rFont val="宋体"/>
        <family val="3"/>
        <charset val="134"/>
      </rPr>
      <t>所在楼层</t>
    </r>
    <phoneticPr fontId="2" type="noConversion"/>
  </si>
  <si>
    <r>
      <rPr>
        <b/>
        <sz val="9"/>
        <color theme="1"/>
        <rFont val="宋体"/>
        <family val="3"/>
        <charset val="134"/>
      </rPr>
      <t>面积</t>
    </r>
  </si>
  <si>
    <r>
      <rPr>
        <b/>
        <sz val="9"/>
        <color theme="1"/>
        <rFont val="宋体"/>
        <family val="3"/>
        <charset val="134"/>
      </rPr>
      <t>平均单价</t>
    </r>
  </si>
  <si>
    <r>
      <rPr>
        <b/>
        <sz val="9"/>
        <color theme="1"/>
        <rFont val="宋体"/>
        <family val="3"/>
        <charset val="134"/>
      </rPr>
      <t>平均租金（年）</t>
    </r>
    <phoneticPr fontId="2" type="noConversion"/>
  </si>
  <si>
    <r>
      <rPr>
        <b/>
        <sz val="9"/>
        <color theme="1"/>
        <rFont val="宋体"/>
        <family val="3"/>
        <charset val="134"/>
      </rPr>
      <t>押金</t>
    </r>
    <phoneticPr fontId="2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</si>
  <si>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</si>
  <si>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</si>
  <si>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</si>
  <si>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</si>
  <si>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</si>
  <si>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</si>
  <si>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</si>
  <si>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</si>
  <si>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</si>
  <si>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</si>
  <si>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</si>
  <si>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</si>
  <si>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</si>
  <si>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</si>
  <si>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</si>
  <si>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</si>
  <si>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</si>
  <si>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</si>
  <si>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</si>
  <si>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</si>
  <si>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</si>
  <si>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</si>
  <si>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</si>
  <si>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</si>
  <si>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</si>
  <si>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</si>
  <si>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</si>
  <si>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</si>
  <si>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</si>
  <si>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</si>
  <si>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</si>
  <si>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</si>
  <si>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</si>
  <si>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</si>
  <si>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</si>
  <si>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</si>
  <si>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</si>
  <si>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</si>
  <si>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</si>
  <si>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</si>
  <si>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</si>
  <si>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</si>
  <si>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</si>
  <si>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</si>
  <si>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</si>
  <si>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</si>
  <si>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</si>
  <si>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</si>
  <si>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</si>
  <si>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</si>
  <si>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</si>
  <si>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</si>
  <si>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</si>
  <si>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</si>
  <si>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</si>
  <si>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</si>
  <si>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</si>
  <si>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</si>
  <si>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</si>
  <si>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</si>
  <si>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</si>
  <si>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</si>
  <si>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</si>
  <si>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</si>
  <si>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</si>
  <si>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</si>
  <si>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</si>
  <si>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</si>
  <si>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</si>
  <si>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</si>
  <si>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</si>
  <si>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</si>
  <si>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</si>
  <si>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</si>
  <si>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</si>
  <si>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</si>
  <si>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</si>
  <si>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</si>
  <si>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</si>
  <si>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</si>
  <si>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</si>
  <si>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</si>
  <si>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</si>
  <si>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</si>
  <si>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rPr>
        <b/>
        <sz val="10"/>
        <color theme="1"/>
        <rFont val="宋体"/>
        <family val="3"/>
        <charset val="134"/>
      </rPr>
      <t>租金合计</t>
    </r>
  </si>
  <si>
    <r>
      <t>(</t>
    </r>
    <r>
      <rPr>
        <sz val="9"/>
        <color theme="1"/>
        <rFont val="宋体"/>
        <family val="3"/>
        <charset val="134"/>
      </rPr>
      <t>㎡</t>
    </r>
    <r>
      <rPr>
        <sz val="9"/>
        <color theme="1"/>
        <rFont val="Anial"/>
        <family val="2"/>
      </rPr>
      <t>)</t>
    </r>
  </si>
  <si>
    <r>
      <t>(</t>
    </r>
    <r>
      <rPr>
        <sz val="9"/>
        <color theme="1"/>
        <rFont val="宋体"/>
        <family val="3"/>
        <charset val="134"/>
      </rPr>
      <t>元</t>
    </r>
    <r>
      <rPr>
        <sz val="9"/>
        <color theme="1"/>
        <rFont val="Anial"/>
        <family val="2"/>
      </rPr>
      <t>/</t>
    </r>
    <r>
      <rPr>
        <sz val="9"/>
        <color theme="1"/>
        <rFont val="宋体"/>
        <family val="3"/>
        <charset val="134"/>
      </rPr>
      <t>天</t>
    </r>
    <r>
      <rPr>
        <sz val="9"/>
        <color theme="1"/>
        <rFont val="Anial"/>
        <family val="2"/>
      </rPr>
      <t>/</t>
    </r>
    <r>
      <rPr>
        <sz val="9"/>
        <color theme="1"/>
        <rFont val="宋体"/>
        <family val="3"/>
        <charset val="134"/>
      </rPr>
      <t>㎡</t>
    </r>
    <r>
      <rPr>
        <sz val="9"/>
        <color theme="1"/>
        <rFont val="Anial"/>
        <family val="2"/>
      </rPr>
      <t>)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</si>
  <si>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A01-02</t>
    </r>
  </si>
  <si>
    <r>
      <t xml:space="preserve"> </t>
    </r>
    <r>
      <rPr>
        <b/>
        <sz val="9"/>
        <color theme="1"/>
        <rFont val="宋体"/>
        <family val="3"/>
        <charset val="134"/>
      </rPr>
      <t>北京港丽餐饮管理有限公司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</si>
  <si>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A03</t>
    </r>
  </si>
  <si>
    <r>
      <rPr>
        <b/>
        <sz val="9"/>
        <color theme="1"/>
        <rFont val="宋体"/>
        <family val="3"/>
        <charset val="134"/>
      </rPr>
      <t>北京度小月餐饮管理有限公司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</si>
  <si>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A04</t>
    </r>
    <phoneticPr fontId="10" type="noConversion"/>
  </si>
  <si>
    <r>
      <rPr>
        <b/>
        <sz val="9"/>
        <color theme="1"/>
        <rFont val="宋体"/>
        <family val="3"/>
        <charset val="134"/>
      </rPr>
      <t>星亚餐饮管理（北京）有限公司</t>
    </r>
    <phoneticPr fontId="10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</si>
  <si>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A05</t>
    </r>
  </si>
  <si>
    <r>
      <rPr>
        <b/>
        <sz val="9"/>
        <color theme="1"/>
        <rFont val="宋体"/>
        <family val="3"/>
        <charset val="134"/>
      </rPr>
      <t>通用磨坊贸易（上海）有限公司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</si>
  <si>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A-06</t>
    </r>
  </si>
  <si>
    <r>
      <rPr>
        <b/>
        <sz val="9"/>
        <color theme="1"/>
        <rFont val="宋体"/>
        <family val="3"/>
        <charset val="134"/>
      </rPr>
      <t>北京为之味餐饮有限公司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</si>
  <si>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A-07</t>
    </r>
  </si>
  <si>
    <r>
      <rPr>
        <b/>
        <sz val="9"/>
        <color theme="1"/>
        <rFont val="宋体"/>
        <family val="3"/>
        <charset val="134"/>
      </rPr>
      <t>北京三鼎原商贸有限公司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</si>
  <si>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A09-10-11</t>
    </r>
  </si>
  <si>
    <r>
      <rPr>
        <b/>
        <sz val="9"/>
        <color theme="1"/>
        <rFont val="宋体"/>
        <family val="3"/>
        <charset val="134"/>
      </rPr>
      <t>绫致时装（天津）有限公司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</si>
  <si>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A14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</si>
  <si>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A15</t>
    </r>
  </si>
  <si>
    <r>
      <rPr>
        <b/>
        <sz val="9"/>
        <color theme="1"/>
        <rFont val="宋体"/>
        <family val="3"/>
        <charset val="134"/>
      </rPr>
      <t>北京西单麻辣诱惑餐馆有限公司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</si>
  <si>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A16</t>
    </r>
  </si>
  <si>
    <r>
      <rPr>
        <b/>
        <sz val="9"/>
        <color theme="1"/>
        <rFont val="宋体"/>
        <family val="3"/>
        <charset val="134"/>
      </rPr>
      <t>北京大食代餐饮有限公司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</si>
  <si>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B-02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</si>
  <si>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B-07</t>
    </r>
  </si>
  <si>
    <r>
      <rPr>
        <b/>
        <sz val="9"/>
        <color theme="1"/>
        <rFont val="宋体"/>
        <family val="3"/>
        <charset val="134"/>
      </rPr>
      <t>北京美特肖普商贸有限公司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</si>
  <si>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B-09</t>
    </r>
  </si>
  <si>
    <r>
      <rPr>
        <b/>
        <sz val="9"/>
        <color theme="1"/>
        <rFont val="宋体"/>
        <family val="3"/>
        <charset val="134"/>
      </rPr>
      <t>江南布衣服饰（北京）有限公司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</si>
  <si>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B-10</t>
    </r>
  </si>
  <si>
    <r>
      <rPr>
        <b/>
        <sz val="9"/>
        <color theme="1"/>
        <rFont val="宋体"/>
        <family val="3"/>
        <charset val="134"/>
      </rPr>
      <t>北京斯科塞斯商贸有限公司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</si>
  <si>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B11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</si>
  <si>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B13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</si>
  <si>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B14</t>
    </r>
    <phoneticPr fontId="10" type="noConversion"/>
  </si>
  <si>
    <r>
      <rPr>
        <b/>
        <sz val="9"/>
        <color theme="1"/>
        <rFont val="宋体"/>
        <family val="3"/>
        <charset val="134"/>
      </rPr>
      <t>西雅衣家（中国）商业有限公司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</si>
  <si>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B16-03</t>
    </r>
  </si>
  <si>
    <r>
      <rPr>
        <b/>
        <sz val="9"/>
        <color theme="1"/>
        <rFont val="宋体"/>
        <family val="3"/>
        <charset val="134"/>
      </rPr>
      <t>绫致时装</t>
    </r>
    <r>
      <rPr>
        <b/>
        <sz val="9"/>
        <color theme="1"/>
        <rFont val="Anial"/>
        <family val="2"/>
      </rPr>
      <t>(</t>
    </r>
    <r>
      <rPr>
        <b/>
        <sz val="9"/>
        <color theme="1"/>
        <rFont val="宋体"/>
        <family val="3"/>
        <charset val="134"/>
      </rPr>
      <t>天津</t>
    </r>
    <r>
      <rPr>
        <b/>
        <sz val="9"/>
        <color theme="1"/>
        <rFont val="Anial"/>
        <family val="2"/>
      </rPr>
      <t>)</t>
    </r>
    <r>
      <rPr>
        <b/>
        <sz val="9"/>
        <color theme="1"/>
        <rFont val="宋体"/>
        <family val="3"/>
        <charset val="134"/>
      </rPr>
      <t>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</si>
  <si>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B18</t>
    </r>
  </si>
  <si>
    <r>
      <rPr>
        <b/>
        <sz val="9"/>
        <color theme="1"/>
        <rFont val="宋体"/>
        <family val="3"/>
        <charset val="134"/>
      </rPr>
      <t>罗克（北京）服饰有限公司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</si>
  <si>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B19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</si>
  <si>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B21-B22</t>
    </r>
  </si>
  <si>
    <r>
      <rPr>
        <b/>
        <sz val="9"/>
        <color theme="1"/>
        <rFont val="宋体"/>
        <family val="3"/>
        <charset val="134"/>
      </rPr>
      <t>北京丽家丽婴婴童用品股份有限公司</t>
    </r>
    <phoneticPr fontId="12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</si>
  <si>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B23</t>
    </r>
  </si>
  <si>
    <r>
      <rPr>
        <b/>
        <sz val="9"/>
        <color theme="1"/>
        <rFont val="宋体"/>
        <family val="3"/>
        <charset val="134"/>
      </rPr>
      <t>浩瀚长空（北京）商贸有限责任公司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</si>
  <si>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B24</t>
    </r>
  </si>
  <si>
    <r>
      <rPr>
        <b/>
        <sz val="9"/>
        <color theme="1"/>
        <rFont val="宋体"/>
        <family val="3"/>
        <charset val="134"/>
      </rPr>
      <t>资生堂丽源化妆品有限公司北京第一分店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</si>
  <si>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B25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</si>
  <si>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B28</t>
    </r>
  </si>
  <si>
    <r>
      <rPr>
        <b/>
        <sz val="9"/>
        <color theme="1"/>
        <rFont val="宋体"/>
        <family val="3"/>
        <charset val="134"/>
      </rPr>
      <t>机时商贸（上海）有限公司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</si>
  <si>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B31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</si>
  <si>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B32</t>
    </r>
    <phoneticPr fontId="10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</si>
  <si>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B05</t>
    </r>
    <phoneticPr fontId="12" type="noConversion"/>
  </si>
  <si>
    <r>
      <rPr>
        <b/>
        <sz val="9"/>
        <color theme="1"/>
        <rFont val="宋体"/>
        <family val="3"/>
        <charset val="134"/>
      </rPr>
      <t>佛山星期六鞋业有限公司</t>
    </r>
    <phoneticPr fontId="12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</si>
  <si>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B06</t>
    </r>
    <phoneticPr fontId="12" type="noConversion"/>
  </si>
  <si>
    <r>
      <rPr>
        <b/>
        <sz val="9"/>
        <color theme="1"/>
        <rFont val="宋体"/>
        <family val="3"/>
        <charset val="134"/>
      </rPr>
      <t>上海西歌实业有限公司</t>
    </r>
    <phoneticPr fontId="12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</si>
  <si>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B15</t>
    </r>
    <phoneticPr fontId="12" type="noConversion"/>
  </si>
  <si>
    <r>
      <rPr>
        <b/>
        <sz val="9"/>
        <color theme="1"/>
        <rFont val="宋体"/>
        <family val="3"/>
        <charset val="134"/>
      </rPr>
      <t>北京名赫小可乐餐饮管理有限公司</t>
    </r>
    <phoneticPr fontId="10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</si>
  <si>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B26</t>
    </r>
    <phoneticPr fontId="12" type="noConversion"/>
  </si>
  <si>
    <r>
      <rPr>
        <b/>
        <sz val="9"/>
        <color theme="1"/>
        <rFont val="宋体"/>
        <family val="3"/>
        <charset val="134"/>
      </rPr>
      <t>绫致时装（天津）有限公司</t>
    </r>
    <phoneticPr fontId="12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</si>
  <si>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A12</t>
    </r>
    <phoneticPr fontId="12" type="noConversion"/>
  </si>
  <si>
    <r>
      <rPr>
        <b/>
        <sz val="9"/>
        <color theme="1"/>
        <rFont val="宋体"/>
        <family val="3"/>
        <charset val="134"/>
      </rPr>
      <t>北京佳群餐饮管理有限公司</t>
    </r>
    <phoneticPr fontId="12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</si>
  <si>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B-01</t>
    </r>
  </si>
  <si>
    <r>
      <rPr>
        <b/>
        <sz val="9"/>
        <color theme="1"/>
        <rFont val="宋体"/>
        <family val="3"/>
        <charset val="134"/>
      </rPr>
      <t>北京安陆餐饮管理有限公司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</si>
  <si>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B-12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</si>
  <si>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B27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</si>
  <si>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B29</t>
    </r>
  </si>
  <si>
    <r>
      <rPr>
        <b/>
        <sz val="9"/>
        <color theme="1"/>
        <rFont val="宋体"/>
        <family val="3"/>
        <charset val="134"/>
      </rPr>
      <t>北京镜谜文化传媒有限公司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</si>
  <si>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B30</t>
    </r>
  </si>
  <si>
    <r>
      <rPr>
        <b/>
        <sz val="9"/>
        <color theme="1"/>
        <rFont val="宋体"/>
        <family val="3"/>
        <charset val="134"/>
      </rPr>
      <t>北京为之味餐饮有限公司</t>
    </r>
    <phoneticPr fontId="2" type="noConversion"/>
  </si>
  <si>
    <r>
      <rPr>
        <sz val="9"/>
        <color theme="1"/>
        <rFont val="宋体"/>
        <family val="3"/>
        <charset val="134"/>
      </rPr>
      <t>合计</t>
    </r>
    <phoneticPr fontId="2" type="noConversion"/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</si>
  <si>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</t>
    </r>
    <r>
      <rPr>
        <b/>
        <sz val="8"/>
        <rFont val="宋体"/>
        <family val="3"/>
        <charset val="134"/>
      </rPr>
      <t>年</t>
    </r>
    <phoneticPr fontId="2" type="noConversion"/>
  </si>
  <si>
    <r>
      <rPr>
        <b/>
        <sz val="8"/>
        <rFont val="宋体"/>
        <family val="3"/>
        <charset val="134"/>
      </rPr>
      <t>项目</t>
    </r>
    <r>
      <rPr>
        <b/>
        <sz val="8"/>
        <rFont val="Anial"/>
        <family val="2"/>
      </rPr>
      <t xml:space="preserve">         </t>
    </r>
    <r>
      <rPr>
        <b/>
        <sz val="8"/>
        <rFont val="宋体"/>
        <family val="3"/>
        <charset val="134"/>
      </rPr>
      <t>年份</t>
    </r>
    <phoneticPr fontId="10" type="noConversion"/>
  </si>
  <si>
    <r>
      <rPr>
        <b/>
        <sz val="8"/>
        <rFont val="宋体"/>
        <family val="3"/>
        <charset val="134"/>
      </rPr>
      <t>备注</t>
    </r>
    <phoneticPr fontId="10" type="noConversion"/>
  </si>
  <si>
    <r>
      <rPr>
        <b/>
        <sz val="8"/>
        <rFont val="宋体"/>
        <family val="3"/>
        <charset val="134"/>
      </rPr>
      <t>税率</t>
    </r>
    <phoneticPr fontId="10" type="noConversion"/>
  </si>
  <si>
    <r>
      <rPr>
        <b/>
        <sz val="9"/>
        <color theme="1"/>
        <rFont val="宋体"/>
        <family val="3"/>
        <charset val="134"/>
      </rPr>
      <t>合计</t>
    </r>
    <phoneticPr fontId="2" type="noConversion"/>
  </si>
  <si>
    <r>
      <rPr>
        <b/>
        <sz val="8"/>
        <rFont val="宋体"/>
        <family val="3"/>
        <charset val="134"/>
      </rPr>
      <t>（一）、经营活动现金流入</t>
    </r>
    <phoneticPr fontId="10" type="noConversion"/>
  </si>
  <si>
    <r>
      <rPr>
        <b/>
        <sz val="8"/>
        <rFont val="宋体"/>
        <family val="3"/>
        <charset val="134"/>
      </rPr>
      <t>（二）、经营活动现金流出</t>
    </r>
    <phoneticPr fontId="10" type="noConversion"/>
  </si>
  <si>
    <r>
      <t>2</t>
    </r>
    <r>
      <rPr>
        <b/>
        <sz val="8"/>
        <rFont val="宋体"/>
        <family val="3"/>
        <charset val="134"/>
      </rPr>
      <t>、增值税</t>
    </r>
    <phoneticPr fontId="10" type="noConversion"/>
  </si>
  <si>
    <r>
      <rPr>
        <b/>
        <sz val="8"/>
        <rFont val="宋体"/>
        <family val="3"/>
        <charset val="134"/>
      </rPr>
      <t>（三）、房地产纯收益</t>
    </r>
    <phoneticPr fontId="10" type="noConversion"/>
  </si>
  <si>
    <r>
      <rPr>
        <b/>
        <sz val="8"/>
        <rFont val="宋体"/>
        <family val="3"/>
        <charset val="134"/>
      </rPr>
      <t>年度净收益</t>
    </r>
    <phoneticPr fontId="10" type="noConversion"/>
  </si>
  <si>
    <r>
      <rPr>
        <b/>
        <sz val="8"/>
        <rFont val="宋体"/>
        <family val="3"/>
        <charset val="134"/>
      </rPr>
      <t>还原利率（</t>
    </r>
    <r>
      <rPr>
        <b/>
        <sz val="8"/>
        <rFont val="Anial"/>
        <family val="2"/>
      </rPr>
      <t>Y</t>
    </r>
    <r>
      <rPr>
        <b/>
        <sz val="8"/>
        <rFont val="宋体"/>
        <family val="3"/>
        <charset val="134"/>
      </rPr>
      <t>）</t>
    </r>
    <phoneticPr fontId="10" type="noConversion"/>
  </si>
  <si>
    <r>
      <rPr>
        <b/>
        <sz val="8"/>
        <rFont val="宋体"/>
        <family val="3"/>
        <charset val="134"/>
      </rPr>
      <t>收益年限（</t>
    </r>
    <r>
      <rPr>
        <b/>
        <sz val="8"/>
        <rFont val="Anial"/>
        <family val="2"/>
      </rPr>
      <t>n</t>
    </r>
    <r>
      <rPr>
        <b/>
        <sz val="8"/>
        <rFont val="宋体"/>
        <family val="3"/>
        <charset val="134"/>
      </rPr>
      <t>）</t>
    </r>
    <phoneticPr fontId="10" type="noConversion"/>
  </si>
  <si>
    <r>
      <rPr>
        <b/>
        <sz val="8"/>
        <rFont val="宋体"/>
        <family val="3"/>
        <charset val="134"/>
      </rPr>
      <t>折现值</t>
    </r>
    <phoneticPr fontId="10" type="noConversion"/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</si>
  <si>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2</t>
    </r>
    <r>
      <rPr>
        <b/>
        <sz val="8"/>
        <rFont val="宋体"/>
        <family val="3"/>
        <charset val="134"/>
      </rPr>
      <t>年</t>
    </r>
    <phoneticPr fontId="2" type="noConversion"/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</si>
  <si>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3年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</si>
  <si>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4年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</si>
  <si>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5年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</si>
  <si>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6年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</si>
  <si>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7年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</si>
  <si>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8年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</si>
  <si>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9年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</si>
  <si>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10年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</si>
  <si>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11年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</si>
  <si>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12年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</si>
  <si>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13年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</si>
  <si>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14年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</si>
  <si>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15年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</si>
  <si>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16年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</si>
  <si>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17年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</si>
  <si>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18年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</si>
  <si>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19年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</si>
  <si>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20年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</si>
  <si>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21年</t>
    </r>
    <r>
      <rPr>
        <b/>
        <sz val="8"/>
        <rFont val="宋体"/>
        <family val="3"/>
        <charset val="134"/>
      </rPr>
      <t/>
    </r>
  </si>
  <si>
    <t>——</t>
    <phoneticPr fontId="2" type="noConversion"/>
  </si>
  <si>
    <t>地下三层已租未更新</t>
    <phoneticPr fontId="2" type="noConversion"/>
  </si>
  <si>
    <t>——</t>
    <phoneticPr fontId="2" type="noConversion"/>
  </si>
  <si>
    <t>——</t>
    <phoneticPr fontId="2" type="noConversion"/>
  </si>
  <si>
    <t>-1</t>
    <phoneticPr fontId="2" type="noConversion"/>
  </si>
  <si>
    <r>
      <rPr>
        <b/>
        <sz val="9"/>
        <color theme="1"/>
        <rFont val="宋体"/>
        <family val="3"/>
        <charset val="134"/>
      </rPr>
      <t>商铺号</t>
    </r>
  </si>
  <si>
    <r>
      <rPr>
        <b/>
        <sz val="9"/>
        <color theme="1"/>
        <rFont val="宋体"/>
        <family val="3"/>
        <charset val="134"/>
      </rPr>
      <t>押金</t>
    </r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</si>
  <si>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</si>
  <si>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</si>
  <si>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</si>
  <si>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</si>
  <si>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</si>
  <si>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</si>
  <si>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</si>
  <si>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</si>
  <si>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</si>
  <si>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</si>
  <si>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</si>
  <si>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</si>
  <si>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</si>
  <si>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</si>
  <si>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</si>
  <si>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</si>
  <si>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</si>
  <si>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</si>
  <si>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</si>
  <si>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</si>
  <si>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</si>
  <si>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</si>
  <si>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</si>
  <si>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</si>
  <si>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</si>
  <si>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</si>
  <si>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</si>
  <si>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</si>
  <si>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</si>
  <si>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</si>
  <si>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</si>
  <si>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</si>
  <si>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</si>
  <si>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</si>
  <si>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</si>
  <si>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</si>
  <si>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</si>
  <si>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</si>
  <si>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</si>
  <si>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</si>
  <si>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</si>
  <si>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</si>
  <si>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</si>
  <si>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</si>
  <si>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</si>
  <si>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</si>
  <si>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</si>
  <si>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</si>
  <si>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</si>
  <si>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</si>
  <si>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</si>
  <si>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</si>
  <si>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</si>
  <si>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</si>
  <si>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</si>
  <si>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</si>
  <si>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2" type="noConversion"/>
  </si>
  <si>
    <r>
      <rPr>
        <b/>
        <sz val="9"/>
        <color theme="1"/>
        <rFont val="宋体"/>
        <family val="3"/>
        <charset val="134"/>
      </rPr>
      <t>租金合计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</si>
  <si>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A01/A02/A04-A17</t>
    </r>
  </si>
  <si>
    <r>
      <rPr>
        <b/>
        <sz val="9"/>
        <color theme="1"/>
        <rFont val="宋体"/>
        <family val="3"/>
        <charset val="134"/>
      </rPr>
      <t>华润超级市场有限公司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</si>
  <si>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3F/4F/5F</t>
    </r>
    <phoneticPr fontId="10" type="noConversion"/>
  </si>
  <si>
    <r>
      <rPr>
        <b/>
        <sz val="9"/>
        <color theme="1"/>
        <rFont val="宋体"/>
        <family val="3"/>
        <charset val="134"/>
      </rPr>
      <t>北京百多橙商贸有限公司</t>
    </r>
  </si>
  <si>
    <r>
      <t>-1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Anial"/>
        <family val="2"/>
      </rPr>
      <t>3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Anial"/>
        <family val="2"/>
      </rPr>
      <t>4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Anial"/>
        <family val="2"/>
      </rPr>
      <t>5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</si>
  <si>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B01/C31/</t>
    </r>
    <r>
      <rPr>
        <b/>
        <sz val="9"/>
        <color theme="1"/>
        <rFont val="宋体"/>
        <family val="3"/>
        <charset val="134"/>
      </rPr>
      <t>一层</t>
    </r>
    <r>
      <rPr>
        <b/>
        <sz val="9"/>
        <color theme="1"/>
        <rFont val="Anial"/>
        <family val="2"/>
      </rPr>
      <t>143</t>
    </r>
  </si>
  <si>
    <r>
      <rPr>
        <b/>
        <sz val="9"/>
        <color theme="1"/>
        <rFont val="宋体"/>
        <family val="3"/>
        <charset val="134"/>
      </rPr>
      <t>北京麦当劳食品有限公司</t>
    </r>
  </si>
  <si>
    <r>
      <t>-1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Anial"/>
        <family val="2"/>
      </rPr>
      <t>1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</si>
  <si>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B02-1</t>
    </r>
    <r>
      <rPr>
        <b/>
        <sz val="9"/>
        <color theme="1"/>
        <rFont val="宋体"/>
        <family val="3"/>
        <charset val="134"/>
      </rPr>
      <t>、</t>
    </r>
    <r>
      <rPr>
        <b/>
        <sz val="9"/>
        <color theme="1"/>
        <rFont val="Anial"/>
        <family val="2"/>
      </rPr>
      <t>B02-2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</si>
  <si>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B02-3</t>
    </r>
  </si>
  <si>
    <r>
      <rPr>
        <b/>
        <sz val="9"/>
        <color theme="1"/>
        <rFont val="宋体"/>
        <family val="3"/>
        <charset val="134"/>
      </rPr>
      <t>北京味千餐饮管理有限公司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</si>
  <si>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B02-4</t>
    </r>
  </si>
  <si>
    <r>
      <rPr>
        <b/>
        <sz val="9"/>
        <color theme="1"/>
        <rFont val="宋体"/>
        <family val="3"/>
        <charset val="134"/>
      </rPr>
      <t>北京星米世纪餐饮管理有限公司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</si>
  <si>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B02-5</t>
    </r>
  </si>
  <si>
    <r>
      <rPr>
        <b/>
        <sz val="9"/>
        <color theme="1"/>
        <rFont val="宋体"/>
        <family val="3"/>
        <charset val="134"/>
      </rPr>
      <t>富迪康（北京）餐饮管理有限公司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</si>
  <si>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B02-6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</si>
  <si>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B02-7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</si>
  <si>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B02-8</t>
    </r>
  </si>
  <si>
    <r>
      <rPr>
        <b/>
        <sz val="9"/>
        <color theme="1"/>
        <rFont val="宋体"/>
        <family val="3"/>
        <charset val="134"/>
      </rPr>
      <t>星亚餐饮管理（北京）有限公司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</si>
  <si>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B05</t>
    </r>
  </si>
  <si>
    <r>
      <rPr>
        <b/>
        <sz val="9"/>
        <color theme="1"/>
        <rFont val="宋体"/>
        <family val="3"/>
        <charset val="134"/>
      </rPr>
      <t>北京凯撒国际旅行社有限责任公司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</si>
  <si>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B06A-B06B</t>
    </r>
  </si>
  <si>
    <r>
      <rPr>
        <b/>
        <sz val="9"/>
        <color theme="1"/>
        <rFont val="宋体"/>
        <family val="3"/>
        <charset val="134"/>
      </rPr>
      <t>北京富元盛泽商贸有限公司朝阳区分公司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</si>
  <si>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B07</t>
    </r>
  </si>
  <si>
    <r>
      <rPr>
        <b/>
        <sz val="9"/>
        <color theme="1"/>
        <rFont val="宋体"/>
        <family val="3"/>
        <charset val="134"/>
      </rPr>
      <t>北京信恒合丰餐饮管理有限公司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</si>
  <si>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B38-2</t>
    </r>
  </si>
  <si>
    <r>
      <rPr>
        <b/>
        <sz val="9"/>
        <color theme="1"/>
        <rFont val="宋体"/>
        <family val="3"/>
        <charset val="134"/>
      </rPr>
      <t>北京森德嘉科贸有限公司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</si>
  <si>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C01-03</t>
    </r>
  </si>
  <si>
    <r>
      <rPr>
        <b/>
        <sz val="9"/>
        <color theme="1"/>
        <rFont val="宋体"/>
        <family val="3"/>
        <charset val="134"/>
      </rPr>
      <t>北京好美洋生物技术有限公司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</si>
  <si>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C02</t>
    </r>
  </si>
  <si>
    <r>
      <rPr>
        <b/>
        <sz val="9"/>
        <color theme="1"/>
        <rFont val="宋体"/>
        <family val="3"/>
        <charset val="134"/>
      </rPr>
      <t>北京美道宏业服饰有限公司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</si>
  <si>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C04-05</t>
    </r>
  </si>
  <si>
    <r>
      <rPr>
        <b/>
        <sz val="9"/>
        <color theme="1"/>
        <rFont val="宋体"/>
        <family val="3"/>
        <charset val="134"/>
      </rPr>
      <t>北京柏文熊贸易有限公司</t>
    </r>
    <phoneticPr fontId="10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</si>
  <si>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C08a</t>
    </r>
  </si>
  <si>
    <r>
      <rPr>
        <b/>
        <sz val="9"/>
        <color theme="1"/>
        <rFont val="宋体"/>
        <family val="3"/>
        <charset val="134"/>
      </rPr>
      <t>上海睿慕致裳服饰有限公司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</si>
  <si>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C09-C11-01</t>
    </r>
  </si>
  <si>
    <r>
      <rPr>
        <b/>
        <sz val="9"/>
        <color theme="1"/>
        <rFont val="宋体"/>
        <family val="3"/>
        <charset val="134"/>
      </rPr>
      <t>北京茂思商贸有限公司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</si>
  <si>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C11-02</t>
    </r>
  </si>
  <si>
    <r>
      <rPr>
        <b/>
        <sz val="9"/>
        <color theme="1"/>
        <rFont val="宋体"/>
        <family val="3"/>
        <charset val="134"/>
      </rPr>
      <t>北京潮洋盛业服装服饰有限公司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</si>
  <si>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C12</t>
    </r>
  </si>
  <si>
    <r>
      <rPr>
        <b/>
        <sz val="9"/>
        <color theme="1"/>
        <rFont val="宋体"/>
        <family val="3"/>
        <charset val="134"/>
      </rPr>
      <t>北京瑞祥信合贸易发展有限公司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</si>
  <si>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C26-28</t>
    </r>
    <phoneticPr fontId="10" type="noConversion"/>
  </si>
  <si>
    <r>
      <rPr>
        <b/>
        <sz val="9"/>
        <color theme="1"/>
        <rFont val="宋体"/>
        <family val="3"/>
        <charset val="134"/>
      </rPr>
      <t>北京英之沁化妆品有限公司</t>
    </r>
    <phoneticPr fontId="1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</si>
  <si>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C29</t>
    </r>
  </si>
  <si>
    <r>
      <rPr>
        <b/>
        <sz val="9"/>
        <color theme="1"/>
        <rFont val="宋体"/>
        <family val="3"/>
        <charset val="134"/>
      </rPr>
      <t>呷哺呷哺餐饮管理有限公司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</si>
  <si>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C30</t>
    </r>
  </si>
  <si>
    <r>
      <rPr>
        <b/>
        <sz val="9"/>
        <color theme="1"/>
        <rFont val="宋体"/>
        <family val="3"/>
        <charset val="134"/>
      </rPr>
      <t>万宁连锁商业</t>
    </r>
    <r>
      <rPr>
        <b/>
        <sz val="9"/>
        <color theme="1"/>
        <rFont val="Anial"/>
        <family val="2"/>
      </rPr>
      <t>(</t>
    </r>
    <r>
      <rPr>
        <b/>
        <sz val="9"/>
        <color theme="1"/>
        <rFont val="宋体"/>
        <family val="3"/>
        <charset val="134"/>
      </rPr>
      <t>北京</t>
    </r>
    <r>
      <rPr>
        <b/>
        <sz val="9"/>
        <color theme="1"/>
        <rFont val="Anial"/>
        <family val="2"/>
      </rPr>
      <t>)</t>
    </r>
    <r>
      <rPr>
        <b/>
        <sz val="9"/>
        <color theme="1"/>
        <rFont val="宋体"/>
        <family val="3"/>
        <charset val="134"/>
      </rPr>
      <t>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</si>
  <si>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D01/</t>
    </r>
    <r>
      <rPr>
        <b/>
        <sz val="9"/>
        <color theme="1"/>
        <rFont val="宋体"/>
        <family val="3"/>
        <charset val="134"/>
      </rPr>
      <t>一层</t>
    </r>
    <r>
      <rPr>
        <b/>
        <sz val="9"/>
        <color theme="1"/>
        <rFont val="Anial"/>
        <family val="2"/>
      </rPr>
      <t>131</t>
    </r>
  </si>
  <si>
    <r>
      <rPr>
        <b/>
        <sz val="9"/>
        <color theme="1"/>
        <rFont val="宋体"/>
        <family val="3"/>
        <charset val="134"/>
      </rPr>
      <t>北京肯德基有限公司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</si>
  <si>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D04</t>
    </r>
  </si>
  <si>
    <r>
      <rPr>
        <b/>
        <sz val="9"/>
        <color theme="1"/>
        <rFont val="宋体"/>
        <family val="3"/>
        <charset val="134"/>
      </rPr>
      <t>北京爱慕服饰销售有限公司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</si>
  <si>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D05</t>
    </r>
  </si>
  <si>
    <r>
      <rPr>
        <b/>
        <sz val="9"/>
        <color theme="1"/>
        <rFont val="宋体"/>
        <family val="3"/>
        <charset val="134"/>
      </rPr>
      <t>北京旋木时光生活用品有限公司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</si>
  <si>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D06</t>
    </r>
  </si>
  <si>
    <r>
      <rPr>
        <b/>
        <sz val="9"/>
        <color theme="1"/>
        <rFont val="宋体"/>
        <family val="3"/>
        <charset val="134"/>
      </rPr>
      <t>百丽鞋业（北京）有限公司</t>
    </r>
    <phoneticPr fontId="10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</si>
  <si>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D07</t>
    </r>
  </si>
  <si>
    <r>
      <rPr>
        <b/>
        <sz val="9"/>
        <color theme="1"/>
        <rFont val="宋体"/>
        <family val="3"/>
        <charset val="134"/>
      </rPr>
      <t>北京宝哲体育用品有限公司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</si>
  <si>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D08</t>
    </r>
  </si>
  <si>
    <r>
      <rPr>
        <b/>
        <sz val="9"/>
        <color theme="1"/>
        <rFont val="宋体"/>
        <family val="3"/>
        <charset val="134"/>
      </rPr>
      <t>晶华宝岛（北京）眼镜有限公司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</si>
  <si>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D09</t>
    </r>
  </si>
  <si>
    <r>
      <rPr>
        <b/>
        <sz val="9"/>
        <color theme="1"/>
        <rFont val="宋体"/>
        <family val="3"/>
        <charset val="134"/>
      </rPr>
      <t>绰琪服装（深圳）有限公司北京分公司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</si>
  <si>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D10</t>
    </r>
  </si>
  <si>
    <r>
      <rPr>
        <b/>
        <sz val="9"/>
        <color theme="1"/>
        <rFont val="宋体"/>
        <family val="3"/>
        <charset val="134"/>
      </rPr>
      <t>宝光宝视（北京）眼镜有限公司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</si>
  <si>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D11</t>
    </r>
  </si>
  <si>
    <r>
      <rPr>
        <b/>
        <sz val="9"/>
        <color theme="1"/>
        <rFont val="宋体"/>
        <family val="3"/>
        <charset val="134"/>
      </rPr>
      <t>北京衣恋阳光商贸有限公司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</si>
  <si>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A18-A19</t>
    </r>
  </si>
  <si>
    <r>
      <rPr>
        <b/>
        <sz val="9"/>
        <color theme="1"/>
        <rFont val="宋体"/>
        <family val="3"/>
        <charset val="134"/>
      </rPr>
      <t>北京马蹄莲洗衣服务有限公司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</si>
  <si>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B03</t>
    </r>
  </si>
  <si>
    <r>
      <rPr>
        <b/>
        <sz val="9"/>
        <color theme="1"/>
        <rFont val="宋体"/>
        <family val="3"/>
        <charset val="134"/>
      </rPr>
      <t>北京扩明伟业商贸有限公司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</si>
  <si>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B04</t>
    </r>
  </si>
  <si>
    <r>
      <rPr>
        <b/>
        <sz val="9"/>
        <color theme="1"/>
        <rFont val="宋体"/>
        <family val="3"/>
        <charset val="134"/>
      </rPr>
      <t>北京艾美易美发有限公司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</si>
  <si>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B26</t>
    </r>
  </si>
  <si>
    <r>
      <rPr>
        <b/>
        <sz val="9"/>
        <color theme="1"/>
        <rFont val="宋体"/>
        <family val="3"/>
        <charset val="134"/>
      </rPr>
      <t>北京鲜品萃餐饮管理有限公司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</si>
  <si>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D02</t>
    </r>
  </si>
  <si>
    <r>
      <rPr>
        <b/>
        <sz val="9"/>
        <color theme="1"/>
        <rFont val="宋体"/>
        <family val="3"/>
        <charset val="134"/>
      </rPr>
      <t>北京壹美炫动贸易有限公司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</si>
  <si>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地下一层名创优品前区域</t>
    </r>
    <phoneticPr fontId="12" type="noConversion"/>
  </si>
  <si>
    <r>
      <rPr>
        <b/>
        <sz val="9"/>
        <color theme="1"/>
        <rFont val="宋体"/>
        <family val="3"/>
        <charset val="134"/>
      </rPr>
      <t>绫致时装（天津）有限公司</t>
    </r>
    <phoneticPr fontId="2" type="noConversion"/>
  </si>
  <si>
    <r>
      <rPr>
        <b/>
        <sz val="9"/>
        <color theme="1"/>
        <rFont val="宋体"/>
        <family val="3"/>
        <charset val="134"/>
      </rPr>
      <t>北京蒙发利贸易有限公司</t>
    </r>
    <phoneticPr fontId="12" type="noConversion"/>
  </si>
  <si>
    <t>所在楼层</t>
    <phoneticPr fontId="10" type="noConversion"/>
  </si>
  <si>
    <t>2017-2016增长率</t>
    <rPh sb="9" eb="10">
      <t>zeng'zhang'lv</t>
    </rPh>
    <phoneticPr fontId="10" type="noConversion"/>
  </si>
  <si>
    <t>2016-2015增长率</t>
    <rPh sb="9" eb="10">
      <t>zeng'zhang'lv</t>
    </rPh>
    <phoneticPr fontId="10" type="noConversion"/>
  </si>
  <si>
    <t>租赁面积</t>
    <phoneticPr fontId="10" type="noConversion"/>
  </si>
  <si>
    <t>月收入</t>
    <phoneticPr fontId="10" type="noConversion"/>
  </si>
  <si>
    <t>租金单价</t>
    <phoneticPr fontId="10" type="noConversion"/>
  </si>
  <si>
    <t>租赁面积</t>
    <phoneticPr fontId="10" type="noConversion"/>
  </si>
  <si>
    <t>1层</t>
    <phoneticPr fontId="10" type="noConversion"/>
  </si>
  <si>
    <t>2层</t>
    <phoneticPr fontId="10" type="noConversion"/>
  </si>
  <si>
    <t>3层</t>
    <phoneticPr fontId="10" type="noConversion"/>
  </si>
  <si>
    <t>4层</t>
    <phoneticPr fontId="10" type="noConversion"/>
  </si>
  <si>
    <t>5层</t>
    <phoneticPr fontId="10" type="noConversion"/>
  </si>
  <si>
    <t>6层</t>
    <phoneticPr fontId="10" type="noConversion"/>
  </si>
  <si>
    <t>7层</t>
    <phoneticPr fontId="10" type="noConversion"/>
  </si>
  <si>
    <t>8层</t>
    <phoneticPr fontId="10" type="noConversion"/>
  </si>
  <si>
    <t>9层</t>
    <phoneticPr fontId="10" type="noConversion"/>
  </si>
  <si>
    <t>10层</t>
    <phoneticPr fontId="10" type="noConversion"/>
  </si>
  <si>
    <t>11层</t>
    <phoneticPr fontId="10" type="noConversion"/>
  </si>
  <si>
    <t>地下一层</t>
    <phoneticPr fontId="10" type="noConversion"/>
  </si>
  <si>
    <t>地下二层</t>
    <phoneticPr fontId="10" type="noConversion"/>
  </si>
  <si>
    <t>地下三层</t>
    <phoneticPr fontId="10" type="noConversion"/>
  </si>
  <si>
    <t>1层剔除影院</t>
    <rPh sb="1" eb="2">
      <t>ceng</t>
    </rPh>
    <rPh sb="2" eb="3">
      <t>ti'chu</t>
    </rPh>
    <rPh sb="4" eb="5">
      <t>ying'yuan</t>
    </rPh>
    <phoneticPr fontId="10" type="noConversion"/>
  </si>
  <si>
    <t>影院租赁面积</t>
    <rPh sb="0" eb="1">
      <t>ying'yuan</t>
    </rPh>
    <rPh sb="2" eb="3">
      <t>zu'lin'mian'ji</t>
    </rPh>
    <phoneticPr fontId="10" type="noConversion"/>
  </si>
  <si>
    <t>影院月租金</t>
    <rPh sb="0" eb="1">
      <t>ying'yuan</t>
    </rPh>
    <rPh sb="2" eb="3">
      <t>yue</t>
    </rPh>
    <rPh sb="3" eb="4">
      <t>zu'jin</t>
    </rPh>
    <phoneticPr fontId="10" type="noConversion"/>
  </si>
  <si>
    <t>市场客观</t>
    <phoneticPr fontId="2" type="noConversion"/>
  </si>
  <si>
    <t>空置率</t>
    <phoneticPr fontId="2" type="noConversion"/>
  </si>
  <si>
    <t>租赁面积</t>
    <phoneticPr fontId="2" type="noConversion"/>
  </si>
  <si>
    <t>可出租</t>
    <phoneticPr fontId="2" type="noConversion"/>
  </si>
  <si>
    <t>出租率</t>
    <phoneticPr fontId="2" type="noConversion"/>
  </si>
  <si>
    <t>三层302内322号</t>
    <phoneticPr fontId="12" type="noConversion"/>
  </si>
  <si>
    <t>北京绘本原创教育科技有限公司</t>
    <phoneticPr fontId="12" type="noConversion"/>
  </si>
  <si>
    <t>北京丽家丽婴婴童用品有限公司</t>
    <phoneticPr fontId="12" type="noConversion"/>
  </si>
  <si>
    <t>杭州兰芳园餐饮管理有限公司</t>
    <phoneticPr fontId="12" type="noConversion"/>
  </si>
  <si>
    <t>北京吉诺珠宝首饰有限公司</t>
    <phoneticPr fontId="12" type="noConversion"/>
  </si>
  <si>
    <t>2017.11.23-2018.11.22</t>
    <phoneticPr fontId="2" type="noConversion"/>
  </si>
  <si>
    <t>1</t>
    <phoneticPr fontId="2" type="noConversion"/>
  </si>
  <si>
    <t>北京缔潮贸易有限公司</t>
    <phoneticPr fontId="12" type="noConversion"/>
  </si>
  <si>
    <t>2017.12.12 - 2019.12.11</t>
    <phoneticPr fontId="2" type="noConversion"/>
  </si>
  <si>
    <t>2</t>
    <phoneticPr fontId="2" type="noConversion"/>
  </si>
  <si>
    <t>智童启德（北京）教育科技有限公司</t>
    <phoneticPr fontId="12" type="noConversion"/>
  </si>
  <si>
    <t>2017.10.01-2018.09.30</t>
  </si>
  <si>
    <t>4</t>
    <phoneticPr fontId="2" type="noConversion"/>
  </si>
  <si>
    <t>2017.11.21-2018.11.20</t>
    <phoneticPr fontId="2" type="noConversion"/>
  </si>
  <si>
    <t>3</t>
    <phoneticPr fontId="2" type="noConversion"/>
  </si>
  <si>
    <t>商铺名称</t>
    <phoneticPr fontId="2" type="noConversion"/>
  </si>
  <si>
    <t>第1年</t>
    <phoneticPr fontId="2" type="noConversion"/>
  </si>
  <si>
    <t>第2年</t>
    <phoneticPr fontId="2" type="noConversion"/>
  </si>
  <si>
    <t>第3年</t>
  </si>
  <si>
    <t>第4年</t>
  </si>
  <si>
    <t>第5年</t>
  </si>
  <si>
    <t>第6年</t>
  </si>
  <si>
    <t>第7年</t>
  </si>
  <si>
    <t>第8年</t>
  </si>
  <si>
    <t>第9年</t>
  </si>
  <si>
    <t>第10年</t>
  </si>
  <si>
    <t>第11年</t>
  </si>
  <si>
    <t>第12年</t>
  </si>
  <si>
    <t>第13年</t>
  </si>
  <si>
    <t>第14年</t>
  </si>
  <si>
    <t>第15年</t>
  </si>
  <si>
    <t>第16年</t>
  </si>
  <si>
    <t>第17年</t>
  </si>
  <si>
    <t>第18年</t>
  </si>
  <si>
    <t>第19年</t>
  </si>
  <si>
    <t>第20年</t>
  </si>
  <si>
    <t>第21年</t>
  </si>
  <si>
    <t>备注</t>
    <phoneticPr fontId="10" type="noConversion"/>
  </si>
  <si>
    <t>税率</t>
    <phoneticPr fontId="10" type="noConversion"/>
  </si>
  <si>
    <t>合计</t>
    <phoneticPr fontId="2" type="noConversion"/>
  </si>
  <si>
    <t>（一）、经营活动现金流入</t>
    <phoneticPr fontId="10" type="noConversion"/>
  </si>
  <si>
    <t>1、固定租金收入</t>
    <phoneticPr fontId="10" type="noConversion"/>
  </si>
  <si>
    <t>2、补缴提成收入</t>
    <phoneticPr fontId="10" type="noConversion"/>
  </si>
  <si>
    <t>3、押金收入</t>
    <phoneticPr fontId="10" type="noConversion"/>
  </si>
  <si>
    <t>（二）、经营活动现金流出</t>
    <phoneticPr fontId="10" type="noConversion"/>
  </si>
  <si>
    <t>1、房产税</t>
    <phoneticPr fontId="10" type="noConversion"/>
  </si>
  <si>
    <t>2、增值税</t>
    <phoneticPr fontId="10" type="noConversion"/>
  </si>
  <si>
    <t>3、销售费等</t>
    <phoneticPr fontId="10" type="noConversion"/>
  </si>
  <si>
    <t>（三）、房地产纯收益</t>
    <phoneticPr fontId="10" type="noConversion"/>
  </si>
  <si>
    <t>年度净收益</t>
    <phoneticPr fontId="10" type="noConversion"/>
  </si>
  <si>
    <t>不可分摊</t>
  </si>
  <si>
    <t>-2、-3层车库</t>
  </si>
  <si>
    <t>-1层自行车库</t>
  </si>
  <si>
    <t>-1层商业</t>
  </si>
  <si>
    <t>1层商业</t>
  </si>
  <si>
    <t>2层商业</t>
  </si>
  <si>
    <t>3层商业</t>
  </si>
  <si>
    <t>4层商业</t>
  </si>
  <si>
    <t>5层商业</t>
  </si>
  <si>
    <t>6层商业</t>
  </si>
  <si>
    <t>7层商业</t>
  </si>
  <si>
    <t>8层商业</t>
  </si>
  <si>
    <t>9层商业</t>
  </si>
  <si>
    <t>10层商业</t>
  </si>
  <si>
    <t>11层商业</t>
  </si>
  <si>
    <t>增长率</t>
    <phoneticPr fontId="2" type="noConversion"/>
  </si>
  <si>
    <t>广告牌</t>
    <phoneticPr fontId="2" type="noConversion"/>
  </si>
  <si>
    <t>（三）、房地产纯收益</t>
    <phoneticPr fontId="10" type="noConversion"/>
  </si>
  <si>
    <t>年度净收益</t>
    <phoneticPr fontId="10" type="noConversion"/>
  </si>
  <si>
    <t>出租率分析</t>
    <phoneticPr fontId="2" type="noConversion"/>
  </si>
  <si>
    <t>抽成分析</t>
    <phoneticPr fontId="2" type="noConversion"/>
  </si>
  <si>
    <t>年总抽成</t>
    <phoneticPr fontId="2" type="noConversion"/>
  </si>
  <si>
    <t>平均</t>
    <phoneticPr fontId="2" type="noConversion"/>
  </si>
  <si>
    <t>面积</t>
    <phoneticPr fontId="2" type="noConversion"/>
  </si>
  <si>
    <t>分摊抽成</t>
    <phoneticPr fontId="2" type="noConversion"/>
  </si>
  <si>
    <t>-1层商业</t>
    <phoneticPr fontId="2" type="noConversion"/>
  </si>
  <si>
    <t>地上商业</t>
    <phoneticPr fontId="2" type="noConversion"/>
  </si>
  <si>
    <t>合计</t>
    <phoneticPr fontId="2" type="noConversion"/>
  </si>
  <si>
    <t>项目         年份</t>
    <phoneticPr fontId="10" type="noConversion"/>
  </si>
  <si>
    <t>税率</t>
    <phoneticPr fontId="10" type="noConversion"/>
  </si>
  <si>
    <t>（一）、经营活动现金流入</t>
    <phoneticPr fontId="10" type="noConversion"/>
  </si>
  <si>
    <t>（二）、经营活动现金流出</t>
    <phoneticPr fontId="10" type="noConversion"/>
  </si>
  <si>
    <t>还原利率（Y）</t>
    <phoneticPr fontId="10" type="noConversion"/>
  </si>
  <si>
    <t>收益年限（n）</t>
    <phoneticPr fontId="10" type="noConversion"/>
  </si>
  <si>
    <t>折现值</t>
    <phoneticPr fontId="10" type="noConversion"/>
  </si>
  <si>
    <t>年收入</t>
    <phoneticPr fontId="2" type="noConversion"/>
  </si>
  <si>
    <t>富力广场现金流</t>
    <phoneticPr fontId="2" type="noConversion"/>
  </si>
  <si>
    <t>年租金</t>
    <phoneticPr fontId="2" type="noConversion"/>
  </si>
  <si>
    <t>5、6层</t>
    <phoneticPr fontId="2" type="noConversion"/>
  </si>
  <si>
    <t>3层</t>
    <phoneticPr fontId="2" type="noConversion"/>
  </si>
  <si>
    <t>单价</t>
    <phoneticPr fontId="2" type="noConversion"/>
  </si>
  <si>
    <t>合同</t>
    <phoneticPr fontId="2" type="noConversion"/>
  </si>
  <si>
    <t>年总收入（实收）</t>
    <phoneticPr fontId="2" type="noConversion"/>
  </si>
  <si>
    <t>销售费用</t>
    <phoneticPr fontId="2" type="noConversion"/>
  </si>
  <si>
    <t>涨幅</t>
    <phoneticPr fontId="2" type="noConversion"/>
  </si>
  <si>
    <t>分摊</t>
    <phoneticPr fontId="2" type="noConversion"/>
  </si>
  <si>
    <t>占比</t>
    <phoneticPr fontId="2" type="noConversion"/>
  </si>
  <si>
    <t>2015年</t>
    <phoneticPr fontId="2" type="noConversion"/>
  </si>
  <si>
    <t>1月</t>
    <phoneticPr fontId="2" type="noConversion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</si>
  <si>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</si>
  <si>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</si>
  <si>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</si>
  <si>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</si>
  <si>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</si>
  <si>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</si>
  <si>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</si>
  <si>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</si>
  <si>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</si>
  <si>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</si>
  <si>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</si>
  <si>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2" type="noConversion"/>
  </si>
  <si>
    <t>2017年</t>
    <phoneticPr fontId="2" type="noConversion"/>
  </si>
  <si>
    <t>2015-2017各年平均租赁面积</t>
    <phoneticPr fontId="2" type="noConversion"/>
  </si>
  <si>
    <t>租金及销售费用分析</t>
    <phoneticPr fontId="2" type="noConversion"/>
  </si>
  <si>
    <t>地下一层已租未更新</t>
    <phoneticPr fontId="2" type="noConversion"/>
  </si>
  <si>
    <t>地上商业已租未更新</t>
    <phoneticPr fontId="2" type="noConversion"/>
  </si>
  <si>
    <t>平均</t>
    <phoneticPr fontId="2" type="noConversion"/>
  </si>
  <si>
    <t>(个/月)</t>
    <phoneticPr fontId="2" type="noConversion"/>
  </si>
  <si>
    <t>个数</t>
    <phoneticPr fontId="2" type="noConversion"/>
  </si>
  <si>
    <t>1-3层</t>
    <phoneticPr fontId="2" type="noConversion"/>
  </si>
  <si>
    <t>4-5层</t>
    <phoneticPr fontId="2" type="noConversion"/>
  </si>
  <si>
    <t>6-11层</t>
    <phoneticPr fontId="2" type="noConversion"/>
  </si>
  <si>
    <t>企业提供</t>
    <phoneticPr fontId="2" type="noConversion"/>
  </si>
  <si>
    <t>6年后综合增长率</t>
    <phoneticPr fontId="2" type="noConversion"/>
  </si>
  <si>
    <t>单价*365/4</t>
    <phoneticPr fontId="2" type="noConversion"/>
  </si>
  <si>
    <t>租约最后一年</t>
    <phoneticPr fontId="2" type="noConversion"/>
  </si>
  <si>
    <t>第1年</t>
    <phoneticPr fontId="2" type="noConversion"/>
  </si>
  <si>
    <t>单价*（1+增长率）*365/4*出租率</t>
    <phoneticPr fontId="2" type="noConversion"/>
  </si>
  <si>
    <t>单价*（1+增长率）^2*365/4*出租率</t>
    <phoneticPr fontId="2" type="noConversion"/>
  </si>
  <si>
    <t>第3年</t>
    <phoneticPr fontId="2" type="noConversion"/>
  </si>
  <si>
    <t>前*（1+增）*出租</t>
    <phoneticPr fontId="2" type="noConversion"/>
  </si>
  <si>
    <t>前*（1+增）</t>
    <phoneticPr fontId="2" type="noConversion"/>
  </si>
  <si>
    <t>前*（1+增）</t>
    <phoneticPr fontId="2" type="noConversion"/>
  </si>
  <si>
    <t>第4年</t>
    <phoneticPr fontId="2" type="noConversion"/>
  </si>
  <si>
    <t>单价*（1+增长率）^3*365/4*出租率</t>
    <phoneticPr fontId="2" type="noConversion"/>
  </si>
  <si>
    <t>单价*（1+增长率）^4*365/4*出租率</t>
    <phoneticPr fontId="2" type="noConversion"/>
  </si>
  <si>
    <t>上海好孩子儿童服饰有限公司北京第三分公司</t>
    <phoneticPr fontId="2" type="noConversion"/>
  </si>
  <si>
    <r>
      <rPr>
        <b/>
        <sz val="9"/>
        <rFont val="宋体"/>
        <family val="3"/>
        <charset val="134"/>
      </rPr>
      <t>项目</t>
    </r>
    <r>
      <rPr>
        <b/>
        <sz val="9"/>
        <rFont val="Anial"/>
        <family val="2"/>
      </rPr>
      <t xml:space="preserve">         </t>
    </r>
    <r>
      <rPr>
        <b/>
        <sz val="9"/>
        <rFont val="宋体"/>
        <family val="3"/>
        <charset val="134"/>
      </rPr>
      <t>年份</t>
    </r>
    <phoneticPr fontId="10" type="noConversion"/>
  </si>
  <si>
    <r>
      <rPr>
        <b/>
        <sz val="9"/>
        <rFont val="宋体"/>
        <family val="3"/>
        <charset val="134"/>
      </rPr>
      <t>备注</t>
    </r>
    <phoneticPr fontId="10" type="noConversion"/>
  </si>
  <si>
    <r>
      <rPr>
        <b/>
        <sz val="9"/>
        <rFont val="宋体"/>
        <family val="3"/>
        <charset val="134"/>
      </rPr>
      <t>税率</t>
    </r>
    <phoneticPr fontId="10" type="noConversion"/>
  </si>
  <si>
    <r>
      <rPr>
        <b/>
        <sz val="9"/>
        <rFont val="宋体"/>
        <family val="3"/>
        <charset val="134"/>
      </rPr>
      <t>（一）、经营活动现金流入</t>
    </r>
    <phoneticPr fontId="10" type="noConversion"/>
  </si>
  <si>
    <r>
      <t>1</t>
    </r>
    <r>
      <rPr>
        <b/>
        <sz val="9"/>
        <rFont val="宋体"/>
        <family val="3"/>
        <charset val="134"/>
      </rPr>
      <t>、固定租金收入</t>
    </r>
    <phoneticPr fontId="10" type="noConversion"/>
  </si>
  <si>
    <r>
      <t>2</t>
    </r>
    <r>
      <rPr>
        <b/>
        <sz val="9"/>
        <rFont val="宋体"/>
        <family val="3"/>
        <charset val="134"/>
      </rPr>
      <t>、补缴提成收入</t>
    </r>
    <phoneticPr fontId="10" type="noConversion"/>
  </si>
  <si>
    <r>
      <rPr>
        <b/>
        <sz val="9"/>
        <rFont val="宋体"/>
        <family val="3"/>
        <charset val="134"/>
      </rPr>
      <t>（二）、经营活动现金流出</t>
    </r>
    <phoneticPr fontId="10" type="noConversion"/>
  </si>
  <si>
    <r>
      <t>3</t>
    </r>
    <r>
      <rPr>
        <b/>
        <sz val="9"/>
        <rFont val="宋体"/>
        <family val="3"/>
        <charset val="134"/>
      </rPr>
      <t>、销售费等</t>
    </r>
    <phoneticPr fontId="10" type="noConversion"/>
  </si>
  <si>
    <r>
      <rPr>
        <b/>
        <sz val="9"/>
        <rFont val="宋体"/>
        <family val="3"/>
        <charset val="134"/>
      </rPr>
      <t>（三）、房地产纯收益</t>
    </r>
    <phoneticPr fontId="10" type="noConversion"/>
  </si>
  <si>
    <r>
      <rPr>
        <b/>
        <sz val="9"/>
        <rFont val="宋体"/>
        <family val="3"/>
        <charset val="134"/>
      </rPr>
      <t>年度净收益</t>
    </r>
    <phoneticPr fontId="10" type="noConversion"/>
  </si>
  <si>
    <r>
      <t>3</t>
    </r>
    <r>
      <rPr>
        <b/>
        <sz val="9"/>
        <rFont val="宋体"/>
        <family val="3"/>
        <charset val="134"/>
      </rPr>
      <t>、押金收入</t>
    </r>
    <phoneticPr fontId="10" type="noConversion"/>
  </si>
  <si>
    <t>检验</t>
    <phoneticPr fontId="2" type="noConversion"/>
  </si>
  <si>
    <t>序号</t>
  </si>
  <si>
    <t>抵押物名称</t>
  </si>
  <si>
    <t>分摊土地面积</t>
  </si>
  <si>
    <t>建筑面积</t>
  </si>
  <si>
    <t>地下车库</t>
  </si>
  <si>
    <t>地上商业</t>
  </si>
  <si>
    <t>地下商业</t>
    <phoneticPr fontId="2" type="noConversion"/>
  </si>
  <si>
    <t>4、土地使用税</t>
    <phoneticPr fontId="2" type="noConversion"/>
  </si>
  <si>
    <r>
      <t>4</t>
    </r>
    <r>
      <rPr>
        <b/>
        <sz val="8"/>
        <rFont val="宋体"/>
        <family val="3"/>
        <charset val="134"/>
      </rPr>
      <t>、土地使用税</t>
    </r>
    <phoneticPr fontId="2" type="noConversion"/>
  </si>
  <si>
    <r>
      <t>4</t>
    </r>
    <r>
      <rPr>
        <b/>
        <sz val="9"/>
        <rFont val="宋体"/>
        <family val="3"/>
        <charset val="134"/>
      </rPr>
      <t>、土地使用税</t>
    </r>
    <phoneticPr fontId="2" type="noConversion"/>
  </si>
  <si>
    <t>2017.9.1-2018.08.31</t>
    <phoneticPr fontId="10" type="noConversion"/>
  </si>
  <si>
    <t>2017.9.11-2018.9.10</t>
    <phoneticPr fontId="2" type="noConversion"/>
  </si>
  <si>
    <t>2017.5.1-2018.4.30</t>
    <phoneticPr fontId="2" type="noConversion"/>
  </si>
  <si>
    <t>2019年第三季度</t>
    <phoneticPr fontId="2" type="noConversion"/>
  </si>
  <si>
    <t>2018年第二季度</t>
    <phoneticPr fontId="2" type="noConversion"/>
  </si>
  <si>
    <t>2018年第三季度</t>
    <phoneticPr fontId="2" type="noConversion"/>
  </si>
  <si>
    <t>2018年第四季度</t>
    <phoneticPr fontId="2" type="noConversion"/>
  </si>
  <si>
    <t>2019年第一季度</t>
    <phoneticPr fontId="2" type="noConversion"/>
  </si>
  <si>
    <t>2038年第二季度</t>
    <phoneticPr fontId="2" type="noConversion"/>
  </si>
  <si>
    <t>2038年第三季度</t>
    <phoneticPr fontId="2" type="noConversion"/>
  </si>
  <si>
    <t>2038年第四季度</t>
    <phoneticPr fontId="2" type="noConversion"/>
  </si>
  <si>
    <t>2039年第一季度</t>
    <phoneticPr fontId="2" type="noConversion"/>
  </si>
  <si>
    <t>2019年第二季度</t>
    <phoneticPr fontId="2" type="noConversion"/>
  </si>
  <si>
    <t>2019年第四季度</t>
    <phoneticPr fontId="2" type="noConversion"/>
  </si>
  <si>
    <t>2020年第一季度</t>
    <phoneticPr fontId="2" type="noConversion"/>
  </si>
  <si>
    <t>2020年第二季度</t>
    <phoneticPr fontId="2" type="noConversion"/>
  </si>
  <si>
    <t>2020年第三季度</t>
    <phoneticPr fontId="2" type="noConversion"/>
  </si>
  <si>
    <t>2020年第四季度</t>
    <phoneticPr fontId="2" type="noConversion"/>
  </si>
  <si>
    <t>2021年第一季度</t>
    <phoneticPr fontId="2" type="noConversion"/>
  </si>
  <si>
    <t>2022年第三季度</t>
    <phoneticPr fontId="2" type="noConversion"/>
  </si>
  <si>
    <t>2021年第二季度</t>
    <phoneticPr fontId="2" type="noConversion"/>
  </si>
  <si>
    <t>2021年第三季度</t>
    <phoneticPr fontId="2" type="noConversion"/>
  </si>
  <si>
    <t>2021年第四季度</t>
    <phoneticPr fontId="2" type="noConversion"/>
  </si>
  <si>
    <t>2022年第一季度</t>
    <phoneticPr fontId="2" type="noConversion"/>
  </si>
  <si>
    <t>2022年第二季度</t>
    <phoneticPr fontId="2" type="noConversion"/>
  </si>
  <si>
    <t>2022年第四季度</t>
    <phoneticPr fontId="2" type="noConversion"/>
  </si>
  <si>
    <t>2023年第一季度</t>
    <phoneticPr fontId="2" type="noConversion"/>
  </si>
  <si>
    <t>2023年第二季度</t>
    <phoneticPr fontId="2" type="noConversion"/>
  </si>
  <si>
    <t>2023年第三季度</t>
    <phoneticPr fontId="2" type="noConversion"/>
  </si>
  <si>
    <t>2023年第四季度</t>
    <phoneticPr fontId="2" type="noConversion"/>
  </si>
  <si>
    <t>2024年第一季度</t>
    <phoneticPr fontId="2" type="noConversion"/>
  </si>
  <si>
    <t>2024年第二季度</t>
    <phoneticPr fontId="2" type="noConversion"/>
  </si>
  <si>
    <t>2024年第三季度</t>
    <phoneticPr fontId="2" type="noConversion"/>
  </si>
  <si>
    <t>2024年第四季度</t>
    <phoneticPr fontId="2" type="noConversion"/>
  </si>
  <si>
    <t>2025年第一季度</t>
    <phoneticPr fontId="2" type="noConversion"/>
  </si>
  <si>
    <t>2025年第二季度</t>
    <phoneticPr fontId="2" type="noConversion"/>
  </si>
  <si>
    <t>2025年第三季度</t>
    <phoneticPr fontId="2" type="noConversion"/>
  </si>
  <si>
    <t>2025年第四季度</t>
    <phoneticPr fontId="2" type="noConversion"/>
  </si>
  <si>
    <t>2026年第一季度</t>
    <phoneticPr fontId="2" type="noConversion"/>
  </si>
  <si>
    <t>2026年第二季度</t>
    <phoneticPr fontId="2" type="noConversion"/>
  </si>
  <si>
    <t>2026年第三季度</t>
    <phoneticPr fontId="2" type="noConversion"/>
  </si>
  <si>
    <t>2026年第四季度</t>
    <phoneticPr fontId="2" type="noConversion"/>
  </si>
  <si>
    <t>2027年第一季度</t>
    <phoneticPr fontId="2" type="noConversion"/>
  </si>
  <si>
    <t>2027年第二季度</t>
    <phoneticPr fontId="2" type="noConversion"/>
  </si>
  <si>
    <t>2027年第三季度</t>
    <phoneticPr fontId="2" type="noConversion"/>
  </si>
  <si>
    <t>2027年第四季度</t>
    <phoneticPr fontId="2" type="noConversion"/>
  </si>
  <si>
    <t>2028年第一季度</t>
    <phoneticPr fontId="2" type="noConversion"/>
  </si>
  <si>
    <t>2028年第二季度</t>
    <phoneticPr fontId="2" type="noConversion"/>
  </si>
  <si>
    <t>2028年第三季度</t>
    <phoneticPr fontId="2" type="noConversion"/>
  </si>
  <si>
    <t>2028年第四季度</t>
    <phoneticPr fontId="2" type="noConversion"/>
  </si>
  <si>
    <t>2029年第一季度</t>
    <phoneticPr fontId="2" type="noConversion"/>
  </si>
  <si>
    <t>2029年第二季度</t>
    <phoneticPr fontId="2" type="noConversion"/>
  </si>
  <si>
    <t>2029年第三季度</t>
    <phoneticPr fontId="2" type="noConversion"/>
  </si>
  <si>
    <t>2029年第四季度</t>
    <phoneticPr fontId="2" type="noConversion"/>
  </si>
  <si>
    <t>2030年第一季度</t>
    <phoneticPr fontId="2" type="noConversion"/>
  </si>
  <si>
    <t>2030年第二季度</t>
    <phoneticPr fontId="2" type="noConversion"/>
  </si>
  <si>
    <t>2030年第三季度</t>
    <phoneticPr fontId="2" type="noConversion"/>
  </si>
  <si>
    <t>2030年第四季度</t>
    <phoneticPr fontId="2" type="noConversion"/>
  </si>
  <si>
    <t>2031年第一季度</t>
    <phoneticPr fontId="2" type="noConversion"/>
  </si>
  <si>
    <t>2031年第二季度</t>
    <phoneticPr fontId="2" type="noConversion"/>
  </si>
  <si>
    <t>2031年第三季度</t>
    <phoneticPr fontId="2" type="noConversion"/>
  </si>
  <si>
    <t>2031年第四季度</t>
    <phoneticPr fontId="2" type="noConversion"/>
  </si>
  <si>
    <t>2032年第一季度</t>
    <phoneticPr fontId="2" type="noConversion"/>
  </si>
  <si>
    <t>2032年第二季度</t>
    <phoneticPr fontId="2" type="noConversion"/>
  </si>
  <si>
    <t>2032年第三季度</t>
    <phoneticPr fontId="2" type="noConversion"/>
  </si>
  <si>
    <t>2032年第四季度</t>
    <phoneticPr fontId="2" type="noConversion"/>
  </si>
  <si>
    <t>2033年第一季度</t>
    <phoneticPr fontId="2" type="noConversion"/>
  </si>
  <si>
    <t>2033年第二季度</t>
    <phoneticPr fontId="2" type="noConversion"/>
  </si>
  <si>
    <t>2033年第三季度</t>
    <phoneticPr fontId="2" type="noConversion"/>
  </si>
  <si>
    <t>2033年第四季度</t>
    <phoneticPr fontId="2" type="noConversion"/>
  </si>
  <si>
    <t>2034年第一季度</t>
    <phoneticPr fontId="2" type="noConversion"/>
  </si>
  <si>
    <t>2034年第二季度</t>
    <phoneticPr fontId="2" type="noConversion"/>
  </si>
  <si>
    <t>2034年第三季度</t>
    <phoneticPr fontId="2" type="noConversion"/>
  </si>
  <si>
    <t>2034年第四季度</t>
    <phoneticPr fontId="2" type="noConversion"/>
  </si>
  <si>
    <t>2035年第一季度</t>
    <phoneticPr fontId="2" type="noConversion"/>
  </si>
  <si>
    <t>2035年第二季度</t>
    <phoneticPr fontId="2" type="noConversion"/>
  </si>
  <si>
    <t>2035年第三季度</t>
    <phoneticPr fontId="2" type="noConversion"/>
  </si>
  <si>
    <t>2035年第四季度</t>
    <phoneticPr fontId="2" type="noConversion"/>
  </si>
  <si>
    <t>2036年第一季度</t>
    <phoneticPr fontId="2" type="noConversion"/>
  </si>
  <si>
    <t>2036年第二季度</t>
    <phoneticPr fontId="2" type="noConversion"/>
  </si>
  <si>
    <t>2036年第三季度</t>
    <phoneticPr fontId="2" type="noConversion"/>
  </si>
  <si>
    <t>2036年第四季度</t>
    <phoneticPr fontId="2" type="noConversion"/>
  </si>
  <si>
    <t>2037年第一季度</t>
    <phoneticPr fontId="2" type="noConversion"/>
  </si>
  <si>
    <t>2037年第二季度</t>
    <phoneticPr fontId="2" type="noConversion"/>
  </si>
  <si>
    <t>2037年第三季度</t>
    <phoneticPr fontId="2" type="noConversion"/>
  </si>
  <si>
    <t>2037年第四季度</t>
    <phoneticPr fontId="2" type="noConversion"/>
  </si>
  <si>
    <t>2038年第一季度</t>
    <phoneticPr fontId="2" type="noConversion"/>
  </si>
  <si>
    <t>富力广场东南侧外墙3-5层</t>
    <phoneticPr fontId="2" type="noConversion"/>
  </si>
  <si>
    <t>富力广场东侧楼体招牌位E02</t>
    <phoneticPr fontId="2" type="noConversion"/>
  </si>
  <si>
    <r>
      <t>1</t>
    </r>
    <r>
      <rPr>
        <b/>
        <sz val="9"/>
        <rFont val="宋体"/>
        <family val="3"/>
        <charset val="134"/>
      </rPr>
      <t>、房产税</t>
    </r>
    <phoneticPr fontId="10" type="noConversion"/>
  </si>
  <si>
    <r>
      <t>2</t>
    </r>
    <r>
      <rPr>
        <b/>
        <sz val="9"/>
        <rFont val="宋体"/>
        <family val="3"/>
        <charset val="134"/>
      </rPr>
      <t>、增值税</t>
    </r>
    <phoneticPr fontId="10" type="noConversion"/>
  </si>
  <si>
    <t>北京美车堂汽车有限公司</t>
    <phoneticPr fontId="2" type="noConversion"/>
  </si>
  <si>
    <t>北京永高星辰商贸中心</t>
    <phoneticPr fontId="2" type="noConversion"/>
  </si>
  <si>
    <r>
      <rPr>
        <sz val="11"/>
        <color theme="1"/>
        <rFont val="宋体"/>
        <family val="3"/>
        <charset val="134"/>
      </rPr>
      <t>时间</t>
    </r>
    <phoneticPr fontId="2" type="noConversion"/>
  </si>
  <si>
    <r>
      <t>CPI</t>
    </r>
    <r>
      <rPr>
        <sz val="11"/>
        <color theme="1"/>
        <rFont val="宋体"/>
        <family val="3"/>
        <charset val="134"/>
      </rPr>
      <t>同比增长率（</t>
    </r>
    <r>
      <rPr>
        <sz val="11"/>
        <color theme="1"/>
        <rFont val="Arial"/>
        <family val="2"/>
      </rPr>
      <t>%</t>
    </r>
    <r>
      <rPr>
        <sz val="11"/>
        <color theme="1"/>
        <rFont val="宋体"/>
        <family val="3"/>
        <charset val="134"/>
      </rPr>
      <t>）</t>
    </r>
    <phoneticPr fontId="2" type="noConversion"/>
  </si>
  <si>
    <t>地上商业</t>
    <phoneticPr fontId="2" type="noConversion"/>
  </si>
  <si>
    <t>地下商业</t>
    <phoneticPr fontId="2" type="noConversion"/>
  </si>
  <si>
    <t>地下仓储</t>
    <phoneticPr fontId="2" type="noConversion"/>
  </si>
  <si>
    <t>地下车库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</si>
</sst>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_);[Red]\(0.00\)"/>
    <numFmt numFmtId="177" formatCode="yyyy&quot;年&quot;m&quot;月&quot;;@"/>
    <numFmt numFmtId="178" formatCode="#,##0.00_ "/>
    <numFmt numFmtId="179" formatCode="_ * #,##0_ ;_ * \-#,##0_ ;_ * &quot;-&quot;??_ ;_ @_ "/>
    <numFmt numFmtId="180" formatCode="#,##0_);\(#,##0\)"/>
    <numFmt numFmtId="181" formatCode="0.0%"/>
    <numFmt numFmtId="182" formatCode="#,##0.00_);\(#,##0.00\)"/>
    <numFmt numFmtId="183" formatCode="0.0"/>
    <numFmt numFmtId="184" formatCode="0_);[Red]\(0\)"/>
  </numFmts>
  <fonts count="5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9"/>
      <color theme="1"/>
      <name val="华文新魏"/>
      <family val="3"/>
      <charset val="134"/>
    </font>
    <font>
      <sz val="9"/>
      <color theme="1"/>
      <name val="华文新魏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9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name val="Arial"/>
      <family val="2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b/>
      <sz val="9"/>
      <color indexed="81"/>
      <name val="Tahoma"/>
      <family val="2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9"/>
      <color theme="1"/>
      <name val="Anial"/>
    </font>
    <font>
      <b/>
      <sz val="10"/>
      <color theme="1"/>
      <name val="Anial"/>
      <family val="2"/>
    </font>
    <font>
      <b/>
      <sz val="9"/>
      <color theme="1"/>
      <name val="Anial"/>
      <family val="2"/>
    </font>
    <font>
      <sz val="9"/>
      <color theme="1"/>
      <name val="Anial"/>
      <family val="2"/>
    </font>
    <font>
      <sz val="10"/>
      <color theme="1"/>
      <name val="Anial"/>
      <family val="2"/>
    </font>
    <font>
      <sz val="8"/>
      <color theme="1"/>
      <name val="Anial"/>
      <family val="2"/>
    </font>
    <font>
      <sz val="11"/>
      <color theme="1"/>
      <name val="Anial"/>
      <family val="2"/>
    </font>
    <font>
      <b/>
      <sz val="8"/>
      <name val="Anial"/>
      <family val="2"/>
    </font>
    <font>
      <sz val="8"/>
      <name val="Anial"/>
      <family val="2"/>
    </font>
    <font>
      <b/>
      <sz val="8"/>
      <color theme="1"/>
      <name val="Anial"/>
      <family val="2"/>
    </font>
    <font>
      <b/>
      <sz val="11"/>
      <color rgb="FFFF0000"/>
      <name val="Anial"/>
      <family val="2"/>
    </font>
    <font>
      <b/>
      <sz val="10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color rgb="FFFF0000"/>
      <name val="Anial"/>
      <family val="2"/>
    </font>
    <font>
      <sz val="11"/>
      <name val="等线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name val="Anial"/>
      <family val="2"/>
    </font>
    <font>
      <b/>
      <sz val="9"/>
      <name val="Anial"/>
      <family val="2"/>
    </font>
    <font>
      <b/>
      <sz val="9"/>
      <name val="宋体"/>
      <family val="3"/>
      <charset val="134"/>
    </font>
    <font>
      <b/>
      <sz val="9"/>
      <color rgb="FFFF0000"/>
      <name val="Anial"/>
      <family val="2"/>
    </font>
    <font>
      <sz val="12"/>
      <color theme="1"/>
      <name val="宋体"/>
      <family val="3"/>
      <charset val="134"/>
    </font>
    <font>
      <sz val="11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</fills>
  <borders count="20">
    <border>
      <left/>
      <right/>
      <top/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717">
    <xf numFmtId="0" fontId="0" fillId="0" borderId="0" xfId="0">
      <alignment vertical="center"/>
    </xf>
    <xf numFmtId="0" fontId="11" fillId="2" borderId="0" xfId="0" applyFont="1" applyFill="1" applyAlignment="1">
      <alignment horizontal="left" vertical="center" shrinkToFit="1"/>
    </xf>
    <xf numFmtId="0" fontId="11" fillId="2" borderId="0" xfId="0" applyFont="1" applyFill="1" applyBorder="1" applyAlignment="1">
      <alignment horizontal="left" vertical="center" shrinkToFit="1"/>
    </xf>
    <xf numFmtId="49" fontId="20" fillId="0" borderId="3" xfId="0" applyNumberFormat="1" applyFont="1" applyBorder="1" applyAlignment="1">
      <alignment horizontal="left" vertical="center" wrapText="1"/>
    </xf>
    <xf numFmtId="49" fontId="21" fillId="0" borderId="3" xfId="0" applyNumberFormat="1" applyFont="1" applyBorder="1" applyAlignment="1">
      <alignment horizontal="left" vertical="center"/>
    </xf>
    <xf numFmtId="0" fontId="21" fillId="0" borderId="3" xfId="0" applyFont="1" applyBorder="1" applyAlignment="1">
      <alignment horizontal="left" vertical="center"/>
    </xf>
    <xf numFmtId="10" fontId="21" fillId="0" borderId="3" xfId="0" applyNumberFormat="1" applyFont="1" applyBorder="1" applyAlignment="1">
      <alignment horizontal="left" vertical="center"/>
    </xf>
    <xf numFmtId="180" fontId="22" fillId="0" borderId="3" xfId="0" applyNumberFormat="1" applyFont="1" applyFill="1" applyBorder="1" applyAlignment="1" applyProtection="1">
      <alignment horizontal="left" vertical="center" wrapText="1"/>
      <protection hidden="1"/>
    </xf>
    <xf numFmtId="180" fontId="23" fillId="0" borderId="3" xfId="0" applyNumberFormat="1" applyFont="1" applyFill="1" applyBorder="1" applyAlignment="1" applyProtection="1">
      <alignment horizontal="left" vertical="center" wrapText="1"/>
      <protection hidden="1"/>
    </xf>
    <xf numFmtId="180" fontId="22" fillId="0" borderId="3" xfId="0" applyNumberFormat="1" applyFont="1" applyBorder="1" applyAlignment="1" applyProtection="1">
      <alignment horizontal="left" vertical="center" wrapText="1"/>
      <protection hidden="1"/>
    </xf>
    <xf numFmtId="10" fontId="22" fillId="0" borderId="3" xfId="0" applyNumberFormat="1" applyFont="1" applyBorder="1" applyAlignment="1" applyProtection="1">
      <alignment horizontal="left" vertical="center" wrapText="1"/>
    </xf>
    <xf numFmtId="182" fontId="22" fillId="0" borderId="3" xfId="0" applyNumberFormat="1" applyFont="1" applyBorder="1" applyAlignment="1" applyProtection="1">
      <alignment horizontal="left" vertical="center" wrapText="1"/>
      <protection hidden="1"/>
    </xf>
    <xf numFmtId="0" fontId="29" fillId="2" borderId="3" xfId="0" applyFont="1" applyFill="1" applyBorder="1" applyAlignment="1">
      <alignment horizontal="left" vertical="center" wrapText="1" shrinkToFit="1"/>
    </xf>
    <xf numFmtId="180" fontId="34" fillId="0" borderId="3" xfId="0" applyNumberFormat="1" applyFont="1" applyFill="1" applyBorder="1" applyAlignment="1" applyProtection="1">
      <alignment horizontal="left" vertical="center" wrapText="1"/>
      <protection hidden="1"/>
    </xf>
    <xf numFmtId="180" fontId="35" fillId="0" borderId="3" xfId="0" applyNumberFormat="1" applyFont="1" applyFill="1" applyBorder="1" applyAlignment="1" applyProtection="1">
      <alignment horizontal="left" vertical="center" wrapText="1"/>
      <protection hidden="1"/>
    </xf>
    <xf numFmtId="180" fontId="34" fillId="0" borderId="3" xfId="0" applyNumberFormat="1" applyFont="1" applyBorder="1" applyAlignment="1" applyProtection="1">
      <alignment horizontal="left" vertical="center" wrapText="1"/>
      <protection hidden="1"/>
    </xf>
    <xf numFmtId="10" fontId="34" fillId="0" borderId="3" xfId="0" applyNumberFormat="1" applyFont="1" applyBorder="1" applyAlignment="1" applyProtection="1">
      <alignment horizontal="left" vertical="center" wrapText="1"/>
    </xf>
    <xf numFmtId="182" fontId="34" fillId="0" borderId="3" xfId="0" applyNumberFormat="1" applyFont="1" applyBorder="1" applyAlignment="1" applyProtection="1">
      <alignment horizontal="left" vertical="center" wrapText="1"/>
      <protection hidden="1"/>
    </xf>
    <xf numFmtId="0" fontId="33" fillId="2" borderId="0" xfId="0" applyFont="1" applyFill="1" applyBorder="1" applyAlignment="1">
      <alignment horizontal="left" vertical="center" shrinkToFit="1"/>
    </xf>
    <xf numFmtId="0" fontId="33" fillId="2" borderId="0" xfId="0" applyFont="1" applyFill="1" applyAlignment="1">
      <alignment horizontal="left" vertical="center" shrinkToFit="1"/>
    </xf>
    <xf numFmtId="0" fontId="29" fillId="0" borderId="3" xfId="0" applyFont="1" applyFill="1" applyBorder="1" applyAlignment="1">
      <alignment horizontal="left" vertical="center" wrapText="1" shrinkToFit="1"/>
    </xf>
    <xf numFmtId="49" fontId="38" fillId="0" borderId="3" xfId="0" applyNumberFormat="1" applyFont="1" applyBorder="1" applyAlignment="1">
      <alignment horizontal="left" vertical="center"/>
    </xf>
    <xf numFmtId="10" fontId="38" fillId="0" borderId="3" xfId="0" applyNumberFormat="1" applyFont="1" applyBorder="1" applyAlignment="1">
      <alignment horizontal="left" vertical="center"/>
    </xf>
    <xf numFmtId="0" fontId="38" fillId="0" borderId="3" xfId="0" applyFont="1" applyBorder="1" applyAlignment="1">
      <alignment horizontal="left" vertical="center"/>
    </xf>
    <xf numFmtId="0" fontId="39" fillId="0" borderId="3" xfId="0" applyFont="1" applyBorder="1" applyAlignment="1">
      <alignment horizontal="left" vertical="center" wrapText="1"/>
    </xf>
    <xf numFmtId="10" fontId="39" fillId="0" borderId="3" xfId="0" applyNumberFormat="1" applyFont="1" applyBorder="1" applyAlignment="1">
      <alignment horizontal="left" vertical="center" wrapText="1"/>
    </xf>
    <xf numFmtId="0" fontId="29" fillId="0" borderId="3" xfId="6" applyFont="1" applyFill="1" applyBorder="1" applyAlignment="1">
      <alignment horizontal="left" vertical="center"/>
    </xf>
    <xf numFmtId="0" fontId="29" fillId="0" borderId="18" xfId="6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 shrinkToFit="1"/>
    </xf>
    <xf numFmtId="0" fontId="30" fillId="2" borderId="0" xfId="0" applyFont="1" applyFill="1" applyAlignment="1">
      <alignment horizontal="left" vertical="center" shrinkToFit="1"/>
    </xf>
    <xf numFmtId="0" fontId="5" fillId="2" borderId="0" xfId="0" applyFont="1" applyFill="1" applyAlignment="1">
      <alignment horizontal="left" vertical="center"/>
    </xf>
    <xf numFmtId="176" fontId="5" fillId="2" borderId="3" xfId="1" applyNumberFormat="1" applyFont="1" applyFill="1" applyBorder="1" applyAlignment="1">
      <alignment horizontal="left" vertical="center"/>
    </xf>
    <xf numFmtId="43" fontId="5" fillId="0" borderId="3" xfId="1" applyFont="1" applyFill="1" applyBorder="1" applyAlignment="1">
      <alignment horizontal="left" vertical="center"/>
    </xf>
    <xf numFmtId="43" fontId="5" fillId="5" borderId="3" xfId="1" applyFont="1" applyFill="1" applyBorder="1" applyAlignment="1">
      <alignment horizontal="left" vertical="center"/>
    </xf>
    <xf numFmtId="43" fontId="5" fillId="2" borderId="3" xfId="1" applyFont="1" applyFill="1" applyBorder="1" applyAlignment="1">
      <alignment horizontal="left" vertical="center"/>
    </xf>
    <xf numFmtId="43" fontId="8" fillId="2" borderId="3" xfId="1" applyFont="1" applyFill="1" applyBorder="1" applyAlignment="1">
      <alignment horizontal="left" vertical="center"/>
    </xf>
    <xf numFmtId="43" fontId="5" fillId="0" borderId="8" xfId="1" applyFont="1" applyFill="1" applyBorder="1" applyAlignment="1">
      <alignment horizontal="left" vertical="center"/>
    </xf>
    <xf numFmtId="43" fontId="8" fillId="0" borderId="1" xfId="1" applyFont="1" applyFill="1" applyBorder="1" applyAlignment="1">
      <alignment horizontal="left" vertical="center"/>
    </xf>
    <xf numFmtId="43" fontId="9" fillId="0" borderId="8" xfId="1" applyFont="1" applyFill="1" applyBorder="1" applyAlignment="1">
      <alignment horizontal="left" vertical="center"/>
    </xf>
    <xf numFmtId="43" fontId="9" fillId="0" borderId="9" xfId="1" applyFont="1" applyFill="1" applyBorder="1" applyAlignment="1">
      <alignment horizontal="left" vertical="center"/>
    </xf>
    <xf numFmtId="43" fontId="9" fillId="0" borderId="0" xfId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43" fontId="8" fillId="0" borderId="9" xfId="1" applyFont="1" applyFill="1" applyBorder="1" applyAlignment="1">
      <alignment horizontal="left" vertical="center"/>
    </xf>
    <xf numFmtId="49" fontId="5" fillId="2" borderId="3" xfId="1" applyNumberFormat="1" applyFont="1" applyFill="1" applyBorder="1" applyAlignment="1">
      <alignment horizontal="left" vertical="center"/>
    </xf>
    <xf numFmtId="176" fontId="5" fillId="2" borderId="3" xfId="0" applyNumberFormat="1" applyFont="1" applyFill="1" applyBorder="1" applyAlignment="1">
      <alignment horizontal="left" vertical="center"/>
    </xf>
    <xf numFmtId="43" fontId="5" fillId="2" borderId="3" xfId="0" applyNumberFormat="1" applyFont="1" applyFill="1" applyBorder="1" applyAlignment="1">
      <alignment horizontal="left" vertical="center"/>
    </xf>
    <xf numFmtId="43" fontId="8" fillId="2" borderId="3" xfId="0" applyNumberFormat="1" applyFont="1" applyFill="1" applyBorder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49" fontId="5" fillId="2" borderId="0" xfId="1" applyNumberFormat="1" applyFont="1" applyFill="1" applyBorder="1" applyAlignment="1">
      <alignment horizontal="left" vertical="center"/>
    </xf>
    <xf numFmtId="176" fontId="5" fillId="2" borderId="0" xfId="1" applyNumberFormat="1" applyFont="1" applyFill="1" applyBorder="1" applyAlignment="1">
      <alignment horizontal="left" vertical="center"/>
    </xf>
    <xf numFmtId="176" fontId="5" fillId="2" borderId="0" xfId="0" applyNumberFormat="1" applyFont="1" applyFill="1" applyBorder="1" applyAlignment="1">
      <alignment horizontal="left" vertical="center"/>
    </xf>
    <xf numFmtId="43" fontId="5" fillId="2" borderId="0" xfId="0" applyNumberFormat="1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33" fillId="2" borderId="0" xfId="0" applyFont="1" applyFill="1" applyBorder="1" applyAlignment="1">
      <alignment horizontal="left" vertical="center"/>
    </xf>
    <xf numFmtId="0" fontId="35" fillId="0" borderId="3" xfId="0" applyFont="1" applyBorder="1" applyAlignment="1" applyProtection="1">
      <alignment horizontal="left"/>
      <protection hidden="1"/>
    </xf>
    <xf numFmtId="10" fontId="35" fillId="0" borderId="3" xfId="0" applyNumberFormat="1" applyFont="1" applyBorder="1" applyAlignment="1" applyProtection="1">
      <alignment horizontal="left"/>
    </xf>
    <xf numFmtId="0" fontId="30" fillId="2" borderId="3" xfId="0" applyFont="1" applyFill="1" applyBorder="1" applyAlignment="1">
      <alignment horizontal="left" vertical="center"/>
    </xf>
    <xf numFmtId="0" fontId="30" fillId="2" borderId="0" xfId="0" applyFont="1" applyFill="1" applyAlignment="1">
      <alignment horizontal="left" vertical="center"/>
    </xf>
    <xf numFmtId="0" fontId="31" fillId="2" borderId="0" xfId="0" applyFont="1" applyFill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14" fontId="33" fillId="2" borderId="0" xfId="0" applyNumberFormat="1" applyFont="1" applyFill="1" applyBorder="1" applyAlignment="1">
      <alignment horizontal="left" vertical="center"/>
    </xf>
    <xf numFmtId="14" fontId="34" fillId="0" borderId="3" xfId="0" applyNumberFormat="1" applyFont="1" applyBorder="1" applyAlignment="1" applyProtection="1">
      <alignment horizontal="left" vertical="center" wrapText="1"/>
      <protection hidden="1"/>
    </xf>
    <xf numFmtId="14" fontId="34" fillId="0" borderId="3" xfId="0" applyNumberFormat="1" applyFont="1" applyBorder="1" applyAlignment="1" applyProtection="1">
      <alignment horizontal="left" vertical="center" wrapText="1" shrinkToFit="1"/>
    </xf>
    <xf numFmtId="177" fontId="29" fillId="2" borderId="3" xfId="1" applyNumberFormat="1" applyFont="1" applyFill="1" applyBorder="1" applyAlignment="1">
      <alignment horizontal="left" vertical="center" wrapText="1"/>
    </xf>
    <xf numFmtId="14" fontId="30" fillId="2" borderId="0" xfId="0" applyNumberFormat="1" applyFont="1" applyFill="1" applyAlignment="1">
      <alignment horizontal="left" vertical="center"/>
    </xf>
    <xf numFmtId="14" fontId="31" fillId="2" borderId="0" xfId="0" applyNumberFormat="1" applyFont="1" applyFill="1" applyAlignment="1">
      <alignment horizontal="left" vertical="center"/>
    </xf>
    <xf numFmtId="14" fontId="33" fillId="2" borderId="0" xfId="0" applyNumberFormat="1" applyFont="1" applyFill="1" applyAlignment="1">
      <alignment horizontal="left" vertical="center"/>
    </xf>
    <xf numFmtId="0" fontId="33" fillId="0" borderId="0" xfId="0" applyFont="1" applyFill="1" applyBorder="1" applyAlignment="1">
      <alignment horizontal="left" vertical="center"/>
    </xf>
    <xf numFmtId="179" fontId="30" fillId="0" borderId="3" xfId="0" applyNumberFormat="1" applyFont="1" applyFill="1" applyBorder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0" fontId="31" fillId="0" borderId="0" xfId="0" applyFont="1" applyFill="1" applyAlignment="1">
      <alignment horizontal="left" vertical="center"/>
    </xf>
    <xf numFmtId="0" fontId="33" fillId="0" borderId="0" xfId="0" applyFont="1" applyFill="1" applyAlignment="1">
      <alignment horizontal="left" vertical="center"/>
    </xf>
    <xf numFmtId="10" fontId="35" fillId="0" borderId="3" xfId="0" applyNumberFormat="1" applyFont="1" applyFill="1" applyBorder="1" applyAlignment="1" applyProtection="1">
      <alignment horizontal="left" vertical="center" wrapText="1"/>
    </xf>
    <xf numFmtId="10" fontId="37" fillId="8" borderId="3" xfId="9" applyNumberFormat="1" applyFont="1" applyFill="1" applyBorder="1" applyAlignment="1" applyProtection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49" fontId="11" fillId="2" borderId="0" xfId="0" applyNumberFormat="1" applyFont="1" applyFill="1" applyBorder="1" applyAlignment="1">
      <alignment horizontal="left" vertical="center"/>
    </xf>
    <xf numFmtId="176" fontId="5" fillId="2" borderId="0" xfId="1" applyNumberFormat="1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/>
    </xf>
    <xf numFmtId="49" fontId="11" fillId="2" borderId="0" xfId="0" applyNumberFormat="1" applyFont="1" applyFill="1" applyAlignment="1">
      <alignment horizontal="left" vertical="center"/>
    </xf>
    <xf numFmtId="176" fontId="5" fillId="2" borderId="0" xfId="1" applyNumberFormat="1" applyFont="1" applyFill="1" applyAlignment="1">
      <alignment horizontal="left" vertical="center" wrapText="1"/>
    </xf>
    <xf numFmtId="49" fontId="5" fillId="2" borderId="0" xfId="1" applyNumberFormat="1" applyFont="1" applyFill="1" applyAlignment="1">
      <alignment horizontal="left" vertical="center"/>
    </xf>
    <xf numFmtId="176" fontId="5" fillId="2" borderId="0" xfId="1" applyNumberFormat="1" applyFont="1" applyFill="1" applyAlignment="1">
      <alignment horizontal="left" vertical="center"/>
    </xf>
    <xf numFmtId="176" fontId="5" fillId="2" borderId="0" xfId="0" applyNumberFormat="1" applyFont="1" applyFill="1" applyAlignment="1">
      <alignment horizontal="left" vertical="center"/>
    </xf>
    <xf numFmtId="181" fontId="38" fillId="0" borderId="3" xfId="0" applyNumberFormat="1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181" fontId="0" fillId="0" borderId="3" xfId="0" applyNumberFormat="1" applyBorder="1" applyAlignment="1">
      <alignment horizontal="left" vertical="center"/>
    </xf>
    <xf numFmtId="0" fontId="23" fillId="0" borderId="3" xfId="0" applyFont="1" applyBorder="1" applyAlignment="1" applyProtection="1">
      <alignment horizontal="left"/>
      <protection hidden="1"/>
    </xf>
    <xf numFmtId="10" fontId="23" fillId="0" borderId="3" xfId="0" applyNumberFormat="1" applyFont="1" applyBorder="1" applyAlignment="1" applyProtection="1">
      <alignment horizontal="left"/>
    </xf>
    <xf numFmtId="0" fontId="5" fillId="2" borderId="3" xfId="0" applyFont="1" applyFill="1" applyBorder="1" applyAlignment="1">
      <alignment horizontal="left" vertical="center"/>
    </xf>
    <xf numFmtId="14" fontId="22" fillId="0" borderId="3" xfId="0" applyNumberFormat="1" applyFont="1" applyBorder="1" applyAlignment="1" applyProtection="1">
      <alignment horizontal="left" vertical="center" wrapText="1"/>
      <protection hidden="1"/>
    </xf>
    <xf numFmtId="14" fontId="22" fillId="0" borderId="3" xfId="0" applyNumberFormat="1" applyFont="1" applyBorder="1" applyAlignment="1" applyProtection="1">
      <alignment horizontal="left" vertical="center" wrapText="1" shrinkToFit="1"/>
    </xf>
    <xf numFmtId="177" fontId="6" fillId="2" borderId="3" xfId="1" applyNumberFormat="1" applyFont="1" applyFill="1" applyBorder="1" applyAlignment="1">
      <alignment horizontal="left" vertical="center" wrapText="1"/>
    </xf>
    <xf numFmtId="179" fontId="5" fillId="0" borderId="3" xfId="0" applyNumberFormat="1" applyFont="1" applyFill="1" applyBorder="1" applyAlignment="1">
      <alignment horizontal="left" vertical="center"/>
    </xf>
    <xf numFmtId="10" fontId="23" fillId="0" borderId="3" xfId="0" applyNumberFormat="1" applyFont="1" applyFill="1" applyBorder="1" applyAlignment="1" applyProtection="1">
      <alignment horizontal="left" vertical="center" wrapText="1"/>
    </xf>
    <xf numFmtId="10" fontId="26" fillId="8" borderId="3" xfId="9" applyNumberFormat="1" applyFont="1" applyFill="1" applyBorder="1" applyAlignment="1" applyProtection="1">
      <alignment horizontal="left" vertical="center" wrapText="1"/>
    </xf>
    <xf numFmtId="176" fontId="29" fillId="2" borderId="3" xfId="1" applyNumberFormat="1" applyFont="1" applyFill="1" applyBorder="1" applyAlignment="1">
      <alignment horizontal="left" vertical="center"/>
    </xf>
    <xf numFmtId="176" fontId="29" fillId="2" borderId="3" xfId="0" applyNumberFormat="1" applyFont="1" applyFill="1" applyBorder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176" fontId="30" fillId="2" borderId="3" xfId="1" applyNumberFormat="1" applyFont="1" applyFill="1" applyBorder="1" applyAlignment="1">
      <alignment horizontal="left" vertical="center"/>
    </xf>
    <xf numFmtId="176" fontId="30" fillId="2" borderId="3" xfId="0" applyNumberFormat="1" applyFont="1" applyFill="1" applyBorder="1" applyAlignment="1">
      <alignment horizontal="left" vertical="center"/>
    </xf>
    <xf numFmtId="43" fontId="30" fillId="0" borderId="3" xfId="1" applyFont="1" applyFill="1" applyBorder="1" applyAlignment="1">
      <alignment horizontal="left" vertical="center"/>
    </xf>
    <xf numFmtId="43" fontId="30" fillId="5" borderId="3" xfId="1" applyFont="1" applyFill="1" applyBorder="1" applyAlignment="1">
      <alignment horizontal="left" vertical="center"/>
    </xf>
    <xf numFmtId="43" fontId="30" fillId="2" borderId="3" xfId="1" applyFont="1" applyFill="1" applyBorder="1" applyAlignment="1">
      <alignment horizontal="left" vertical="center"/>
    </xf>
    <xf numFmtId="43" fontId="31" fillId="2" borderId="3" xfId="1" applyFont="1" applyFill="1" applyBorder="1" applyAlignment="1">
      <alignment horizontal="left" vertical="center"/>
    </xf>
    <xf numFmtId="178" fontId="30" fillId="0" borderId="3" xfId="1" applyNumberFormat="1" applyFont="1" applyFill="1" applyBorder="1" applyAlignment="1">
      <alignment horizontal="left" vertical="center"/>
    </xf>
    <xf numFmtId="178" fontId="30" fillId="5" borderId="3" xfId="0" applyNumberFormat="1" applyFont="1" applyFill="1" applyBorder="1" applyAlignment="1">
      <alignment horizontal="left" vertical="center"/>
    </xf>
    <xf numFmtId="178" fontId="30" fillId="2" borderId="3" xfId="0" applyNumberFormat="1" applyFont="1" applyFill="1" applyBorder="1" applyAlignment="1">
      <alignment horizontal="left" vertical="center"/>
    </xf>
    <xf numFmtId="43" fontId="30" fillId="2" borderId="3" xfId="0" applyNumberFormat="1" applyFont="1" applyFill="1" applyBorder="1" applyAlignment="1">
      <alignment horizontal="left" vertical="center"/>
    </xf>
    <xf numFmtId="178" fontId="30" fillId="0" borderId="3" xfId="0" applyNumberFormat="1" applyFont="1" applyFill="1" applyBorder="1" applyAlignment="1">
      <alignment horizontal="left" vertical="center"/>
    </xf>
    <xf numFmtId="178" fontId="30" fillId="5" borderId="3" xfId="1" applyNumberFormat="1" applyFont="1" applyFill="1" applyBorder="1" applyAlignment="1">
      <alignment horizontal="left" vertical="center"/>
    </xf>
    <xf numFmtId="176" fontId="30" fillId="2" borderId="3" xfId="6" applyNumberFormat="1" applyFont="1" applyFill="1" applyBorder="1" applyAlignment="1">
      <alignment horizontal="left" vertical="center" wrapText="1"/>
    </xf>
    <xf numFmtId="49" fontId="30" fillId="2" borderId="3" xfId="1" applyNumberFormat="1" applyFont="1" applyFill="1" applyBorder="1" applyAlignment="1">
      <alignment horizontal="left" vertical="center"/>
    </xf>
    <xf numFmtId="43" fontId="30" fillId="0" borderId="3" xfId="1" applyNumberFormat="1" applyFont="1" applyFill="1" applyBorder="1" applyAlignment="1">
      <alignment horizontal="left" vertical="center"/>
    </xf>
    <xf numFmtId="43" fontId="30" fillId="0" borderId="8" xfId="1" applyFont="1" applyFill="1" applyBorder="1" applyAlignment="1">
      <alignment horizontal="left" vertical="center"/>
    </xf>
    <xf numFmtId="43" fontId="31" fillId="0" borderId="9" xfId="1" applyFont="1" applyFill="1" applyBorder="1" applyAlignment="1">
      <alignment horizontal="left" vertical="center"/>
    </xf>
    <xf numFmtId="43" fontId="32" fillId="0" borderId="8" xfId="1" applyFont="1" applyFill="1" applyBorder="1" applyAlignment="1">
      <alignment horizontal="left" vertical="center"/>
    </xf>
    <xf numFmtId="43" fontId="32" fillId="0" borderId="9" xfId="1" applyFont="1" applyFill="1" applyBorder="1" applyAlignment="1">
      <alignment horizontal="left" vertical="center"/>
    </xf>
    <xf numFmtId="43" fontId="32" fillId="0" borderId="0" xfId="1" applyFont="1" applyFill="1" applyBorder="1" applyAlignment="1">
      <alignment horizontal="left" vertical="center"/>
    </xf>
    <xf numFmtId="43" fontId="30" fillId="0" borderId="7" xfId="1" applyFont="1" applyFill="1" applyBorder="1" applyAlignment="1">
      <alignment horizontal="left" vertical="center"/>
    </xf>
    <xf numFmtId="43" fontId="31" fillId="0" borderId="1" xfId="1" applyFont="1" applyFill="1" applyBorder="1" applyAlignment="1">
      <alignment horizontal="left" vertical="center"/>
    </xf>
    <xf numFmtId="43" fontId="32" fillId="0" borderId="7" xfId="1" applyFont="1" applyFill="1" applyBorder="1" applyAlignment="1">
      <alignment horizontal="left" vertical="center"/>
    </xf>
    <xf numFmtId="43" fontId="32" fillId="0" borderId="1" xfId="1" applyFont="1" applyFill="1" applyBorder="1" applyAlignment="1">
      <alignment horizontal="left" vertical="center"/>
    </xf>
    <xf numFmtId="0" fontId="30" fillId="0" borderId="3" xfId="0" applyFont="1" applyFill="1" applyBorder="1" applyAlignment="1">
      <alignment horizontal="left" vertical="center"/>
    </xf>
    <xf numFmtId="49" fontId="6" fillId="0" borderId="3" xfId="2" applyNumberFormat="1" applyFont="1" applyFill="1" applyBorder="1" applyAlignment="1">
      <alignment horizontal="left" vertical="center" wrapText="1"/>
    </xf>
    <xf numFmtId="176" fontId="30" fillId="0" borderId="3" xfId="1" applyNumberFormat="1" applyFont="1" applyFill="1" applyBorder="1" applyAlignment="1">
      <alignment horizontal="left" vertical="center" wrapText="1"/>
    </xf>
    <xf numFmtId="49" fontId="30" fillId="0" borderId="3" xfId="1" applyNumberFormat="1" applyFont="1" applyFill="1" applyBorder="1" applyAlignment="1">
      <alignment horizontal="left" vertical="center" wrapText="1"/>
    </xf>
    <xf numFmtId="176" fontId="30" fillId="0" borderId="3" xfId="1" applyNumberFormat="1" applyFont="1" applyFill="1" applyBorder="1" applyAlignment="1">
      <alignment horizontal="left" vertical="center"/>
    </xf>
    <xf numFmtId="176" fontId="30" fillId="3" borderId="3" xfId="1" applyNumberFormat="1" applyFont="1" applyFill="1" applyBorder="1" applyAlignment="1">
      <alignment horizontal="left" vertical="center"/>
    </xf>
    <xf numFmtId="43" fontId="30" fillId="0" borderId="0" xfId="1" applyFont="1" applyFill="1" applyBorder="1" applyAlignment="1">
      <alignment horizontal="left" vertical="center"/>
    </xf>
    <xf numFmtId="43" fontId="31" fillId="0" borderId="0" xfId="1" applyFont="1" applyFill="1" applyBorder="1" applyAlignment="1">
      <alignment horizontal="left" vertical="center"/>
    </xf>
    <xf numFmtId="43" fontId="30" fillId="0" borderId="3" xfId="0" applyNumberFormat="1" applyFont="1" applyFill="1" applyBorder="1" applyAlignment="1">
      <alignment horizontal="left" vertical="center"/>
    </xf>
    <xf numFmtId="0" fontId="30" fillId="2" borderId="0" xfId="3" applyFont="1" applyFill="1" applyBorder="1" applyAlignment="1">
      <alignment horizontal="left" vertical="center"/>
    </xf>
    <xf numFmtId="0" fontId="30" fillId="2" borderId="0" xfId="6" applyFont="1" applyFill="1" applyBorder="1" applyAlignment="1">
      <alignment horizontal="left" vertical="center"/>
    </xf>
    <xf numFmtId="176" fontId="30" fillId="2" borderId="0" xfId="6" applyNumberFormat="1" applyFont="1" applyFill="1" applyBorder="1" applyAlignment="1">
      <alignment horizontal="left" vertical="center" wrapText="1"/>
    </xf>
    <xf numFmtId="49" fontId="30" fillId="2" borderId="0" xfId="1" applyNumberFormat="1" applyFont="1" applyFill="1" applyBorder="1" applyAlignment="1">
      <alignment horizontal="left" vertical="center"/>
    </xf>
    <xf numFmtId="176" fontId="30" fillId="2" borderId="0" xfId="1" applyNumberFormat="1" applyFont="1" applyFill="1" applyBorder="1" applyAlignment="1">
      <alignment horizontal="left" vertical="center"/>
    </xf>
    <xf numFmtId="176" fontId="30" fillId="2" borderId="0" xfId="0" applyNumberFormat="1" applyFont="1" applyFill="1" applyBorder="1" applyAlignment="1">
      <alignment horizontal="left" vertical="center"/>
    </xf>
    <xf numFmtId="43" fontId="30" fillId="2" borderId="0" xfId="0" applyNumberFormat="1" applyFont="1" applyFill="1" applyBorder="1" applyAlignment="1">
      <alignment horizontal="left" vertical="center"/>
    </xf>
    <xf numFmtId="0" fontId="35" fillId="0" borderId="0" xfId="0" applyFont="1" applyAlignment="1" applyProtection="1">
      <alignment horizontal="left"/>
      <protection hidden="1"/>
    </xf>
    <xf numFmtId="49" fontId="33" fillId="2" borderId="0" xfId="0" applyNumberFormat="1" applyFont="1" applyFill="1" applyBorder="1" applyAlignment="1">
      <alignment horizontal="left" vertical="center"/>
    </xf>
    <xf numFmtId="176" fontId="30" fillId="2" borderId="0" xfId="1" applyNumberFormat="1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49" fontId="33" fillId="2" borderId="0" xfId="0" applyNumberFormat="1" applyFont="1" applyFill="1" applyAlignment="1">
      <alignment horizontal="left" vertical="center"/>
    </xf>
    <xf numFmtId="176" fontId="30" fillId="2" borderId="0" xfId="1" applyNumberFormat="1" applyFont="1" applyFill="1" applyAlignment="1">
      <alignment horizontal="left" vertical="center" wrapText="1"/>
    </xf>
    <xf numFmtId="49" fontId="30" fillId="2" borderId="0" xfId="1" applyNumberFormat="1" applyFont="1" applyFill="1" applyAlignment="1">
      <alignment horizontal="left" vertical="center"/>
    </xf>
    <xf numFmtId="176" fontId="30" fillId="2" borderId="0" xfId="1" applyNumberFormat="1" applyFont="1" applyFill="1" applyAlignment="1">
      <alignment horizontal="left" vertical="center"/>
    </xf>
    <xf numFmtId="176" fontId="30" fillId="2" borderId="0" xfId="0" applyNumberFormat="1" applyFont="1" applyFill="1" applyAlignment="1">
      <alignment horizontal="left" vertical="center"/>
    </xf>
    <xf numFmtId="0" fontId="40" fillId="2" borderId="0" xfId="0" applyFont="1" applyFill="1" applyAlignment="1">
      <alignment horizontal="left" vertical="center"/>
    </xf>
    <xf numFmtId="4" fontId="30" fillId="0" borderId="3" xfId="3" applyNumberFormat="1" applyFont="1" applyFill="1" applyBorder="1" applyAlignment="1">
      <alignment horizontal="left" vertical="center"/>
    </xf>
    <xf numFmtId="4" fontId="30" fillId="2" borderId="3" xfId="3" applyNumberFormat="1" applyFont="1" applyFill="1" applyBorder="1" applyAlignment="1">
      <alignment horizontal="left" vertical="center"/>
    </xf>
    <xf numFmtId="4" fontId="30" fillId="5" borderId="3" xfId="3" applyNumberFormat="1" applyFont="1" applyFill="1" applyBorder="1" applyAlignment="1">
      <alignment horizontal="left" vertical="center"/>
    </xf>
    <xf numFmtId="176" fontId="30" fillId="2" borderId="4" xfId="1" applyNumberFormat="1" applyFont="1" applyFill="1" applyBorder="1" applyAlignment="1">
      <alignment horizontal="left" vertical="center"/>
    </xf>
    <xf numFmtId="43" fontId="30" fillId="0" borderId="1" xfId="1" applyFont="1" applyFill="1" applyBorder="1" applyAlignment="1">
      <alignment horizontal="left" vertical="center"/>
    </xf>
    <xf numFmtId="176" fontId="30" fillId="2" borderId="6" xfId="1" applyNumberFormat="1" applyFont="1" applyFill="1" applyBorder="1" applyAlignment="1">
      <alignment horizontal="left" vertical="center"/>
    </xf>
    <xf numFmtId="43" fontId="30" fillId="0" borderId="9" xfId="1" applyFont="1" applyFill="1" applyBorder="1" applyAlignment="1">
      <alignment horizontal="left" vertical="center"/>
    </xf>
    <xf numFmtId="0" fontId="29" fillId="0" borderId="3" xfId="3" applyFont="1" applyFill="1" applyBorder="1" applyAlignment="1">
      <alignment horizontal="left" vertical="center" wrapText="1"/>
    </xf>
    <xf numFmtId="176" fontId="30" fillId="0" borderId="3" xfId="6" applyNumberFormat="1" applyFont="1" applyFill="1" applyBorder="1" applyAlignment="1">
      <alignment horizontal="left" vertical="center" wrapText="1"/>
    </xf>
    <xf numFmtId="49" fontId="30" fillId="0" borderId="3" xfId="1" applyNumberFormat="1" applyFont="1" applyFill="1" applyBorder="1" applyAlignment="1">
      <alignment horizontal="left" vertical="center"/>
    </xf>
    <xf numFmtId="176" fontId="30" fillId="0" borderId="3" xfId="0" applyNumberFormat="1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0" fontId="30" fillId="0" borderId="11" xfId="0" applyFont="1" applyFill="1" applyBorder="1" applyAlignment="1">
      <alignment horizontal="left" vertical="center"/>
    </xf>
    <xf numFmtId="0" fontId="30" fillId="0" borderId="17" xfId="0" applyFont="1" applyFill="1" applyBorder="1" applyAlignment="1">
      <alignment horizontal="left" vertical="center"/>
    </xf>
    <xf numFmtId="0" fontId="6" fillId="0" borderId="18" xfId="3" applyFont="1" applyFill="1" applyBorder="1" applyAlignment="1">
      <alignment horizontal="left" vertical="center" wrapText="1"/>
    </xf>
    <xf numFmtId="176" fontId="30" fillId="0" borderId="11" xfId="6" applyNumberFormat="1" applyFont="1" applyFill="1" applyBorder="1" applyAlignment="1">
      <alignment horizontal="left" vertical="center" wrapText="1"/>
    </xf>
    <xf numFmtId="176" fontId="30" fillId="3" borderId="3" xfId="0" applyNumberFormat="1" applyFont="1" applyFill="1" applyBorder="1" applyAlignment="1">
      <alignment horizontal="left" vertical="center"/>
    </xf>
    <xf numFmtId="43" fontId="30" fillId="0" borderId="0" xfId="0" applyNumberFormat="1" applyFont="1" applyFill="1" applyBorder="1" applyAlignment="1">
      <alignment horizontal="left" vertical="center"/>
    </xf>
    <xf numFmtId="49" fontId="30" fillId="2" borderId="0" xfId="0" applyNumberFormat="1" applyFont="1" applyFill="1" applyBorder="1" applyAlignment="1">
      <alignment horizontal="left" vertical="center"/>
    </xf>
    <xf numFmtId="49" fontId="30" fillId="2" borderId="0" xfId="0" applyNumberFormat="1" applyFont="1" applyFill="1" applyAlignment="1">
      <alignment horizontal="left" vertical="center"/>
    </xf>
    <xf numFmtId="176" fontId="6" fillId="2" borderId="3" xfId="1" applyNumberFormat="1" applyFont="1" applyFill="1" applyBorder="1" applyAlignment="1">
      <alignment horizontal="left" vertical="center"/>
    </xf>
    <xf numFmtId="176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5" fillId="2" borderId="0" xfId="3" applyFont="1" applyFill="1" applyBorder="1" applyAlignment="1">
      <alignment horizontal="left" vertical="center"/>
    </xf>
    <xf numFmtId="0" fontId="5" fillId="2" borderId="0" xfId="6" applyFont="1" applyFill="1" applyBorder="1" applyAlignment="1">
      <alignment horizontal="left" vertical="center"/>
    </xf>
    <xf numFmtId="176" fontId="5" fillId="2" borderId="0" xfId="6" applyNumberFormat="1" applyFont="1" applyFill="1" applyBorder="1" applyAlignment="1">
      <alignment horizontal="left" vertical="center" wrapText="1"/>
    </xf>
    <xf numFmtId="14" fontId="11" fillId="2" borderId="0" xfId="0" applyNumberFormat="1" applyFont="1" applyFill="1" applyBorder="1" applyAlignment="1">
      <alignment horizontal="left" vertical="center"/>
    </xf>
    <xf numFmtId="14" fontId="5" fillId="2" borderId="0" xfId="0" applyNumberFormat="1" applyFont="1" applyFill="1" applyAlignment="1">
      <alignment horizontal="left" vertical="center"/>
    </xf>
    <xf numFmtId="14" fontId="8" fillId="2" borderId="0" xfId="0" applyNumberFormat="1" applyFont="1" applyFill="1" applyAlignment="1">
      <alignment horizontal="left" vertical="center"/>
    </xf>
    <xf numFmtId="14" fontId="11" fillId="2" borderId="0" xfId="0" applyNumberFormat="1" applyFont="1" applyFill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43" fontId="5" fillId="0" borderId="0" xfId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10" fontId="39" fillId="0" borderId="0" xfId="0" applyNumberFormat="1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0" fontId="0" fillId="5" borderId="0" xfId="0" applyNumberFormat="1" applyFill="1" applyAlignment="1">
      <alignment horizontal="left" vertical="center"/>
    </xf>
    <xf numFmtId="10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1" fillId="0" borderId="3" xfId="0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1" fillId="0" borderId="0" xfId="0" applyNumberFormat="1" applyFont="1" applyAlignment="1">
      <alignment horizontal="left" vertical="center"/>
    </xf>
    <xf numFmtId="49" fontId="21" fillId="0" borderId="13" xfId="0" applyNumberFormat="1" applyFont="1" applyFill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0" borderId="0" xfId="0" applyNumberFormat="1" applyAlignment="1">
      <alignment horizontal="left" vertical="center"/>
    </xf>
    <xf numFmtId="49" fontId="0" fillId="0" borderId="15" xfId="0" applyNumberFormat="1" applyFill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183" fontId="0" fillId="0" borderId="3" xfId="0" applyNumberFormat="1" applyBorder="1" applyAlignment="1">
      <alignment horizontal="left" vertical="center"/>
    </xf>
    <xf numFmtId="10" fontId="0" fillId="0" borderId="3" xfId="9" applyNumberFormat="1" applyFont="1" applyBorder="1" applyAlignment="1">
      <alignment horizontal="left" vertical="center"/>
    </xf>
    <xf numFmtId="43" fontId="0" fillId="0" borderId="3" xfId="0" applyNumberFormat="1" applyBorder="1" applyAlignment="1">
      <alignment horizontal="left" vertical="center"/>
    </xf>
    <xf numFmtId="10" fontId="0" fillId="0" borderId="3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49" fontId="0" fillId="0" borderId="3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3" borderId="0" xfId="0" applyFill="1" applyAlignment="1">
      <alignment horizontal="left" vertical="center"/>
    </xf>
    <xf numFmtId="10" fontId="38" fillId="9" borderId="3" xfId="0" applyNumberFormat="1" applyFont="1" applyFill="1" applyBorder="1" applyAlignment="1">
      <alignment horizontal="left" vertical="center"/>
    </xf>
    <xf numFmtId="181" fontId="38" fillId="0" borderId="3" xfId="0" applyNumberFormat="1" applyFont="1" applyFill="1" applyBorder="1" applyAlignment="1">
      <alignment horizontal="left" vertical="center"/>
    </xf>
    <xf numFmtId="0" fontId="30" fillId="2" borderId="3" xfId="0" applyFont="1" applyFill="1" applyBorder="1" applyAlignment="1">
      <alignment horizontal="left" vertical="center"/>
    </xf>
    <xf numFmtId="176" fontId="5" fillId="2" borderId="3" xfId="1" applyNumberFormat="1" applyFont="1" applyFill="1" applyBorder="1" applyAlignment="1">
      <alignment horizontal="left" vertical="center"/>
    </xf>
    <xf numFmtId="176" fontId="5" fillId="0" borderId="3" xfId="1" applyNumberFormat="1" applyFont="1" applyFill="1" applyBorder="1" applyAlignment="1">
      <alignment horizontal="left" vertical="center"/>
    </xf>
    <xf numFmtId="43" fontId="5" fillId="0" borderId="3" xfId="1" applyNumberFormat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49" fontId="6" fillId="0" borderId="3" xfId="2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 shrinkToFit="1"/>
    </xf>
    <xf numFmtId="176" fontId="5" fillId="0" borderId="3" xfId="1" applyNumberFormat="1" applyFont="1" applyFill="1" applyBorder="1" applyAlignment="1">
      <alignment horizontal="left" vertical="center" wrapText="1"/>
    </xf>
    <xf numFmtId="49" fontId="5" fillId="0" borderId="3" xfId="1" applyNumberFormat="1" applyFont="1" applyFill="1" applyBorder="1" applyAlignment="1">
      <alignment horizontal="left" vertical="center" wrapText="1"/>
    </xf>
    <xf numFmtId="176" fontId="30" fillId="2" borderId="3" xfId="1" applyNumberFormat="1" applyFont="1" applyFill="1" applyBorder="1" applyAlignment="1">
      <alignment horizontal="left" vertical="center"/>
    </xf>
    <xf numFmtId="176" fontId="30" fillId="0" borderId="3" xfId="1" applyNumberFormat="1" applyFont="1" applyFill="1" applyBorder="1" applyAlignment="1">
      <alignment horizontal="left" vertical="center"/>
    </xf>
    <xf numFmtId="176" fontId="5" fillId="2" borderId="3" xfId="1" applyNumberFormat="1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left" vertical="center"/>
    </xf>
    <xf numFmtId="43" fontId="8" fillId="0" borderId="0" xfId="1" applyFont="1" applyFill="1" applyBorder="1" applyAlignment="1">
      <alignment horizontal="left" vertical="center"/>
    </xf>
    <xf numFmtId="43" fontId="5" fillId="0" borderId="0" xfId="0" applyNumberFormat="1" applyFont="1" applyFill="1" applyBorder="1" applyAlignment="1">
      <alignment horizontal="left" vertical="center"/>
    </xf>
    <xf numFmtId="43" fontId="8" fillId="2" borderId="0" xfId="0" applyNumberFormat="1" applyFont="1" applyFill="1" applyBorder="1" applyAlignment="1">
      <alignment horizontal="left" vertical="center"/>
    </xf>
    <xf numFmtId="0" fontId="41" fillId="6" borderId="0" xfId="0" applyFont="1" applyFill="1" applyAlignment="1">
      <alignment horizontal="left" vertical="center"/>
    </xf>
    <xf numFmtId="176" fontId="5" fillId="3" borderId="3" xfId="1" applyNumberFormat="1" applyFont="1" applyFill="1" applyBorder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30" fillId="0" borderId="3" xfId="0" applyFont="1" applyFill="1" applyBorder="1" applyAlignment="1">
      <alignment horizontal="center" vertical="center"/>
    </xf>
    <xf numFmtId="43" fontId="30" fillId="2" borderId="3" xfId="0" applyNumberFormat="1" applyFont="1" applyFill="1" applyBorder="1" applyAlignment="1">
      <alignment horizontal="center" vertical="center"/>
    </xf>
    <xf numFmtId="43" fontId="30" fillId="2" borderId="0" xfId="0" applyNumberFormat="1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176" fontId="29" fillId="0" borderId="3" xfId="1" applyNumberFormat="1" applyFont="1" applyFill="1" applyBorder="1" applyAlignment="1">
      <alignment horizontal="left" vertical="center"/>
    </xf>
    <xf numFmtId="176" fontId="29" fillId="0" borderId="3" xfId="0" applyNumberFormat="1" applyFont="1" applyFill="1" applyBorder="1" applyAlignment="1">
      <alignment horizontal="left" vertical="center"/>
    </xf>
    <xf numFmtId="0" fontId="29" fillId="0" borderId="0" xfId="0" applyFont="1" applyFill="1" applyAlignment="1">
      <alignment horizontal="left" vertical="center"/>
    </xf>
    <xf numFmtId="180" fontId="34" fillId="0" borderId="16" xfId="0" applyNumberFormat="1" applyFont="1" applyBorder="1" applyAlignment="1" applyProtection="1">
      <alignment horizontal="left" vertical="center" wrapText="1"/>
      <protection hidden="1"/>
    </xf>
    <xf numFmtId="10" fontId="34" fillId="0" borderId="16" xfId="0" applyNumberFormat="1" applyFont="1" applyBorder="1" applyAlignment="1" applyProtection="1">
      <alignment horizontal="left" vertical="center" wrapText="1"/>
    </xf>
    <xf numFmtId="182" fontId="34" fillId="0" borderId="16" xfId="0" applyNumberFormat="1" applyFont="1" applyBorder="1" applyAlignment="1" applyProtection="1">
      <alignment horizontal="left" vertical="center" wrapText="1"/>
      <protection hidden="1"/>
    </xf>
    <xf numFmtId="180" fontId="34" fillId="0" borderId="16" xfId="0" applyNumberFormat="1" applyFont="1" applyBorder="1" applyAlignment="1" applyProtection="1">
      <alignment horizontal="center" vertical="center" wrapText="1"/>
      <protection hidden="1"/>
    </xf>
    <xf numFmtId="0" fontId="30" fillId="2" borderId="16" xfId="0" applyFont="1" applyFill="1" applyBorder="1" applyAlignment="1">
      <alignment horizontal="left" vertical="center"/>
    </xf>
    <xf numFmtId="184" fontId="30" fillId="2" borderId="0" xfId="6" applyNumberFormat="1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shrinkToFit="1"/>
    </xf>
    <xf numFmtId="180" fontId="5" fillId="2" borderId="3" xfId="0" applyNumberFormat="1" applyFont="1" applyFill="1" applyBorder="1" applyAlignment="1">
      <alignment horizontal="left" vertical="center"/>
    </xf>
    <xf numFmtId="180" fontId="22" fillId="0" borderId="3" xfId="0" applyNumberFormat="1" applyFont="1" applyBorder="1" applyAlignment="1" applyProtection="1">
      <alignment horizontal="left" vertical="center" wrapText="1"/>
    </xf>
    <xf numFmtId="0" fontId="21" fillId="0" borderId="3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183" fontId="21" fillId="0" borderId="3" xfId="0" applyNumberFormat="1" applyFont="1" applyBorder="1" applyAlignment="1">
      <alignment horizontal="left" vertical="center"/>
    </xf>
    <xf numFmtId="10" fontId="21" fillId="0" borderId="3" xfId="9" applyNumberFormat="1" applyFont="1" applyBorder="1" applyAlignment="1">
      <alignment horizontal="left" vertical="center"/>
    </xf>
    <xf numFmtId="10" fontId="21" fillId="0" borderId="0" xfId="0" applyNumberFormat="1" applyFont="1" applyAlignment="1">
      <alignment horizontal="left" vertical="center"/>
    </xf>
    <xf numFmtId="43" fontId="21" fillId="0" borderId="3" xfId="0" applyNumberFormat="1" applyFont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43" fontId="21" fillId="0" borderId="0" xfId="0" applyNumberFormat="1" applyFont="1" applyBorder="1" applyAlignment="1">
      <alignment horizontal="left" vertical="center"/>
    </xf>
    <xf numFmtId="183" fontId="21" fillId="0" borderId="0" xfId="0" applyNumberFormat="1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10" fontId="21" fillId="0" borderId="0" xfId="9" applyNumberFormat="1" applyFont="1" applyBorder="1" applyAlignment="1">
      <alignment horizontal="left" vertical="center"/>
    </xf>
    <xf numFmtId="43" fontId="21" fillId="0" borderId="13" xfId="0" applyNumberFormat="1" applyFont="1" applyBorder="1" applyAlignment="1">
      <alignment vertical="center"/>
    </xf>
    <xf numFmtId="43" fontId="21" fillId="0" borderId="3" xfId="0" applyNumberFormat="1" applyFont="1" applyBorder="1" applyAlignment="1">
      <alignment vertical="center"/>
    </xf>
    <xf numFmtId="0" fontId="21" fillId="3" borderId="0" xfId="0" applyFont="1" applyFill="1" applyAlignment="1">
      <alignment horizontal="left" vertical="center"/>
    </xf>
    <xf numFmtId="0" fontId="21" fillId="5" borderId="3" xfId="0" applyFont="1" applyFill="1" applyBorder="1" applyAlignment="1">
      <alignment horizontal="left" vertical="center"/>
    </xf>
    <xf numFmtId="0" fontId="21" fillId="0" borderId="3" xfId="0" applyFont="1" applyBorder="1" applyAlignment="1">
      <alignment horizontal="left" vertical="center" wrapText="1"/>
    </xf>
    <xf numFmtId="49" fontId="21" fillId="0" borderId="3" xfId="0" applyNumberFormat="1" applyFont="1" applyBorder="1" applyAlignment="1">
      <alignment horizontal="left" vertical="center" wrapText="1"/>
    </xf>
    <xf numFmtId="0" fontId="21" fillId="0" borderId="3" xfId="0" applyNumberFormat="1" applyFont="1" applyBorder="1" applyAlignment="1">
      <alignment horizontal="left" vertical="center" wrapText="1"/>
    </xf>
    <xf numFmtId="43" fontId="21" fillId="0" borderId="0" xfId="0" applyNumberFormat="1" applyFont="1" applyAlignment="1">
      <alignment vertical="center"/>
    </xf>
    <xf numFmtId="0" fontId="21" fillId="9" borderId="0" xfId="0" applyFont="1" applyFill="1" applyBorder="1" applyAlignment="1">
      <alignment horizontal="left" vertical="center"/>
    </xf>
    <xf numFmtId="0" fontId="21" fillId="9" borderId="3" xfId="0" applyFont="1" applyFill="1" applyBorder="1" applyAlignment="1">
      <alignment horizontal="left" vertical="center"/>
    </xf>
    <xf numFmtId="0" fontId="21" fillId="0" borderId="0" xfId="0" applyFont="1" applyBorder="1" applyAlignment="1">
      <alignment horizontal="left" vertical="center" wrapText="1"/>
    </xf>
    <xf numFmtId="49" fontId="38" fillId="0" borderId="3" xfId="0" applyNumberFormat="1" applyFont="1" applyFill="1" applyBorder="1" applyAlignment="1">
      <alignment horizontal="left" vertical="center"/>
    </xf>
    <xf numFmtId="49" fontId="38" fillId="10" borderId="3" xfId="0" applyNumberFormat="1" applyFont="1" applyFill="1" applyBorder="1" applyAlignment="1">
      <alignment horizontal="left" vertical="center"/>
    </xf>
    <xf numFmtId="49" fontId="38" fillId="7" borderId="3" xfId="0" applyNumberFormat="1" applyFont="1" applyFill="1" applyBorder="1" applyAlignment="1">
      <alignment horizontal="left" vertical="center"/>
    </xf>
    <xf numFmtId="49" fontId="38" fillId="6" borderId="3" xfId="0" applyNumberFormat="1" applyFont="1" applyFill="1" applyBorder="1" applyAlignment="1">
      <alignment horizontal="left" vertical="center"/>
    </xf>
    <xf numFmtId="10" fontId="38" fillId="0" borderId="3" xfId="0" applyNumberFormat="1" applyFont="1" applyFill="1" applyBorder="1" applyAlignment="1">
      <alignment horizontal="left" vertical="center"/>
    </xf>
    <xf numFmtId="10" fontId="38" fillId="5" borderId="3" xfId="0" applyNumberFormat="1" applyFont="1" applyFill="1" applyBorder="1" applyAlignment="1">
      <alignment horizontal="left" vertical="center"/>
    </xf>
    <xf numFmtId="0" fontId="30" fillId="2" borderId="0" xfId="1" applyNumberFormat="1" applyFont="1" applyFill="1" applyBorder="1" applyAlignment="1">
      <alignment horizontal="left" vertical="center"/>
    </xf>
    <xf numFmtId="44" fontId="21" fillId="0" borderId="3" xfId="0" applyNumberFormat="1" applyFont="1" applyBorder="1" applyAlignment="1">
      <alignment horizontal="left" vertical="center" wrapText="1"/>
    </xf>
    <xf numFmtId="43" fontId="30" fillId="9" borderId="3" xfId="1" applyFont="1" applyFill="1" applyBorder="1" applyAlignment="1">
      <alignment horizontal="left" vertical="center"/>
    </xf>
    <xf numFmtId="10" fontId="30" fillId="2" borderId="0" xfId="0" applyNumberFormat="1" applyFont="1" applyFill="1" applyBorder="1" applyAlignment="1">
      <alignment horizontal="left" vertical="center"/>
    </xf>
    <xf numFmtId="10" fontId="30" fillId="2" borderId="0" xfId="3" applyNumberFormat="1" applyFont="1" applyFill="1" applyBorder="1" applyAlignment="1">
      <alignment horizontal="left" vertical="center"/>
    </xf>
    <xf numFmtId="10" fontId="30" fillId="2" borderId="0" xfId="6" applyNumberFormat="1" applyFont="1" applyFill="1" applyBorder="1" applyAlignment="1">
      <alignment horizontal="left" vertical="center"/>
    </xf>
    <xf numFmtId="10" fontId="30" fillId="2" borderId="0" xfId="6" applyNumberFormat="1" applyFont="1" applyFill="1" applyBorder="1" applyAlignment="1">
      <alignment horizontal="left" vertical="center" wrapText="1"/>
    </xf>
    <xf numFmtId="10" fontId="30" fillId="2" borderId="0" xfId="0" applyNumberFormat="1" applyFont="1" applyFill="1" applyAlignment="1">
      <alignment horizontal="left" vertical="center"/>
    </xf>
    <xf numFmtId="176" fontId="3" fillId="2" borderId="3" xfId="1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4" fillId="2" borderId="3" xfId="1" applyNumberFormat="1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76" fontId="5" fillId="2" borderId="3" xfId="1" applyNumberFormat="1" applyFont="1" applyFill="1" applyBorder="1" applyAlignment="1">
      <alignment horizontal="center" vertical="center"/>
    </xf>
    <xf numFmtId="43" fontId="5" fillId="5" borderId="3" xfId="1" applyFont="1" applyFill="1" applyBorder="1" applyAlignment="1">
      <alignment horizontal="center" vertical="center"/>
    </xf>
    <xf numFmtId="43" fontId="5" fillId="2" borderId="3" xfId="1" applyFont="1" applyFill="1" applyBorder="1" applyAlignment="1">
      <alignment horizontal="center" vertical="center"/>
    </xf>
    <xf numFmtId="43" fontId="5" fillId="9" borderId="3" xfId="1" applyFont="1" applyFill="1" applyBorder="1" applyAlignment="1">
      <alignment horizontal="center" vertical="center"/>
    </xf>
    <xf numFmtId="43" fontId="5" fillId="0" borderId="3" xfId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76" fontId="5" fillId="0" borderId="3" xfId="1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 shrinkToFit="1"/>
    </xf>
    <xf numFmtId="176" fontId="13" fillId="2" borderId="3" xfId="5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  <xf numFmtId="178" fontId="13" fillId="0" borderId="3" xfId="1" applyNumberFormat="1" applyFont="1" applyFill="1" applyBorder="1" applyAlignment="1">
      <alignment horizontal="center" vertical="center"/>
    </xf>
    <xf numFmtId="178" fontId="13" fillId="2" borderId="3" xfId="1" applyNumberFormat="1" applyFont="1" applyFill="1" applyBorder="1" applyAlignment="1">
      <alignment horizontal="center" vertical="center"/>
    </xf>
    <xf numFmtId="178" fontId="13" fillId="5" borderId="3" xfId="1" applyNumberFormat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43" fontId="5" fillId="0" borderId="7" xfId="1" applyFont="1" applyFill="1" applyBorder="1" applyAlignment="1">
      <alignment horizontal="center" vertical="center"/>
    </xf>
    <xf numFmtId="176" fontId="5" fillId="0" borderId="10" xfId="1" applyNumberFormat="1" applyFont="1" applyFill="1" applyBorder="1" applyAlignment="1">
      <alignment horizontal="center" vertical="center" wrapText="1"/>
    </xf>
    <xf numFmtId="49" fontId="5" fillId="0" borderId="10" xfId="1" applyNumberFormat="1" applyFont="1" applyFill="1" applyBorder="1" applyAlignment="1">
      <alignment horizontal="center" vertical="center" wrapText="1"/>
    </xf>
    <xf numFmtId="43" fontId="5" fillId="0" borderId="3" xfId="1" applyNumberFormat="1" applyFont="1" applyFill="1" applyBorder="1" applyAlignment="1">
      <alignment horizontal="center" vertical="center"/>
    </xf>
    <xf numFmtId="43" fontId="5" fillId="0" borderId="8" xfId="1" applyFont="1" applyFill="1" applyBorder="1" applyAlignment="1">
      <alignment horizontal="center" vertical="center"/>
    </xf>
    <xf numFmtId="176" fontId="5" fillId="2" borderId="6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" fontId="13" fillId="2" borderId="3" xfId="3" applyNumberFormat="1" applyFont="1" applyFill="1" applyBorder="1" applyAlignment="1">
      <alignment horizontal="center" vertical="center"/>
    </xf>
    <xf numFmtId="43" fontId="5" fillId="0" borderId="4" xfId="1" applyFont="1" applyFill="1" applyBorder="1" applyAlignment="1">
      <alignment horizontal="center" vertical="center"/>
    </xf>
    <xf numFmtId="43" fontId="5" fillId="0" borderId="5" xfId="1" applyFont="1" applyFill="1" applyBorder="1" applyAlignment="1">
      <alignment horizontal="center" vertical="center"/>
    </xf>
    <xf numFmtId="176" fontId="13" fillId="0" borderId="10" xfId="5" applyNumberFormat="1" applyFont="1" applyFill="1" applyBorder="1" applyAlignment="1">
      <alignment horizontal="center" vertical="center" wrapText="1"/>
    </xf>
    <xf numFmtId="49" fontId="5" fillId="2" borderId="10" xfId="1" applyNumberFormat="1" applyFont="1" applyFill="1" applyBorder="1" applyAlignment="1">
      <alignment horizontal="center" vertical="center"/>
    </xf>
    <xf numFmtId="43" fontId="5" fillId="0" borderId="16" xfId="1" applyNumberFormat="1" applyFont="1" applyFill="1" applyBorder="1" applyAlignment="1">
      <alignment horizontal="center" vertical="center"/>
    </xf>
    <xf numFmtId="176" fontId="13" fillId="0" borderId="3" xfId="5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5" borderId="3" xfId="0" applyNumberFormat="1" applyFont="1" applyFill="1" applyBorder="1" applyAlignment="1">
      <alignment horizontal="center" vertical="center"/>
    </xf>
    <xf numFmtId="43" fontId="5" fillId="2" borderId="3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3" fontId="13" fillId="2" borderId="3" xfId="1" applyNumberFormat="1" applyFont="1" applyFill="1" applyBorder="1" applyAlignment="1">
      <alignment horizontal="center" vertical="center"/>
    </xf>
    <xf numFmtId="43" fontId="13" fillId="5" borderId="3" xfId="1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 shrinkToFit="1"/>
    </xf>
    <xf numFmtId="176" fontId="13" fillId="0" borderId="10" xfId="6" applyNumberFormat="1" applyFont="1" applyFill="1" applyBorder="1" applyAlignment="1">
      <alignment horizontal="center" vertical="center" wrapText="1"/>
    </xf>
    <xf numFmtId="176" fontId="5" fillId="2" borderId="5" xfId="1" applyNumberFormat="1" applyFont="1" applyFill="1" applyBorder="1" applyAlignment="1">
      <alignment horizontal="center" vertical="center"/>
    </xf>
    <xf numFmtId="43" fontId="5" fillId="0" borderId="6" xfId="1" applyFont="1" applyFill="1" applyBorder="1" applyAlignment="1">
      <alignment horizontal="center" vertical="center"/>
    </xf>
    <xf numFmtId="176" fontId="5" fillId="0" borderId="16" xfId="1" applyNumberFormat="1" applyFont="1" applyFill="1" applyBorder="1" applyAlignment="1">
      <alignment horizontal="center" vertical="center" wrapText="1"/>
    </xf>
    <xf numFmtId="49" fontId="5" fillId="0" borderId="16" xfId="1" applyNumberFormat="1" applyFont="1" applyFill="1" applyBorder="1" applyAlignment="1">
      <alignment horizontal="center" vertical="center" wrapText="1"/>
    </xf>
    <xf numFmtId="176" fontId="13" fillId="0" borderId="16" xfId="5" applyNumberFormat="1" applyFont="1" applyFill="1" applyBorder="1" applyAlignment="1">
      <alignment horizontal="center" vertical="center"/>
    </xf>
    <xf numFmtId="176" fontId="5" fillId="0" borderId="16" xfId="1" applyNumberFormat="1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176" fontId="13" fillId="0" borderId="16" xfId="5" applyNumberFormat="1" applyFont="1" applyFill="1" applyBorder="1" applyAlignment="1">
      <alignment horizontal="center" vertical="center" wrapText="1"/>
    </xf>
    <xf numFmtId="49" fontId="5" fillId="2" borderId="16" xfId="1" applyNumberFormat="1" applyFont="1" applyFill="1" applyBorder="1" applyAlignment="1">
      <alignment horizontal="center" vertical="center"/>
    </xf>
    <xf numFmtId="176" fontId="13" fillId="2" borderId="16" xfId="5" applyNumberFormat="1" applyFont="1" applyFill="1" applyBorder="1" applyAlignment="1">
      <alignment horizontal="center" vertical="center"/>
    </xf>
    <xf numFmtId="4" fontId="13" fillId="2" borderId="3" xfId="5" applyNumberFormat="1" applyFont="1" applyFill="1" applyBorder="1" applyAlignment="1">
      <alignment horizontal="center" vertical="center"/>
    </xf>
    <xf numFmtId="4" fontId="5" fillId="2" borderId="3" xfId="0" applyNumberFormat="1" applyFont="1" applyFill="1" applyBorder="1" applyAlignment="1">
      <alignment horizontal="center" vertical="center"/>
    </xf>
    <xf numFmtId="176" fontId="13" fillId="0" borderId="3" xfId="5" applyNumberFormat="1" applyFont="1" applyFill="1" applyBorder="1" applyAlignment="1">
      <alignment horizontal="center" vertical="center" wrapText="1"/>
    </xf>
    <xf numFmtId="49" fontId="5" fillId="2" borderId="3" xfId="1" applyNumberFormat="1" applyFont="1" applyFill="1" applyBorder="1" applyAlignment="1">
      <alignment horizontal="center" vertical="center"/>
    </xf>
    <xf numFmtId="178" fontId="5" fillId="2" borderId="3" xfId="0" applyNumberFormat="1" applyFont="1" applyFill="1" applyBorder="1" applyAlignment="1">
      <alignment horizontal="center" vertical="center"/>
    </xf>
    <xf numFmtId="178" fontId="5" fillId="5" borderId="3" xfId="0" applyNumberFormat="1" applyFont="1" applyFill="1" applyBorder="1" applyAlignment="1">
      <alignment horizontal="center" vertical="center"/>
    </xf>
    <xf numFmtId="176" fontId="13" fillId="0" borderId="16" xfId="6" applyNumberFormat="1" applyFont="1" applyFill="1" applyBorder="1" applyAlignment="1">
      <alignment horizontal="center" vertical="center" wrapText="1"/>
    </xf>
    <xf numFmtId="176" fontId="5" fillId="2" borderId="16" xfId="1" applyNumberFormat="1" applyFont="1" applyFill="1" applyBorder="1" applyAlignment="1">
      <alignment horizontal="center" vertical="center"/>
    </xf>
    <xf numFmtId="176" fontId="5" fillId="2" borderId="16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 wrapText="1" shrinkToFit="1"/>
    </xf>
    <xf numFmtId="4" fontId="13" fillId="2" borderId="3" xfId="4" applyNumberFormat="1" applyFont="1" applyFill="1" applyBorder="1" applyAlignment="1">
      <alignment horizontal="center" vertical="center"/>
    </xf>
    <xf numFmtId="4" fontId="13" fillId="5" borderId="3" xfId="4" applyNumberFormat="1" applyFont="1" applyFill="1" applyBorder="1" applyAlignment="1">
      <alignment horizontal="center" vertical="center"/>
    </xf>
    <xf numFmtId="43" fontId="5" fillId="2" borderId="0" xfId="1" applyNumberFormat="1" applyFont="1" applyFill="1" applyAlignment="1">
      <alignment horizontal="center" vertical="center"/>
    </xf>
    <xf numFmtId="43" fontId="5" fillId="0" borderId="0" xfId="1" applyNumberFormat="1" applyFont="1" applyFill="1" applyAlignment="1">
      <alignment horizontal="center" vertical="center"/>
    </xf>
    <xf numFmtId="43" fontId="5" fillId="2" borderId="0" xfId="0" applyNumberFormat="1" applyFont="1" applyFill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49" fontId="6" fillId="0" borderId="18" xfId="2" applyNumberFormat="1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 shrinkToFit="1"/>
    </xf>
    <xf numFmtId="176" fontId="5" fillId="0" borderId="11" xfId="1" applyNumberFormat="1" applyFont="1" applyFill="1" applyBorder="1" applyAlignment="1">
      <alignment horizontal="center" vertical="center" wrapText="1"/>
    </xf>
    <xf numFmtId="49" fontId="5" fillId="0" borderId="3" xfId="1" applyNumberFormat="1" applyFont="1" applyFill="1" applyBorder="1" applyAlignment="1">
      <alignment horizontal="center" vertical="center" wrapText="1"/>
    </xf>
    <xf numFmtId="43" fontId="5" fillId="0" borderId="0" xfId="1" applyFont="1" applyFill="1" applyBorder="1" applyAlignment="1">
      <alignment horizontal="center" vertical="center"/>
    </xf>
    <xf numFmtId="0" fontId="13" fillId="2" borderId="0" xfId="3" applyFont="1" applyFill="1" applyBorder="1" applyAlignment="1">
      <alignment horizontal="center" vertical="center"/>
    </xf>
    <xf numFmtId="0" fontId="13" fillId="2" borderId="0" xfId="6" applyFont="1" applyFill="1" applyBorder="1" applyAlignment="1">
      <alignment horizontal="center" vertical="center"/>
    </xf>
    <xf numFmtId="176" fontId="13" fillId="0" borderId="0" xfId="6" applyNumberFormat="1" applyFont="1" applyFill="1" applyBorder="1" applyAlignment="1">
      <alignment horizontal="center" vertical="center" wrapText="1"/>
    </xf>
    <xf numFmtId="49" fontId="5" fillId="2" borderId="0" xfId="1" applyNumberFormat="1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43" fontId="5" fillId="2" borderId="0" xfId="0" applyNumberFormat="1" applyFont="1" applyFill="1" applyBorder="1" applyAlignment="1">
      <alignment horizontal="center" vertical="center"/>
    </xf>
    <xf numFmtId="0" fontId="30" fillId="2" borderId="3" xfId="0" applyFont="1" applyFill="1" applyBorder="1" applyAlignment="1">
      <alignment horizontal="center" vertical="center"/>
    </xf>
    <xf numFmtId="0" fontId="5" fillId="2" borderId="0" xfId="1" applyNumberFormat="1" applyFont="1" applyFill="1" applyBorder="1" applyAlignment="1">
      <alignment horizontal="center" vertical="center"/>
    </xf>
    <xf numFmtId="43" fontId="5" fillId="2" borderId="0" xfId="1" applyNumberFormat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 vertical="center" wrapText="1"/>
    </xf>
    <xf numFmtId="176" fontId="5" fillId="0" borderId="0" xfId="1" applyNumberFormat="1" applyFont="1" applyFill="1" applyAlignment="1">
      <alignment horizontal="center" vertical="center" wrapText="1"/>
    </xf>
    <xf numFmtId="49" fontId="5" fillId="2" borderId="0" xfId="1" applyNumberFormat="1" applyFont="1" applyFill="1" applyAlignment="1">
      <alignment horizontal="center" vertical="center"/>
    </xf>
    <xf numFmtId="176" fontId="5" fillId="2" borderId="0" xfId="1" applyNumberFormat="1" applyFont="1" applyFill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176" fontId="5" fillId="2" borderId="0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3" fontId="5" fillId="2" borderId="0" xfId="1" applyFont="1" applyFill="1" applyBorder="1" applyAlignment="1">
      <alignment horizontal="center" vertical="center"/>
    </xf>
    <xf numFmtId="43" fontId="5" fillId="0" borderId="1" xfId="1" applyFont="1" applyFill="1" applyBorder="1" applyAlignment="1">
      <alignment horizontal="center" vertical="center"/>
    </xf>
    <xf numFmtId="43" fontId="5" fillId="0" borderId="9" xfId="1" applyFont="1" applyFill="1" applyBorder="1" applyAlignment="1">
      <alignment horizontal="center" vertical="center"/>
    </xf>
    <xf numFmtId="0" fontId="45" fillId="0" borderId="3" xfId="0" applyFont="1" applyBorder="1" applyAlignment="1" applyProtection="1">
      <alignment horizontal="center"/>
      <protection hidden="1"/>
    </xf>
    <xf numFmtId="10" fontId="45" fillId="0" borderId="3" xfId="0" applyNumberFormat="1" applyFont="1" applyFill="1" applyBorder="1" applyAlignment="1" applyProtection="1">
      <alignment horizontal="center"/>
    </xf>
    <xf numFmtId="49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shrinkToFit="1"/>
    </xf>
    <xf numFmtId="49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shrinkToFit="1"/>
    </xf>
    <xf numFmtId="10" fontId="8" fillId="0" borderId="0" xfId="0" applyNumberFormat="1" applyFont="1" applyBorder="1" applyAlignment="1">
      <alignment horizontal="center" vertical="center"/>
    </xf>
    <xf numFmtId="180" fontId="8" fillId="0" borderId="0" xfId="0" applyNumberFormat="1" applyFont="1" applyAlignment="1">
      <alignment horizontal="center" vertical="center"/>
    </xf>
    <xf numFmtId="0" fontId="24" fillId="0" borderId="0" xfId="0" applyFont="1" applyBorder="1" applyAlignment="1">
      <alignment horizontal="left" vertical="center"/>
    </xf>
    <xf numFmtId="0" fontId="30" fillId="2" borderId="3" xfId="0" applyFont="1" applyFill="1" applyBorder="1" applyAlignment="1">
      <alignment horizontal="left" vertical="center"/>
    </xf>
    <xf numFmtId="0" fontId="49" fillId="0" borderId="3" xfId="0" applyFont="1" applyBorder="1" applyAlignment="1">
      <alignment horizontal="center" vertical="center"/>
    </xf>
    <xf numFmtId="0" fontId="49" fillId="0" borderId="3" xfId="0" applyFont="1" applyBorder="1" applyAlignment="1">
      <alignment horizontal="center" vertical="center" wrapText="1"/>
    </xf>
    <xf numFmtId="0" fontId="23" fillId="0" borderId="3" xfId="1" applyNumberFormat="1" applyFont="1" applyFill="1" applyBorder="1" applyAlignment="1" applyProtection="1">
      <alignment horizontal="left" vertical="center"/>
    </xf>
    <xf numFmtId="0" fontId="35" fillId="5" borderId="3" xfId="1" applyNumberFormat="1" applyFont="1" applyFill="1" applyBorder="1" applyAlignment="1" applyProtection="1">
      <alignment horizontal="left" vertical="center"/>
    </xf>
    <xf numFmtId="0" fontId="45" fillId="5" borderId="3" xfId="1" applyNumberFormat="1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76" fontId="5" fillId="0" borderId="3" xfId="1" applyNumberFormat="1" applyFont="1" applyFill="1" applyBorder="1" applyAlignment="1">
      <alignment horizontal="center" vertical="center"/>
    </xf>
    <xf numFmtId="0" fontId="42" fillId="0" borderId="3" xfId="0" applyNumberFormat="1" applyFont="1" applyBorder="1" applyAlignment="1" applyProtection="1">
      <alignment horizontal="center"/>
      <protection hidden="1"/>
    </xf>
    <xf numFmtId="0" fontId="42" fillId="0" borderId="3" xfId="0" applyNumberFormat="1" applyFont="1" applyBorder="1" applyAlignment="1" applyProtection="1">
      <alignment horizontal="center"/>
    </xf>
    <xf numFmtId="0" fontId="8" fillId="0" borderId="0" xfId="0" applyNumberFormat="1" applyFont="1" applyAlignment="1">
      <alignment horizontal="center" vertical="center"/>
    </xf>
    <xf numFmtId="0" fontId="43" fillId="0" borderId="3" xfId="0" applyNumberFormat="1" applyFont="1" applyBorder="1" applyAlignment="1" applyProtection="1">
      <alignment horizontal="center" vertical="center" wrapText="1"/>
      <protection hidden="1"/>
    </xf>
    <xf numFmtId="0" fontId="43" fillId="0" borderId="3" xfId="0" applyNumberFormat="1" applyFont="1" applyBorder="1" applyAlignment="1" applyProtection="1">
      <alignment horizontal="center" vertical="center" wrapText="1" shrinkToFit="1"/>
    </xf>
    <xf numFmtId="0" fontId="24" fillId="2" borderId="3" xfId="1" applyNumberFormat="1" applyFont="1" applyFill="1" applyBorder="1" applyAlignment="1">
      <alignment horizontal="center" vertical="center" wrapText="1"/>
    </xf>
    <xf numFmtId="0" fontId="43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42" fillId="0" borderId="3" xfId="1" applyNumberFormat="1" applyFont="1" applyFill="1" applyBorder="1" applyAlignment="1" applyProtection="1">
      <alignment horizontal="center" vertical="center"/>
    </xf>
    <xf numFmtId="0" fontId="42" fillId="0" borderId="3" xfId="1" applyNumberFormat="1" applyFont="1" applyFill="1" applyBorder="1" applyAlignment="1" applyProtection="1">
      <alignment horizontal="center" vertical="center"/>
      <protection hidden="1"/>
    </xf>
    <xf numFmtId="0" fontId="43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24" fillId="0" borderId="3" xfId="1" applyNumberFormat="1" applyFont="1" applyFill="1" applyBorder="1" applyAlignment="1" applyProtection="1">
      <alignment horizontal="center" vertical="center"/>
      <protection hidden="1"/>
    </xf>
    <xf numFmtId="0" fontId="42" fillId="0" borderId="3" xfId="0" applyNumberFormat="1" applyFont="1" applyFill="1" applyBorder="1" applyAlignment="1" applyProtection="1">
      <alignment horizontal="center" vertical="center" wrapText="1"/>
    </xf>
    <xf numFmtId="0" fontId="44" fillId="8" borderId="3" xfId="9" applyNumberFormat="1" applyFont="1" applyFill="1" applyBorder="1" applyAlignment="1" applyProtection="1">
      <alignment horizontal="center" vertical="center" wrapText="1"/>
    </xf>
    <xf numFmtId="0" fontId="43" fillId="0" borderId="3" xfId="0" applyNumberFormat="1" applyFont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0" fontId="13" fillId="2" borderId="0" xfId="3" applyNumberFormat="1" applyFont="1" applyFill="1" applyBorder="1" applyAlignment="1">
      <alignment horizontal="center" vertical="center"/>
    </xf>
    <xf numFmtId="0" fontId="13" fillId="2" borderId="0" xfId="6" applyNumberFormat="1" applyFont="1" applyFill="1" applyBorder="1" applyAlignment="1">
      <alignment horizontal="center" vertical="center"/>
    </xf>
    <xf numFmtId="0" fontId="13" fillId="0" borderId="0" xfId="6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10" fontId="5" fillId="2" borderId="0" xfId="1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center" vertical="center"/>
    </xf>
    <xf numFmtId="0" fontId="46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45" fillId="0" borderId="3" xfId="1" applyNumberFormat="1" applyFont="1" applyFill="1" applyBorder="1" applyAlignment="1" applyProtection="1">
      <alignment horizontal="center" vertical="center"/>
    </xf>
    <xf numFmtId="0" fontId="45" fillId="0" borderId="3" xfId="1" applyNumberFormat="1" applyFont="1" applyFill="1" applyBorder="1" applyAlignment="1" applyProtection="1">
      <alignment horizontal="center" vertical="center"/>
      <protection hidden="1"/>
    </xf>
    <xf numFmtId="0" fontId="30" fillId="0" borderId="3" xfId="0" applyNumberFormat="1" applyFont="1" applyFill="1" applyBorder="1" applyAlignment="1">
      <alignment horizontal="center" vertical="center"/>
    </xf>
    <xf numFmtId="0" fontId="30" fillId="0" borderId="0" xfId="0" applyNumberFormat="1" applyFont="1" applyFill="1" applyAlignment="1">
      <alignment horizontal="center" vertical="center"/>
    </xf>
    <xf numFmtId="0" fontId="46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45" fillId="0" borderId="3" xfId="1" applyNumberFormat="1" applyFont="1" applyFill="1" applyBorder="1" applyAlignment="1" applyProtection="1">
      <alignment horizontal="center"/>
    </xf>
    <xf numFmtId="0" fontId="45" fillId="0" borderId="3" xfId="1" applyNumberFormat="1" applyFont="1" applyFill="1" applyBorder="1" applyAlignment="1" applyProtection="1">
      <alignment horizontal="center"/>
      <protection hidden="1"/>
    </xf>
    <xf numFmtId="0" fontId="30" fillId="2" borderId="0" xfId="0" applyNumberFormat="1" applyFont="1" applyFill="1" applyBorder="1" applyAlignment="1">
      <alignment horizontal="center" vertical="center"/>
    </xf>
    <xf numFmtId="0" fontId="30" fillId="2" borderId="0" xfId="0" applyNumberFormat="1" applyFont="1" applyFill="1" applyAlignment="1">
      <alignment horizontal="center" vertical="center"/>
    </xf>
    <xf numFmtId="0" fontId="4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9" fillId="0" borderId="3" xfId="1" applyNumberFormat="1" applyFont="1" applyFill="1" applyBorder="1" applyAlignment="1" applyProtection="1">
      <alignment horizontal="center" vertical="center"/>
      <protection hidden="1"/>
    </xf>
    <xf numFmtId="179" fontId="5" fillId="2" borderId="0" xfId="1" applyNumberFormat="1" applyFont="1" applyFill="1" applyBorder="1" applyAlignment="1">
      <alignment horizontal="center" vertical="center"/>
    </xf>
    <xf numFmtId="179" fontId="5" fillId="2" borderId="0" xfId="0" applyNumberFormat="1" applyFont="1" applyFill="1" applyBorder="1" applyAlignment="1">
      <alignment horizontal="center" vertical="center"/>
    </xf>
    <xf numFmtId="0" fontId="5" fillId="2" borderId="0" xfId="1" applyNumberFormat="1" applyFont="1" applyFill="1" applyBorder="1" applyAlignment="1">
      <alignment vertical="center"/>
    </xf>
    <xf numFmtId="0" fontId="33" fillId="2" borderId="0" xfId="0" applyNumberFormat="1" applyFont="1" applyFill="1" applyBorder="1" applyAlignment="1">
      <alignment horizontal="left" vertical="center"/>
    </xf>
    <xf numFmtId="0" fontId="34" fillId="0" borderId="3" xfId="0" applyNumberFormat="1" applyFont="1" applyBorder="1" applyAlignment="1" applyProtection="1">
      <alignment horizontal="left" vertical="center" wrapText="1"/>
      <protection hidden="1"/>
    </xf>
    <xf numFmtId="0" fontId="34" fillId="0" borderId="3" xfId="0" applyNumberFormat="1" applyFont="1" applyBorder="1" applyAlignment="1" applyProtection="1">
      <alignment horizontal="left" vertical="center" wrapText="1" shrinkToFit="1"/>
    </xf>
    <xf numFmtId="0" fontId="29" fillId="2" borderId="3" xfId="1" applyNumberFormat="1" applyFont="1" applyFill="1" applyBorder="1" applyAlignment="1">
      <alignment horizontal="left" vertical="center" wrapText="1"/>
    </xf>
    <xf numFmtId="0" fontId="29" fillId="2" borderId="3" xfId="1" applyNumberFormat="1" applyFont="1" applyFill="1" applyBorder="1" applyAlignment="1">
      <alignment horizontal="center" vertical="center" wrapText="1"/>
    </xf>
    <xf numFmtId="0" fontId="30" fillId="2" borderId="0" xfId="0" applyNumberFormat="1" applyFont="1" applyFill="1" applyAlignment="1">
      <alignment horizontal="left" vertical="center"/>
    </xf>
    <xf numFmtId="0" fontId="31" fillId="2" borderId="0" xfId="0" applyNumberFormat="1" applyFont="1" applyFill="1" applyAlignment="1">
      <alignment horizontal="left" vertical="center"/>
    </xf>
    <xf numFmtId="0" fontId="33" fillId="2" borderId="0" xfId="0" applyNumberFormat="1" applyFont="1" applyFill="1" applyAlignment="1">
      <alignment horizontal="left" vertical="center"/>
    </xf>
    <xf numFmtId="0" fontId="33" fillId="0" borderId="0" xfId="0" applyNumberFormat="1" applyFont="1" applyFill="1" applyBorder="1" applyAlignment="1">
      <alignment horizontal="left" vertical="center"/>
    </xf>
    <xf numFmtId="0" fontId="34" fillId="0" borderId="3" xfId="0" applyNumberFormat="1" applyFont="1" applyFill="1" applyBorder="1" applyAlignment="1" applyProtection="1">
      <alignment horizontal="left" vertical="center" wrapText="1"/>
      <protection hidden="1"/>
    </xf>
    <xf numFmtId="0" fontId="35" fillId="0" borderId="3" xfId="1" applyNumberFormat="1" applyFont="1" applyFill="1" applyBorder="1" applyAlignment="1" applyProtection="1">
      <alignment horizontal="left" vertical="center"/>
    </xf>
    <xf numFmtId="0" fontId="35" fillId="0" borderId="3" xfId="1" applyNumberFormat="1" applyFont="1" applyFill="1" applyBorder="1" applyAlignment="1" applyProtection="1">
      <alignment horizontal="left" vertical="center"/>
      <protection hidden="1"/>
    </xf>
    <xf numFmtId="0" fontId="35" fillId="0" borderId="3" xfId="1" applyNumberFormat="1" applyFont="1" applyFill="1" applyBorder="1" applyAlignment="1" applyProtection="1">
      <alignment horizontal="center" vertical="center"/>
      <protection hidden="1"/>
    </xf>
    <xf numFmtId="0" fontId="30" fillId="0" borderId="3" xfId="0" applyNumberFormat="1" applyFont="1" applyFill="1" applyBorder="1" applyAlignment="1">
      <alignment horizontal="left" vertical="center"/>
    </xf>
    <xf numFmtId="0" fontId="30" fillId="0" borderId="0" xfId="0" applyNumberFormat="1" applyFont="1" applyFill="1" applyAlignment="1">
      <alignment horizontal="left" vertical="center"/>
    </xf>
    <xf numFmtId="0" fontId="31" fillId="0" borderId="0" xfId="0" applyNumberFormat="1" applyFont="1" applyFill="1" applyAlignment="1">
      <alignment horizontal="left" vertical="center"/>
    </xf>
    <xf numFmtId="0" fontId="33" fillId="0" borderId="0" xfId="0" applyNumberFormat="1" applyFont="1" applyFill="1" applyAlignment="1">
      <alignment horizontal="left" vertical="center"/>
    </xf>
    <xf numFmtId="0" fontId="35" fillId="0" borderId="3" xfId="1" applyNumberFormat="1" applyFont="1" applyBorder="1" applyAlignment="1" applyProtection="1">
      <alignment horizontal="left" vertical="center"/>
    </xf>
    <xf numFmtId="0" fontId="35" fillId="0" borderId="3" xfId="1" applyNumberFormat="1" applyFont="1" applyBorder="1" applyAlignment="1" applyProtection="1">
      <alignment horizontal="left" vertical="center"/>
      <protection hidden="1"/>
    </xf>
    <xf numFmtId="0" fontId="35" fillId="0" borderId="3" xfId="1" applyNumberFormat="1" applyFont="1" applyBorder="1" applyAlignment="1" applyProtection="1">
      <alignment horizontal="center" vertical="center"/>
      <protection hidden="1"/>
    </xf>
    <xf numFmtId="0" fontId="34" fillId="0" borderId="3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3" xfId="1" applyNumberFormat="1" applyFont="1" applyFill="1" applyBorder="1" applyAlignment="1" applyProtection="1">
      <alignment horizontal="left"/>
    </xf>
    <xf numFmtId="0" fontId="35" fillId="0" borderId="3" xfId="1" applyNumberFormat="1" applyFont="1" applyFill="1" applyBorder="1" applyAlignment="1" applyProtection="1">
      <alignment horizontal="left"/>
      <protection hidden="1"/>
    </xf>
    <xf numFmtId="0" fontId="35" fillId="0" borderId="3" xfId="1" applyNumberFormat="1" applyFont="1" applyFill="1" applyBorder="1" applyAlignment="1" applyProtection="1">
      <alignment horizontal="center"/>
      <protection hidden="1"/>
    </xf>
    <xf numFmtId="0" fontId="35" fillId="0" borderId="3" xfId="0" applyNumberFormat="1" applyFont="1" applyFill="1" applyBorder="1" applyAlignment="1" applyProtection="1">
      <alignment horizontal="left" vertical="center" wrapText="1"/>
      <protection hidden="1"/>
    </xf>
    <xf numFmtId="0" fontId="36" fillId="0" borderId="3" xfId="1" applyNumberFormat="1" applyFont="1" applyFill="1" applyBorder="1" applyAlignment="1" applyProtection="1">
      <alignment horizontal="left" vertical="center"/>
      <protection hidden="1"/>
    </xf>
    <xf numFmtId="0" fontId="36" fillId="0" borderId="3" xfId="1" applyNumberFormat="1" applyFont="1" applyFill="1" applyBorder="1" applyAlignment="1" applyProtection="1">
      <alignment horizontal="center" vertical="center"/>
      <protection hidden="1"/>
    </xf>
    <xf numFmtId="0" fontId="35" fillId="0" borderId="3" xfId="0" applyNumberFormat="1" applyFont="1" applyFill="1" applyBorder="1" applyAlignment="1" applyProtection="1">
      <alignment horizontal="left" vertical="center" wrapText="1"/>
    </xf>
    <xf numFmtId="176" fontId="35" fillId="0" borderId="3" xfId="1" applyNumberFormat="1" applyFont="1" applyFill="1" applyBorder="1" applyAlignment="1" applyProtection="1">
      <alignment horizontal="left" vertical="center"/>
      <protection hidden="1"/>
    </xf>
    <xf numFmtId="176" fontId="35" fillId="0" borderId="3" xfId="1" applyNumberFormat="1" applyFont="1" applyFill="1" applyBorder="1" applyAlignment="1" applyProtection="1">
      <alignment horizontal="center" vertical="center"/>
      <protection hidden="1"/>
    </xf>
    <xf numFmtId="176" fontId="5" fillId="0" borderId="4" xfId="1" applyNumberFormat="1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0" fontId="33" fillId="2" borderId="0" xfId="0" applyNumberFormat="1" applyFont="1" applyFill="1" applyBorder="1" applyAlignment="1">
      <alignment horizontal="left" vertical="center" shrinkToFit="1"/>
    </xf>
    <xf numFmtId="0" fontId="30" fillId="2" borderId="0" xfId="1" applyNumberFormat="1" applyFont="1" applyFill="1" applyBorder="1" applyAlignment="1">
      <alignment horizontal="left" vertical="center" wrapText="1"/>
    </xf>
    <xf numFmtId="0" fontId="30" fillId="2" borderId="0" xfId="0" applyNumberFormat="1" applyFont="1" applyFill="1" applyBorder="1" applyAlignment="1">
      <alignment horizontal="left" vertical="center"/>
    </xf>
    <xf numFmtId="180" fontId="34" fillId="0" borderId="0" xfId="0" applyNumberFormat="1" applyFont="1" applyBorder="1" applyAlignment="1" applyProtection="1">
      <alignment horizontal="left" vertical="center" wrapText="1"/>
      <protection hidden="1"/>
    </xf>
    <xf numFmtId="180" fontId="34" fillId="0" borderId="0" xfId="0" applyNumberFormat="1" applyFont="1" applyBorder="1" applyAlignment="1" applyProtection="1">
      <alignment horizontal="left" vertical="center" wrapText="1"/>
    </xf>
    <xf numFmtId="180" fontId="30" fillId="2" borderId="0" xfId="0" applyNumberFormat="1" applyFont="1" applyFill="1" applyBorder="1" applyAlignment="1">
      <alignment horizontal="left" vertical="center"/>
    </xf>
    <xf numFmtId="180" fontId="34" fillId="0" borderId="16" xfId="0" applyNumberFormat="1" applyFont="1" applyBorder="1" applyAlignment="1" applyProtection="1">
      <alignment horizontal="left" vertical="center" wrapText="1"/>
    </xf>
    <xf numFmtId="180" fontId="30" fillId="2" borderId="16" xfId="0" applyNumberFormat="1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left" vertical="center"/>
    </xf>
    <xf numFmtId="180" fontId="46" fillId="0" borderId="0" xfId="0" applyNumberFormat="1" applyFont="1" applyBorder="1" applyAlignment="1" applyProtection="1">
      <alignment horizontal="center" vertical="center" wrapText="1"/>
      <protection hidden="1"/>
    </xf>
    <xf numFmtId="179" fontId="46" fillId="0" borderId="0" xfId="0" applyNumberFormat="1" applyFont="1" applyFill="1" applyBorder="1" applyAlignment="1" applyProtection="1">
      <alignment horizontal="center" vertical="center" wrapText="1"/>
    </xf>
    <xf numFmtId="179" fontId="30" fillId="0" borderId="0" xfId="0" applyNumberFormat="1" applyFont="1" applyFill="1" applyBorder="1" applyAlignment="1">
      <alignment horizontal="center" vertical="center"/>
    </xf>
    <xf numFmtId="0" fontId="46" fillId="0" borderId="0" xfId="0" applyNumberFormat="1" applyFont="1" applyBorder="1" applyAlignment="1" applyProtection="1">
      <alignment horizontal="center" vertical="center" wrapText="1"/>
      <protection hidden="1"/>
    </xf>
    <xf numFmtId="0" fontId="46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0" fillId="2" borderId="3" xfId="0" applyNumberFormat="1" applyFont="1" applyFill="1" applyBorder="1" applyAlignment="1">
      <alignment horizontal="left" vertical="center"/>
    </xf>
    <xf numFmtId="0" fontId="46" fillId="0" borderId="3" xfId="0" applyNumberFormat="1" applyFont="1" applyBorder="1" applyAlignment="1" applyProtection="1">
      <alignment horizontal="center" vertical="center" wrapText="1"/>
      <protection hidden="1"/>
    </xf>
    <xf numFmtId="0" fontId="46" fillId="0" borderId="3" xfId="0" applyNumberFormat="1" applyFont="1" applyFill="1" applyBorder="1" applyAlignment="1" applyProtection="1">
      <alignment horizontal="center" vertical="center" wrapText="1" shrinkToFit="1"/>
    </xf>
    <xf numFmtId="0" fontId="6" fillId="2" borderId="3" xfId="1" applyNumberFormat="1" applyFont="1" applyFill="1" applyBorder="1" applyAlignment="1">
      <alignment horizontal="center" vertical="center" wrapText="1"/>
    </xf>
    <xf numFmtId="0" fontId="45" fillId="0" borderId="3" xfId="1" applyNumberFormat="1" applyFont="1" applyBorder="1" applyAlignment="1" applyProtection="1">
      <alignment horizontal="center" vertical="center"/>
      <protection hidden="1"/>
    </xf>
    <xf numFmtId="0" fontId="45" fillId="0" borderId="3" xfId="0" applyNumberFormat="1" applyFont="1" applyFill="1" applyBorder="1" applyAlignment="1" applyProtection="1">
      <alignment horizontal="center" vertical="center" wrapText="1"/>
    </xf>
    <xf numFmtId="0" fontId="48" fillId="8" borderId="3" xfId="9" applyNumberFormat="1" applyFont="1" applyFill="1" applyBorder="1" applyAlignment="1" applyProtection="1">
      <alignment horizontal="center" vertical="center" wrapText="1"/>
    </xf>
    <xf numFmtId="0" fontId="46" fillId="0" borderId="3" xfId="0" applyNumberFormat="1" applyFont="1" applyFill="1" applyBorder="1" applyAlignment="1" applyProtection="1">
      <alignment horizontal="center" vertical="center" wrapText="1"/>
    </xf>
    <xf numFmtId="0" fontId="30" fillId="2" borderId="3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57" fontId="50" fillId="0" borderId="0" xfId="0" applyNumberFormat="1" applyFont="1" applyAlignment="1">
      <alignment horizontal="center" vertical="center"/>
    </xf>
    <xf numFmtId="0" fontId="11" fillId="0" borderId="0" xfId="0" applyNumberFormat="1" applyFont="1" applyFill="1" applyBorder="1" applyAlignment="1">
      <alignment horizontal="left" vertical="center"/>
    </xf>
    <xf numFmtId="0" fontId="22" fillId="0" borderId="3" xfId="1" applyNumberFormat="1" applyFont="1" applyFill="1" applyBorder="1" applyAlignment="1" applyProtection="1">
      <alignment horizontal="left" vertical="center" wrapText="1"/>
      <protection hidden="1"/>
    </xf>
    <xf numFmtId="0" fontId="23" fillId="0" borderId="3" xfId="1" applyNumberFormat="1" applyFont="1" applyFill="1" applyBorder="1" applyAlignment="1" applyProtection="1">
      <alignment horizontal="left" vertical="center"/>
      <protection hidden="1"/>
    </xf>
    <xf numFmtId="0" fontId="5" fillId="0" borderId="3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Alignment="1">
      <alignment horizontal="left" vertical="center"/>
    </xf>
    <xf numFmtId="0" fontId="8" fillId="0" borderId="0" xfId="0" applyNumberFormat="1" applyFont="1" applyFill="1" applyAlignment="1">
      <alignment horizontal="left" vertical="center"/>
    </xf>
    <xf numFmtId="0" fontId="11" fillId="0" borderId="0" xfId="0" applyNumberFormat="1" applyFont="1" applyFill="1" applyAlignment="1">
      <alignment horizontal="left" vertical="center"/>
    </xf>
    <xf numFmtId="0" fontId="22" fillId="0" borderId="3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3" xfId="1" applyNumberFormat="1" applyFont="1" applyFill="1" applyBorder="1" applyAlignment="1" applyProtection="1">
      <alignment horizontal="left"/>
    </xf>
    <xf numFmtId="0" fontId="23" fillId="0" borderId="3" xfId="1" applyNumberFormat="1" applyFont="1" applyFill="1" applyBorder="1" applyAlignment="1" applyProtection="1">
      <alignment horizontal="left"/>
      <protection hidden="1"/>
    </xf>
    <xf numFmtId="0" fontId="11" fillId="2" borderId="0" xfId="0" applyNumberFormat="1" applyFont="1" applyFill="1" applyBorder="1" applyAlignment="1">
      <alignment horizontal="left" vertical="center"/>
    </xf>
    <xf numFmtId="0" fontId="5" fillId="2" borderId="0" xfId="0" applyNumberFormat="1" applyFont="1" applyFill="1" applyAlignment="1">
      <alignment horizontal="left" vertical="center"/>
    </xf>
    <xf numFmtId="0" fontId="8" fillId="2" borderId="0" xfId="0" applyNumberFormat="1" applyFont="1" applyFill="1" applyAlignment="1">
      <alignment horizontal="left" vertical="center"/>
    </xf>
    <xf numFmtId="0" fontId="11" fillId="2" borderId="0" xfId="0" applyNumberFormat="1" applyFont="1" applyFill="1" applyAlignment="1">
      <alignment horizontal="left" vertical="center"/>
    </xf>
    <xf numFmtId="0" fontId="23" fillId="5" borderId="3" xfId="1" applyNumberFormat="1" applyFont="1" applyFill="1" applyBorder="1" applyAlignment="1" applyProtection="1">
      <alignment horizontal="left" vertical="center"/>
    </xf>
    <xf numFmtId="0" fontId="23" fillId="0" borderId="3" xfId="1" applyNumberFormat="1" applyFont="1" applyBorder="1" applyAlignment="1" applyProtection="1">
      <alignment horizontal="left" vertical="center"/>
    </xf>
    <xf numFmtId="0" fontId="23" fillId="0" borderId="3" xfId="1" applyNumberFormat="1" applyFont="1" applyBorder="1" applyAlignment="1" applyProtection="1">
      <alignment horizontal="left" vertical="center"/>
      <protection hidden="1"/>
    </xf>
    <xf numFmtId="0" fontId="5" fillId="2" borderId="3" xfId="0" applyNumberFormat="1" applyFont="1" applyFill="1" applyBorder="1" applyAlignment="1">
      <alignment horizontal="left" vertical="center"/>
    </xf>
    <xf numFmtId="0" fontId="23" fillId="0" borderId="3" xfId="0" applyNumberFormat="1" applyFont="1" applyFill="1" applyBorder="1" applyAlignment="1" applyProtection="1">
      <alignment horizontal="left" vertical="center" wrapText="1"/>
      <protection hidden="1"/>
    </xf>
    <xf numFmtId="0" fontId="25" fillId="0" borderId="3" xfId="1" applyNumberFormat="1" applyFont="1" applyFill="1" applyBorder="1" applyAlignment="1" applyProtection="1">
      <alignment horizontal="left" vertical="center"/>
      <protection hidden="1"/>
    </xf>
    <xf numFmtId="0" fontId="8" fillId="0" borderId="0" xfId="0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0" fontId="43" fillId="0" borderId="3" xfId="0" applyNumberFormat="1" applyFont="1" applyBorder="1" applyAlignment="1" applyProtection="1">
      <alignment horizontal="center"/>
      <protection hidden="1"/>
    </xf>
    <xf numFmtId="0" fontId="42" fillId="0" borderId="17" xfId="0" applyNumberFormat="1" applyFont="1" applyFill="1" applyBorder="1" applyAlignment="1" applyProtection="1">
      <alignment horizontal="center" vertical="center" wrapText="1"/>
      <protection hidden="1"/>
    </xf>
    <xf numFmtId="0" fontId="42" fillId="0" borderId="18" xfId="0" applyNumberFormat="1" applyFont="1" applyFill="1" applyBorder="1" applyAlignment="1" applyProtection="1">
      <alignment horizontal="center" vertical="center" wrapText="1"/>
      <protection hidden="1"/>
    </xf>
    <xf numFmtId="0" fontId="42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43" fillId="0" borderId="17" xfId="0" applyNumberFormat="1" applyFont="1" applyBorder="1" applyAlignment="1" applyProtection="1">
      <alignment horizontal="center" vertical="center" wrapText="1"/>
      <protection hidden="1"/>
    </xf>
    <xf numFmtId="0" fontId="43" fillId="0" borderId="18" xfId="0" applyNumberFormat="1" applyFont="1" applyBorder="1" applyAlignment="1" applyProtection="1">
      <alignment horizontal="center" vertical="center" wrapText="1"/>
      <protection hidden="1"/>
    </xf>
    <xf numFmtId="0" fontId="43" fillId="0" borderId="11" xfId="0" applyNumberFormat="1" applyFont="1" applyBorder="1" applyAlignment="1" applyProtection="1">
      <alignment horizontal="center" vertical="center" wrapText="1"/>
      <protection hidden="1"/>
    </xf>
    <xf numFmtId="180" fontId="42" fillId="0" borderId="17" xfId="0" applyNumberFormat="1" applyFont="1" applyFill="1" applyBorder="1" applyAlignment="1" applyProtection="1">
      <alignment horizontal="center" vertical="center" wrapText="1"/>
      <protection hidden="1"/>
    </xf>
    <xf numFmtId="180" fontId="42" fillId="0" borderId="18" xfId="0" applyNumberFormat="1" applyFont="1" applyFill="1" applyBorder="1" applyAlignment="1" applyProtection="1">
      <alignment horizontal="center" vertical="center" wrapText="1"/>
      <protection hidden="1"/>
    </xf>
    <xf numFmtId="180" fontId="42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12" xfId="0" applyFont="1" applyBorder="1" applyAlignment="1">
      <alignment horizontal="left" vertical="center"/>
    </xf>
    <xf numFmtId="10" fontId="8" fillId="0" borderId="0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179" fontId="30" fillId="2" borderId="19" xfId="1" applyNumberFormat="1" applyFont="1" applyFill="1" applyBorder="1" applyAlignment="1">
      <alignment horizontal="center" vertical="center"/>
    </xf>
    <xf numFmtId="0" fontId="30" fillId="2" borderId="19" xfId="1" applyNumberFormat="1" applyFont="1" applyFill="1" applyBorder="1" applyAlignment="1">
      <alignment horizontal="center" vertical="center"/>
    </xf>
    <xf numFmtId="0" fontId="30" fillId="2" borderId="0" xfId="1" applyNumberFormat="1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left" vertical="center"/>
    </xf>
    <xf numFmtId="49" fontId="29" fillId="0" borderId="3" xfId="2" applyNumberFormat="1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 shrinkToFit="1"/>
    </xf>
    <xf numFmtId="176" fontId="30" fillId="0" borderId="3" xfId="1" applyNumberFormat="1" applyFont="1" applyFill="1" applyBorder="1" applyAlignment="1">
      <alignment horizontal="left" vertical="center" wrapText="1"/>
    </xf>
    <xf numFmtId="49" fontId="30" fillId="0" borderId="3" xfId="1" applyNumberFormat="1" applyFont="1" applyFill="1" applyBorder="1" applyAlignment="1">
      <alignment horizontal="left" vertical="center" wrapText="1"/>
    </xf>
    <xf numFmtId="176" fontId="30" fillId="0" borderId="3" xfId="1" applyNumberFormat="1" applyFont="1" applyFill="1" applyBorder="1" applyAlignment="1">
      <alignment horizontal="left" vertical="center"/>
    </xf>
    <xf numFmtId="43" fontId="30" fillId="0" borderId="3" xfId="1" applyNumberFormat="1" applyFont="1" applyFill="1" applyBorder="1" applyAlignment="1">
      <alignment horizontal="left" vertical="center"/>
    </xf>
    <xf numFmtId="43" fontId="30" fillId="0" borderId="16" xfId="1" applyNumberFormat="1" applyFont="1" applyFill="1" applyBorder="1" applyAlignment="1">
      <alignment horizontal="left" vertical="center"/>
    </xf>
    <xf numFmtId="43" fontId="30" fillId="0" borderId="10" xfId="1" applyNumberFormat="1" applyFont="1" applyFill="1" applyBorder="1" applyAlignment="1">
      <alignment horizontal="left" vertical="center"/>
    </xf>
    <xf numFmtId="49" fontId="30" fillId="0" borderId="16" xfId="1" applyNumberFormat="1" applyFont="1" applyFill="1" applyBorder="1" applyAlignment="1">
      <alignment horizontal="left" vertical="center" wrapText="1"/>
    </xf>
    <xf numFmtId="49" fontId="30" fillId="0" borderId="10" xfId="1" applyNumberFormat="1" applyFont="1" applyFill="1" applyBorder="1" applyAlignment="1">
      <alignment horizontal="left" vertical="center" wrapText="1"/>
    </xf>
    <xf numFmtId="0" fontId="30" fillId="2" borderId="3" xfId="0" applyFont="1" applyFill="1" applyBorder="1" applyAlignment="1">
      <alignment horizontal="left" vertical="center"/>
    </xf>
    <xf numFmtId="49" fontId="30" fillId="2" borderId="3" xfId="1" applyNumberFormat="1" applyFont="1" applyFill="1" applyBorder="1" applyAlignment="1">
      <alignment horizontal="left" vertical="center" wrapText="1"/>
    </xf>
    <xf numFmtId="0" fontId="29" fillId="2" borderId="3" xfId="0" applyFont="1" applyFill="1" applyBorder="1" applyAlignment="1">
      <alignment horizontal="left" vertical="center" wrapText="1" shrinkToFit="1"/>
    </xf>
    <xf numFmtId="176" fontId="30" fillId="2" borderId="3" xfId="1" applyNumberFormat="1" applyFont="1" applyFill="1" applyBorder="1" applyAlignment="1">
      <alignment horizontal="left" vertical="center" wrapText="1"/>
    </xf>
    <xf numFmtId="49" fontId="29" fillId="2" borderId="3" xfId="2" applyNumberFormat="1" applyFont="1" applyFill="1" applyBorder="1" applyAlignment="1">
      <alignment horizontal="left" vertical="center" wrapText="1"/>
    </xf>
    <xf numFmtId="180" fontId="34" fillId="0" borderId="17" xfId="0" applyNumberFormat="1" applyFont="1" applyBorder="1" applyAlignment="1" applyProtection="1">
      <alignment horizontal="left" vertical="center" wrapText="1"/>
      <protection hidden="1"/>
    </xf>
    <xf numFmtId="180" fontId="34" fillId="0" borderId="18" xfId="0" applyNumberFormat="1" applyFont="1" applyBorder="1" applyAlignment="1" applyProtection="1">
      <alignment horizontal="left" vertical="center" wrapText="1"/>
      <protection hidden="1"/>
    </xf>
    <xf numFmtId="180" fontId="34" fillId="0" borderId="11" xfId="0" applyNumberFormat="1" applyFont="1" applyBorder="1" applyAlignment="1" applyProtection="1">
      <alignment horizontal="left" vertical="center" wrapText="1"/>
      <protection hidden="1"/>
    </xf>
    <xf numFmtId="176" fontId="30" fillId="2" borderId="16" xfId="6" applyNumberFormat="1" applyFont="1" applyFill="1" applyBorder="1" applyAlignment="1">
      <alignment horizontal="left" vertical="center" wrapText="1"/>
    </xf>
    <xf numFmtId="176" fontId="30" fillId="2" borderId="10" xfId="6" applyNumberFormat="1" applyFont="1" applyFill="1" applyBorder="1" applyAlignment="1">
      <alignment horizontal="left" vertical="center" wrapText="1"/>
    </xf>
    <xf numFmtId="49" fontId="30" fillId="2" borderId="16" xfId="1" applyNumberFormat="1" applyFont="1" applyFill="1" applyBorder="1" applyAlignment="1">
      <alignment horizontal="left" vertical="center"/>
    </xf>
    <xf numFmtId="49" fontId="30" fillId="2" borderId="10" xfId="1" applyNumberFormat="1" applyFont="1" applyFill="1" applyBorder="1" applyAlignment="1">
      <alignment horizontal="left" vertical="center"/>
    </xf>
    <xf numFmtId="176" fontId="30" fillId="2" borderId="16" xfId="1" applyNumberFormat="1" applyFont="1" applyFill="1" applyBorder="1" applyAlignment="1">
      <alignment horizontal="left" vertical="center"/>
    </xf>
    <xf numFmtId="176" fontId="30" fillId="2" borderId="10" xfId="1" applyNumberFormat="1" applyFont="1" applyFill="1" applyBorder="1" applyAlignment="1">
      <alignment horizontal="left" vertical="center"/>
    </xf>
    <xf numFmtId="176" fontId="30" fillId="2" borderId="16" xfId="0" applyNumberFormat="1" applyFont="1" applyFill="1" applyBorder="1" applyAlignment="1">
      <alignment horizontal="left" vertical="center"/>
    </xf>
    <xf numFmtId="176" fontId="30" fillId="2" borderId="10" xfId="0" applyNumberFormat="1" applyFont="1" applyFill="1" applyBorder="1" applyAlignment="1">
      <alignment horizontal="left" vertical="center"/>
    </xf>
    <xf numFmtId="176" fontId="30" fillId="2" borderId="3" xfId="1" applyNumberFormat="1" applyFont="1" applyFill="1" applyBorder="1" applyAlignment="1">
      <alignment horizontal="left" vertical="center"/>
    </xf>
    <xf numFmtId="43" fontId="30" fillId="2" borderId="3" xfId="1" applyNumberFormat="1" applyFont="1" applyFill="1" applyBorder="1" applyAlignment="1">
      <alignment horizontal="left" vertical="center"/>
    </xf>
    <xf numFmtId="177" fontId="29" fillId="2" borderId="3" xfId="1" applyNumberFormat="1" applyFont="1" applyFill="1" applyBorder="1" applyAlignment="1">
      <alignment horizontal="left" vertical="center" wrapText="1"/>
    </xf>
    <xf numFmtId="177" fontId="28" fillId="2" borderId="3" xfId="1" applyNumberFormat="1" applyFont="1" applyFill="1" applyBorder="1" applyAlignment="1">
      <alignment horizontal="left" vertical="center" wrapText="1"/>
    </xf>
    <xf numFmtId="177" fontId="29" fillId="0" borderId="3" xfId="1" applyNumberFormat="1" applyFont="1" applyFill="1" applyBorder="1" applyAlignment="1">
      <alignment horizontal="left" vertical="center" wrapText="1"/>
    </xf>
    <xf numFmtId="49" fontId="28" fillId="2" borderId="3" xfId="0" applyNumberFormat="1" applyFont="1" applyFill="1" applyBorder="1" applyAlignment="1">
      <alignment horizontal="left" vertical="center"/>
    </xf>
    <xf numFmtId="0" fontId="28" fillId="2" borderId="3" xfId="0" applyFont="1" applyFill="1" applyBorder="1" applyAlignment="1">
      <alignment horizontal="left" vertical="center" shrinkToFit="1"/>
    </xf>
    <xf numFmtId="176" fontId="29" fillId="2" borderId="3" xfId="1" applyNumberFormat="1" applyFont="1" applyFill="1" applyBorder="1" applyAlignment="1">
      <alignment horizontal="left" vertical="center" wrapText="1"/>
    </xf>
    <xf numFmtId="49" fontId="29" fillId="2" borderId="3" xfId="1" applyNumberFormat="1" applyFont="1" applyFill="1" applyBorder="1" applyAlignment="1">
      <alignment horizontal="left" vertical="center" wrapText="1"/>
    </xf>
    <xf numFmtId="0" fontId="29" fillId="2" borderId="3" xfId="0" applyFont="1" applyFill="1" applyBorder="1" applyAlignment="1">
      <alignment horizontal="left" vertical="center" wrapText="1"/>
    </xf>
    <xf numFmtId="43" fontId="27" fillId="2" borderId="3" xfId="1" applyFont="1" applyFill="1" applyBorder="1" applyAlignment="1">
      <alignment horizontal="left" vertical="center"/>
    </xf>
    <xf numFmtId="180" fontId="35" fillId="0" borderId="17" xfId="0" applyNumberFormat="1" applyFont="1" applyFill="1" applyBorder="1" applyAlignment="1" applyProtection="1">
      <alignment horizontal="left" vertical="center" wrapText="1"/>
      <protection hidden="1"/>
    </xf>
    <xf numFmtId="180" fontId="35" fillId="0" borderId="18" xfId="0" applyNumberFormat="1" applyFont="1" applyFill="1" applyBorder="1" applyAlignment="1" applyProtection="1">
      <alignment horizontal="left" vertical="center" wrapText="1"/>
      <protection hidden="1"/>
    </xf>
    <xf numFmtId="180" fontId="35" fillId="0" borderId="11" xfId="0" applyNumberFormat="1" applyFont="1" applyFill="1" applyBorder="1" applyAlignment="1" applyProtection="1">
      <alignment horizontal="left" vertical="center" wrapText="1"/>
      <protection hidden="1"/>
    </xf>
    <xf numFmtId="0" fontId="34" fillId="0" borderId="0" xfId="0" applyFont="1" applyAlignment="1" applyProtection="1">
      <alignment horizontal="left"/>
      <protection hidden="1"/>
    </xf>
    <xf numFmtId="0" fontId="34" fillId="0" borderId="3" xfId="0" applyFont="1" applyBorder="1" applyAlignment="1" applyProtection="1">
      <alignment horizontal="left"/>
      <protection hidden="1"/>
    </xf>
    <xf numFmtId="179" fontId="5" fillId="2" borderId="19" xfId="1" applyNumberFormat="1" applyFont="1" applyFill="1" applyBorder="1" applyAlignment="1">
      <alignment horizontal="center" vertical="center"/>
    </xf>
    <xf numFmtId="0" fontId="5" fillId="2" borderId="19" xfId="1" applyNumberFormat="1" applyFont="1" applyFill="1" applyBorder="1" applyAlignment="1">
      <alignment horizontal="center" vertical="center"/>
    </xf>
    <xf numFmtId="0" fontId="5" fillId="2" borderId="0" xfId="1" applyNumberFormat="1" applyFont="1" applyFill="1" applyBorder="1" applyAlignment="1">
      <alignment horizontal="center" vertical="center"/>
    </xf>
    <xf numFmtId="43" fontId="6" fillId="2" borderId="3" xfId="1" applyFont="1" applyFill="1" applyBorder="1" applyAlignment="1">
      <alignment horizontal="left" vertical="center"/>
    </xf>
    <xf numFmtId="49" fontId="24" fillId="2" borderId="3" xfId="0" applyNumberFormat="1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 shrinkToFit="1"/>
    </xf>
    <xf numFmtId="176" fontId="6" fillId="2" borderId="3" xfId="1" applyNumberFormat="1" applyFont="1" applyFill="1" applyBorder="1" applyAlignment="1">
      <alignment horizontal="left" vertical="center" wrapText="1"/>
    </xf>
    <xf numFmtId="49" fontId="6" fillId="2" borderId="3" xfId="1" applyNumberFormat="1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177" fontId="6" fillId="2" borderId="3" xfId="1" applyNumberFormat="1" applyFont="1" applyFill="1" applyBorder="1" applyAlignment="1">
      <alignment horizontal="left" vertical="center" wrapText="1"/>
    </xf>
    <xf numFmtId="177" fontId="6" fillId="0" borderId="3" xfId="1" applyNumberFormat="1" applyFont="1" applyFill="1" applyBorder="1" applyAlignment="1">
      <alignment horizontal="left" vertical="center" wrapText="1"/>
    </xf>
    <xf numFmtId="177" fontId="24" fillId="2" borderId="3" xfId="1" applyNumberFormat="1" applyFont="1" applyFill="1" applyBorder="1" applyAlignment="1">
      <alignment horizontal="left" vertical="center" wrapText="1"/>
    </xf>
    <xf numFmtId="180" fontId="22" fillId="0" borderId="17" xfId="0" applyNumberFormat="1" applyFont="1" applyBorder="1" applyAlignment="1" applyProtection="1">
      <alignment horizontal="left" vertical="center" wrapText="1"/>
      <protection hidden="1"/>
    </xf>
    <xf numFmtId="180" fontId="22" fillId="0" borderId="18" xfId="0" applyNumberFormat="1" applyFont="1" applyBorder="1" applyAlignment="1" applyProtection="1">
      <alignment horizontal="left" vertical="center" wrapText="1"/>
      <protection hidden="1"/>
    </xf>
    <xf numFmtId="180" fontId="22" fillId="0" borderId="11" xfId="0" applyNumberFormat="1" applyFont="1" applyBorder="1" applyAlignment="1" applyProtection="1">
      <alignment horizontal="left" vertical="center" wrapText="1"/>
      <protection hidden="1"/>
    </xf>
    <xf numFmtId="176" fontId="5" fillId="2" borderId="3" xfId="1" applyNumberFormat="1" applyFont="1" applyFill="1" applyBorder="1" applyAlignment="1">
      <alignment horizontal="left" vertical="center"/>
    </xf>
    <xf numFmtId="43" fontId="5" fillId="2" borderId="3" xfId="1" applyNumberFormat="1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49" fontId="6" fillId="3" borderId="3" xfId="2" applyNumberFormat="1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 shrinkToFit="1"/>
    </xf>
    <xf numFmtId="176" fontId="5" fillId="2" borderId="3" xfId="1" applyNumberFormat="1" applyFont="1" applyFill="1" applyBorder="1" applyAlignment="1">
      <alignment horizontal="left" vertical="center" wrapText="1"/>
    </xf>
    <xf numFmtId="49" fontId="5" fillId="2" borderId="3" xfId="1" applyNumberFormat="1" applyFont="1" applyFill="1" applyBorder="1" applyAlignment="1">
      <alignment horizontal="left" vertical="center" wrapText="1"/>
    </xf>
    <xf numFmtId="176" fontId="5" fillId="0" borderId="3" xfId="1" applyNumberFormat="1" applyFont="1" applyFill="1" applyBorder="1" applyAlignment="1">
      <alignment horizontal="left" vertical="center"/>
    </xf>
    <xf numFmtId="43" fontId="5" fillId="0" borderId="3" xfId="1" applyNumberFormat="1" applyFont="1" applyFill="1" applyBorder="1" applyAlignment="1">
      <alignment horizontal="left" vertical="center"/>
    </xf>
    <xf numFmtId="0" fontId="22" fillId="0" borderId="3" xfId="0" applyFont="1" applyBorder="1" applyAlignment="1" applyProtection="1">
      <alignment horizontal="left"/>
      <protection hidden="1"/>
    </xf>
    <xf numFmtId="0" fontId="5" fillId="0" borderId="3" xfId="0" applyFont="1" applyFill="1" applyBorder="1" applyAlignment="1">
      <alignment horizontal="left" vertical="center"/>
    </xf>
    <xf numFmtId="49" fontId="6" fillId="0" borderId="3" xfId="2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 shrinkToFit="1"/>
    </xf>
    <xf numFmtId="176" fontId="5" fillId="0" borderId="3" xfId="1" applyNumberFormat="1" applyFont="1" applyFill="1" applyBorder="1" applyAlignment="1">
      <alignment horizontal="left" vertical="center" wrapText="1"/>
    </xf>
    <xf numFmtId="49" fontId="5" fillId="0" borderId="3" xfId="1" applyNumberFormat="1" applyFont="1" applyFill="1" applyBorder="1" applyAlignment="1">
      <alignment horizontal="left" vertical="center" wrapText="1"/>
    </xf>
    <xf numFmtId="180" fontId="23" fillId="0" borderId="17" xfId="0" applyNumberFormat="1" applyFont="1" applyFill="1" applyBorder="1" applyAlignment="1" applyProtection="1">
      <alignment horizontal="left" vertical="center" wrapText="1"/>
      <protection hidden="1"/>
    </xf>
    <xf numFmtId="180" fontId="23" fillId="0" borderId="18" xfId="0" applyNumberFormat="1" applyFont="1" applyFill="1" applyBorder="1" applyAlignment="1" applyProtection="1">
      <alignment horizontal="left" vertical="center" wrapText="1"/>
      <protection hidden="1"/>
    </xf>
    <xf numFmtId="180" fontId="23" fillId="0" borderId="11" xfId="0" applyNumberFormat="1" applyFont="1" applyFill="1" applyBorder="1" applyAlignment="1" applyProtection="1">
      <alignment horizontal="left" vertical="center" wrapText="1"/>
      <protection hidden="1"/>
    </xf>
    <xf numFmtId="0" fontId="34" fillId="0" borderId="0" xfId="0" applyNumberFormat="1" applyFont="1" applyBorder="1" applyAlignment="1" applyProtection="1">
      <alignment horizontal="center" vertical="center" wrapText="1"/>
      <protection hidden="1"/>
    </xf>
    <xf numFmtId="10" fontId="30" fillId="2" borderId="0" xfId="1" applyNumberFormat="1" applyFont="1" applyFill="1" applyBorder="1" applyAlignment="1">
      <alignment horizontal="center" vertical="center"/>
    </xf>
    <xf numFmtId="43" fontId="30" fillId="2" borderId="3" xfId="1" applyNumberFormat="1" applyFont="1" applyFill="1" applyBorder="1" applyAlignment="1">
      <alignment horizontal="center" vertical="center"/>
    </xf>
    <xf numFmtId="43" fontId="27" fillId="0" borderId="3" xfId="1" applyFont="1" applyFill="1" applyBorder="1" applyAlignment="1">
      <alignment horizontal="left" vertical="center"/>
    </xf>
    <xf numFmtId="49" fontId="29" fillId="0" borderId="3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 shrinkToFit="1"/>
    </xf>
    <xf numFmtId="0" fontId="29" fillId="0" borderId="3" xfId="0" applyFont="1" applyFill="1" applyBorder="1" applyAlignment="1">
      <alignment horizontal="left" vertical="center" shrinkToFit="1"/>
    </xf>
    <xf numFmtId="176" fontId="29" fillId="0" borderId="3" xfId="1" applyNumberFormat="1" applyFont="1" applyFill="1" applyBorder="1" applyAlignment="1">
      <alignment horizontal="left" vertical="center" wrapText="1"/>
    </xf>
    <xf numFmtId="49" fontId="29" fillId="0" borderId="3" xfId="1" applyNumberFormat="1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center" vertical="center" wrapText="1"/>
    </xf>
    <xf numFmtId="49" fontId="29" fillId="6" borderId="3" xfId="2" applyNumberFormat="1" applyFont="1" applyFill="1" applyBorder="1" applyAlignment="1">
      <alignment horizontal="left" vertical="center" wrapText="1"/>
    </xf>
    <xf numFmtId="176" fontId="30" fillId="6" borderId="3" xfId="1" applyNumberFormat="1" applyFont="1" applyFill="1" applyBorder="1" applyAlignment="1">
      <alignment horizontal="left" vertical="center"/>
    </xf>
    <xf numFmtId="43" fontId="30" fillId="0" borderId="3" xfId="1" applyNumberFormat="1" applyFont="1" applyFill="1" applyBorder="1" applyAlignment="1">
      <alignment horizontal="center" vertical="center"/>
    </xf>
    <xf numFmtId="43" fontId="30" fillId="6" borderId="3" xfId="1" applyNumberFormat="1" applyFont="1" applyFill="1" applyBorder="1" applyAlignment="1">
      <alignment horizontal="center" vertical="center"/>
    </xf>
    <xf numFmtId="49" fontId="30" fillId="2" borderId="3" xfId="0" applyNumberFormat="1" applyFont="1" applyFill="1" applyBorder="1" applyAlignment="1">
      <alignment horizontal="left" vertical="center"/>
    </xf>
    <xf numFmtId="0" fontId="29" fillId="2" borderId="3" xfId="0" applyFont="1" applyFill="1" applyBorder="1" applyAlignment="1">
      <alignment horizontal="left" vertical="center" shrinkToFit="1"/>
    </xf>
    <xf numFmtId="0" fontId="30" fillId="2" borderId="17" xfId="0" applyFont="1" applyFill="1" applyBorder="1" applyAlignment="1">
      <alignment horizontal="left" vertical="center"/>
    </xf>
    <xf numFmtId="0" fontId="30" fillId="2" borderId="18" xfId="0" applyFont="1" applyFill="1" applyBorder="1" applyAlignment="1">
      <alignment horizontal="left" vertical="center"/>
    </xf>
    <xf numFmtId="0" fontId="30" fillId="2" borderId="11" xfId="0" applyFont="1" applyFill="1" applyBorder="1" applyAlignment="1">
      <alignment horizontal="left" vertical="center"/>
    </xf>
    <xf numFmtId="0" fontId="35" fillId="0" borderId="17" xfId="0" applyNumberFormat="1" applyFont="1" applyFill="1" applyBorder="1" applyAlignment="1" applyProtection="1">
      <alignment horizontal="left" vertical="center" wrapText="1"/>
      <protection hidden="1"/>
    </xf>
    <xf numFmtId="0" fontId="35" fillId="0" borderId="18" xfId="0" applyNumberFormat="1" applyFont="1" applyFill="1" applyBorder="1" applyAlignment="1" applyProtection="1">
      <alignment horizontal="left" vertical="center" wrapText="1"/>
      <protection hidden="1"/>
    </xf>
    <xf numFmtId="0" fontId="35" fillId="0" borderId="11" xfId="0" applyNumberFormat="1" applyFont="1" applyFill="1" applyBorder="1" applyAlignment="1" applyProtection="1">
      <alignment horizontal="left" vertical="center" wrapText="1"/>
      <protection hidden="1"/>
    </xf>
    <xf numFmtId="180" fontId="34" fillId="0" borderId="16" xfId="0" applyNumberFormat="1" applyFont="1" applyBorder="1" applyAlignment="1" applyProtection="1">
      <alignment horizontal="center" vertical="center" wrapText="1"/>
      <protection hidden="1"/>
    </xf>
    <xf numFmtId="0" fontId="46" fillId="0" borderId="0" xfId="0" applyNumberFormat="1" applyFont="1" applyBorder="1" applyAlignment="1" applyProtection="1">
      <alignment horizontal="center" vertical="center" wrapText="1"/>
      <protection hidden="1"/>
    </xf>
    <xf numFmtId="0" fontId="46" fillId="0" borderId="19" xfId="0" applyNumberFormat="1" applyFont="1" applyBorder="1" applyAlignment="1" applyProtection="1">
      <alignment horizontal="center" vertical="center" wrapText="1"/>
      <protection hidden="1"/>
    </xf>
    <xf numFmtId="43" fontId="3" fillId="2" borderId="3" xfId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shrinkToFit="1"/>
    </xf>
    <xf numFmtId="176" fontId="3" fillId="0" borderId="3" xfId="1" applyNumberFormat="1" applyFont="1" applyFill="1" applyBorder="1" applyAlignment="1">
      <alignment horizontal="center" vertical="center" wrapText="1"/>
    </xf>
    <xf numFmtId="49" fontId="3" fillId="2" borderId="3" xfId="1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76" fontId="5" fillId="2" borderId="3" xfId="1" applyNumberFormat="1" applyFont="1" applyFill="1" applyBorder="1" applyAlignment="1">
      <alignment horizontal="center" vertical="center"/>
    </xf>
    <xf numFmtId="43" fontId="5" fillId="2" borderId="3" xfId="1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49" fontId="6" fillId="2" borderId="3" xfId="2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 shrinkToFit="1"/>
    </xf>
    <xf numFmtId="176" fontId="5" fillId="0" borderId="3" xfId="1" applyNumberFormat="1" applyFont="1" applyFill="1" applyBorder="1" applyAlignment="1">
      <alignment horizontal="center" vertical="center" wrapText="1"/>
    </xf>
    <xf numFmtId="49" fontId="5" fillId="2" borderId="3" xfId="1" applyNumberFormat="1" applyFont="1" applyFill="1" applyBorder="1" applyAlignment="1">
      <alignment horizontal="center" vertical="center" wrapText="1"/>
    </xf>
    <xf numFmtId="177" fontId="3" fillId="2" borderId="3" xfId="1" applyNumberFormat="1" applyFont="1" applyFill="1" applyBorder="1" applyAlignment="1">
      <alignment horizontal="center" vertical="center" wrapText="1"/>
    </xf>
    <xf numFmtId="177" fontId="3" fillId="2" borderId="16" xfId="1" applyNumberFormat="1" applyFont="1" applyFill="1" applyBorder="1" applyAlignment="1">
      <alignment horizontal="center" vertical="center" wrapText="1"/>
    </xf>
    <xf numFmtId="177" fontId="3" fillId="2" borderId="10" xfId="1" applyNumberFormat="1" applyFont="1" applyFill="1" applyBorder="1" applyAlignment="1">
      <alignment horizontal="center" vertical="center" wrapText="1"/>
    </xf>
    <xf numFmtId="176" fontId="3" fillId="2" borderId="3" xfId="1" applyNumberFormat="1" applyFont="1" applyFill="1" applyBorder="1" applyAlignment="1">
      <alignment horizontal="center" vertical="center" wrapText="1"/>
    </xf>
    <xf numFmtId="177" fontId="3" fillId="0" borderId="3" xfId="1" applyNumberFormat="1" applyFont="1" applyFill="1" applyBorder="1" applyAlignment="1">
      <alignment horizontal="center" vertical="center" wrapText="1"/>
    </xf>
    <xf numFmtId="176" fontId="5" fillId="0" borderId="16" xfId="1" applyNumberFormat="1" applyFont="1" applyFill="1" applyBorder="1" applyAlignment="1">
      <alignment horizontal="center" vertical="center"/>
    </xf>
    <xf numFmtId="176" fontId="5" fillId="0" borderId="10" xfId="1" applyNumberFormat="1" applyFont="1" applyFill="1" applyBorder="1" applyAlignment="1">
      <alignment horizontal="center" vertical="center"/>
    </xf>
    <xf numFmtId="43" fontId="5" fillId="0" borderId="16" xfId="1" applyNumberFormat="1" applyFont="1" applyFill="1" applyBorder="1" applyAlignment="1">
      <alignment horizontal="center" vertical="center"/>
    </xf>
    <xf numFmtId="43" fontId="5" fillId="0" borderId="10" xfId="1" applyNumberFormat="1" applyFont="1" applyFill="1" applyBorder="1" applyAlignment="1">
      <alignment horizontal="center" vertical="center"/>
    </xf>
    <xf numFmtId="49" fontId="6" fillId="0" borderId="3" xfId="2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 shrinkToFit="1"/>
    </xf>
    <xf numFmtId="49" fontId="5" fillId="0" borderId="3" xfId="1" applyNumberFormat="1" applyFont="1" applyFill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center" vertical="center"/>
    </xf>
    <xf numFmtId="43" fontId="5" fillId="0" borderId="3" xfId="1" applyNumberFormat="1" applyFont="1" applyFill="1" applyBorder="1" applyAlignment="1">
      <alignment horizontal="center" vertical="center"/>
    </xf>
    <xf numFmtId="49" fontId="6" fillId="4" borderId="3" xfId="2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shrinkToFit="1"/>
    </xf>
    <xf numFmtId="176" fontId="5" fillId="2" borderId="16" xfId="1" applyNumberFormat="1" applyFont="1" applyFill="1" applyBorder="1" applyAlignment="1">
      <alignment horizontal="center" vertical="center"/>
    </xf>
    <xf numFmtId="176" fontId="5" fillId="2" borderId="10" xfId="1" applyNumberFormat="1" applyFont="1" applyFill="1" applyBorder="1" applyAlignment="1">
      <alignment horizontal="center" vertical="center"/>
    </xf>
    <xf numFmtId="43" fontId="5" fillId="2" borderId="16" xfId="1" applyNumberFormat="1" applyFont="1" applyFill="1" applyBorder="1" applyAlignment="1">
      <alignment horizontal="center" vertical="center"/>
    </xf>
    <xf numFmtId="43" fontId="5" fillId="2" borderId="10" xfId="1" applyNumberFormat="1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49" fontId="6" fillId="2" borderId="16" xfId="2" applyNumberFormat="1" applyFont="1" applyFill="1" applyBorder="1" applyAlignment="1">
      <alignment horizontal="center" vertical="center" wrapText="1"/>
    </xf>
    <xf numFmtId="49" fontId="6" fillId="2" borderId="10" xfId="2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 shrinkToFit="1"/>
    </xf>
    <xf numFmtId="0" fontId="6" fillId="2" borderId="10" xfId="0" applyFont="1" applyFill="1" applyBorder="1" applyAlignment="1">
      <alignment horizontal="center" vertical="center" wrapText="1" shrinkToFit="1"/>
    </xf>
    <xf numFmtId="176" fontId="5" fillId="0" borderId="16" xfId="1" applyNumberFormat="1" applyFont="1" applyFill="1" applyBorder="1" applyAlignment="1">
      <alignment horizontal="center" vertical="center" wrapText="1"/>
    </xf>
    <xf numFmtId="176" fontId="5" fillId="0" borderId="10" xfId="1" applyNumberFormat="1" applyFont="1" applyFill="1" applyBorder="1" applyAlignment="1">
      <alignment horizontal="center" vertical="center" wrapText="1"/>
    </xf>
    <xf numFmtId="49" fontId="5" fillId="2" borderId="16" xfId="1" applyNumberFormat="1" applyFont="1" applyFill="1" applyBorder="1" applyAlignment="1">
      <alignment horizontal="center" vertical="center" wrapText="1"/>
    </xf>
    <xf numFmtId="49" fontId="5" fillId="2" borderId="10" xfId="1" applyNumberFormat="1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176" fontId="5" fillId="2" borderId="3" xfId="1" applyNumberFormat="1" applyFont="1" applyFill="1" applyBorder="1" applyAlignment="1">
      <alignment horizontal="center" vertical="center" wrapText="1"/>
    </xf>
    <xf numFmtId="49" fontId="6" fillId="0" borderId="16" xfId="2" applyNumberFormat="1" applyFont="1" applyFill="1" applyBorder="1" applyAlignment="1">
      <alignment horizontal="center" vertical="center" wrapText="1"/>
    </xf>
    <xf numFmtId="49" fontId="6" fillId="0" borderId="10" xfId="2" applyNumberFormat="1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 shrinkToFit="1"/>
    </xf>
    <xf numFmtId="0" fontId="6" fillId="0" borderId="10" xfId="0" applyFont="1" applyFill="1" applyBorder="1" applyAlignment="1">
      <alignment horizontal="center" vertical="center" wrapText="1" shrinkToFit="1"/>
    </xf>
    <xf numFmtId="49" fontId="5" fillId="0" borderId="16" xfId="1" applyNumberFormat="1" applyFont="1" applyFill="1" applyBorder="1" applyAlignment="1">
      <alignment horizontal="center" vertical="center" wrapText="1"/>
    </xf>
    <xf numFmtId="49" fontId="5" fillId="0" borderId="10" xfId="1" applyNumberFormat="1" applyFont="1" applyFill="1" applyBorder="1" applyAlignment="1">
      <alignment horizontal="center" vertical="center" wrapText="1"/>
    </xf>
    <xf numFmtId="49" fontId="6" fillId="2" borderId="16" xfId="0" applyNumberFormat="1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46" fillId="0" borderId="3" xfId="0" applyFont="1" applyBorder="1" applyAlignment="1" applyProtection="1">
      <alignment horizontal="center"/>
      <protection hidden="1"/>
    </xf>
    <xf numFmtId="0" fontId="46" fillId="0" borderId="17" xfId="0" applyNumberFormat="1" applyFont="1" applyBorder="1" applyAlignment="1" applyProtection="1">
      <alignment horizontal="center" vertical="center" wrapText="1"/>
      <protection hidden="1"/>
    </xf>
    <xf numFmtId="0" fontId="46" fillId="0" borderId="18" xfId="0" applyNumberFormat="1" applyFont="1" applyBorder="1" applyAlignment="1" applyProtection="1">
      <alignment horizontal="center" vertical="center" wrapText="1"/>
      <protection hidden="1"/>
    </xf>
    <xf numFmtId="0" fontId="46" fillId="0" borderId="11" xfId="0" applyNumberFormat="1" applyFont="1" applyBorder="1" applyAlignment="1" applyProtection="1">
      <alignment horizontal="center" vertical="center" wrapText="1"/>
      <protection hidden="1"/>
    </xf>
    <xf numFmtId="0" fontId="45" fillId="0" borderId="17" xfId="0" applyNumberFormat="1" applyFont="1" applyFill="1" applyBorder="1" applyAlignment="1" applyProtection="1">
      <alignment horizontal="center" vertical="center" wrapText="1"/>
      <protection hidden="1"/>
    </xf>
    <xf numFmtId="0" fontId="45" fillId="0" borderId="18" xfId="0" applyNumberFormat="1" applyFont="1" applyFill="1" applyBorder="1" applyAlignment="1" applyProtection="1">
      <alignment horizontal="center" vertical="center" wrapText="1"/>
      <protection hidden="1"/>
    </xf>
    <xf numFmtId="0" fontId="45" fillId="0" borderId="11" xfId="0" applyNumberFormat="1" applyFont="1" applyFill="1" applyBorder="1" applyAlignment="1" applyProtection="1">
      <alignment horizontal="center" vertical="center" wrapText="1"/>
      <protection hidden="1"/>
    </xf>
    <xf numFmtId="49" fontId="21" fillId="0" borderId="0" xfId="0" applyNumberFormat="1" applyFont="1" applyAlignment="1">
      <alignment horizontal="left" vertical="center"/>
    </xf>
    <xf numFmtId="49" fontId="0" fillId="0" borderId="14" xfId="0" applyNumberFormat="1" applyBorder="1" applyAlignment="1">
      <alignment horizontal="left" vertical="center"/>
    </xf>
    <xf numFmtId="49" fontId="0" fillId="0" borderId="12" xfId="0" applyNumberFormat="1" applyBorder="1" applyAlignment="1">
      <alignment horizontal="left" vertical="center"/>
    </xf>
    <xf numFmtId="0" fontId="21" fillId="0" borderId="3" xfId="0" applyFont="1" applyFill="1" applyBorder="1" applyAlignment="1">
      <alignment horizontal="left" vertical="center"/>
    </xf>
    <xf numFmtId="0" fontId="4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left" vertical="center"/>
    </xf>
    <xf numFmtId="0" fontId="21" fillId="0" borderId="12" xfId="0" applyFont="1" applyBorder="1" applyAlignment="1">
      <alignment horizontal="center" vertical="center"/>
    </xf>
    <xf numFmtId="0" fontId="21" fillId="7" borderId="3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7" borderId="3" xfId="0" applyFont="1" applyFill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43" fontId="0" fillId="0" borderId="13" xfId="0" applyNumberFormat="1" applyBorder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left" vertical="center"/>
    </xf>
  </cellXfs>
  <cellStyles count="10">
    <cellStyle name="百分比" xfId="9" builtinId="5"/>
    <cellStyle name="常规" xfId="0" builtinId="0"/>
    <cellStyle name="常规 13 2" xfId="6"/>
    <cellStyle name="常规 13 2 2" xfId="7"/>
    <cellStyle name="常规 5" xfId="5"/>
    <cellStyle name="常规 5 6 5" xfId="3"/>
    <cellStyle name="常规 5 6 7" xfId="4"/>
    <cellStyle name="常规 6" xfId="8"/>
    <cellStyle name="货币" xfId="2" builtinId="4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Sheet3!$E$13</c:f>
              <c:strCache>
                <c:ptCount val="1"/>
                <c:pt idx="0">
                  <c:v>CPI同比增长率（%）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Sheet3!$D$14:$D$25</c:f>
              <c:numCache>
                <c:formatCode>yyyy"年"m"月"</c:formatCode>
                <c:ptCount val="12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</c:numCache>
            </c:numRef>
          </c:cat>
          <c:val>
            <c:numRef>
              <c:f>Sheet3!$E$14:$E$25</c:f>
              <c:numCache>
                <c:formatCode>General</c:formatCode>
                <c:ptCount val="12"/>
                <c:pt idx="0">
                  <c:v>4</c:v>
                </c:pt>
                <c:pt idx="1">
                  <c:v>4.4000000000000004</c:v>
                </c:pt>
                <c:pt idx="2">
                  <c:v>3.9</c:v>
                </c:pt>
                <c:pt idx="3">
                  <c:v>4</c:v>
                </c:pt>
                <c:pt idx="4">
                  <c:v>4.0999999999999996</c:v>
                </c:pt>
                <c:pt idx="5">
                  <c:v>3.8</c:v>
                </c:pt>
                <c:pt idx="6">
                  <c:v>3.2</c:v>
                </c:pt>
                <c:pt idx="7">
                  <c:v>3.2</c:v>
                </c:pt>
                <c:pt idx="8">
                  <c:v>3.2</c:v>
                </c:pt>
                <c:pt idx="9">
                  <c:v>3.2</c:v>
                </c:pt>
                <c:pt idx="10">
                  <c:v>4.0999999999999996</c:v>
                </c:pt>
                <c:pt idx="11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04-4FFC-9DF5-F45A39D6F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2061648"/>
        <c:axId val="532057712"/>
      </c:lineChart>
      <c:dateAx>
        <c:axId val="532061648"/>
        <c:scaling>
          <c:orientation val="minMax"/>
        </c:scaling>
        <c:delete val="0"/>
        <c:axPos val="b"/>
        <c:numFmt formatCode="yyyy&quot;年&quot;m&quot;月&quot;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32057712"/>
        <c:crosses val="autoZero"/>
        <c:auto val="1"/>
        <c:lblOffset val="100"/>
        <c:baseTimeUnit val="months"/>
      </c:dateAx>
      <c:valAx>
        <c:axId val="53205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3206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52387</xdr:rowOff>
    </xdr:from>
    <xdr:to>
      <xdr:col>7</xdr:col>
      <xdr:colOff>762000</xdr:colOff>
      <xdr:row>25</xdr:row>
      <xdr:rowOff>80962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91;&#26723;\tencent%20files\583763606\filerecv\2017&#24180;&#31199;&#37329;&#32479;&#357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楼盘租金明细表"/>
      <sheetName val="物业出租情况表"/>
      <sheetName val="欠租明细表"/>
      <sheetName val="财务月报租金"/>
      <sheetName val="Sheet1"/>
      <sheetName val="11月实收"/>
      <sheetName val="发票汇总"/>
      <sheetName val="Sheet2"/>
      <sheetName val="租金统计"/>
      <sheetName val="CBD"/>
      <sheetName val="全市"/>
    </sheetNames>
    <sheetDataSet>
      <sheetData sheetId="0">
        <row r="286">
          <cell r="F286">
            <v>4832.8</v>
          </cell>
          <cell r="G286">
            <v>483333.33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S36"/>
  <sheetViews>
    <sheetView tabSelected="1" topLeftCell="N1" zoomScale="85" zoomScaleNormal="85" workbookViewId="0">
      <selection activeCell="U27" sqref="U27"/>
    </sheetView>
  </sheetViews>
  <sheetFormatPr defaultRowHeight="12"/>
  <cols>
    <col min="1" max="1" width="21.75" style="376" customWidth="1"/>
    <col min="2" max="2" width="9" style="376"/>
    <col min="3" max="86" width="13.625" style="376" customWidth="1"/>
    <col min="87" max="88" width="17.375" style="376" customWidth="1"/>
    <col min="89" max="143" width="11.625" style="376" customWidth="1"/>
    <col min="144" max="144" width="17.25" style="376" bestFit="1" customWidth="1"/>
    <col min="145" max="16384" width="9" style="376"/>
  </cols>
  <sheetData>
    <row r="1" spans="1:97">
      <c r="A1" s="529" t="s">
        <v>1244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529"/>
      <c r="U1" s="529"/>
      <c r="V1" s="529"/>
      <c r="W1" s="529"/>
      <c r="X1" s="529"/>
      <c r="Y1" s="529"/>
      <c r="Z1" s="529"/>
      <c r="AA1" s="529"/>
      <c r="AB1" s="529"/>
      <c r="AC1" s="529"/>
      <c r="AD1" s="529"/>
      <c r="AE1" s="529"/>
      <c r="AF1" s="529"/>
      <c r="AG1" s="529"/>
      <c r="AH1" s="529"/>
      <c r="AI1" s="529"/>
      <c r="AJ1" s="529"/>
      <c r="AK1" s="529"/>
      <c r="AL1" s="529"/>
      <c r="AM1" s="529"/>
      <c r="AN1" s="529"/>
      <c r="AO1" s="529"/>
      <c r="AP1" s="529"/>
      <c r="AQ1" s="529"/>
      <c r="AR1" s="529"/>
      <c r="AS1" s="529"/>
      <c r="AT1" s="529"/>
      <c r="AU1" s="529"/>
      <c r="AV1" s="529"/>
      <c r="AW1" s="529"/>
      <c r="AX1" s="529"/>
      <c r="AY1" s="529"/>
      <c r="AZ1" s="529"/>
      <c r="BA1" s="529"/>
      <c r="BB1" s="529"/>
      <c r="BC1" s="529"/>
      <c r="BD1" s="529"/>
      <c r="BE1" s="529"/>
      <c r="BF1" s="529"/>
      <c r="BG1" s="529"/>
      <c r="BH1" s="529"/>
      <c r="BI1" s="529"/>
      <c r="BJ1" s="529"/>
      <c r="BK1" s="529"/>
      <c r="BL1" s="529"/>
      <c r="BM1" s="529"/>
      <c r="BN1" s="529"/>
      <c r="BO1" s="529"/>
      <c r="BP1" s="529"/>
      <c r="BQ1" s="529"/>
      <c r="BR1" s="529"/>
      <c r="BS1" s="529"/>
      <c r="BT1" s="529"/>
      <c r="BU1" s="529"/>
      <c r="BV1" s="529"/>
      <c r="BW1" s="529"/>
      <c r="BX1" s="529"/>
      <c r="BY1" s="529"/>
      <c r="BZ1" s="529"/>
      <c r="CA1" s="529"/>
      <c r="CB1" s="529"/>
      <c r="CC1" s="529"/>
      <c r="CD1" s="529"/>
      <c r="CE1" s="529"/>
      <c r="CF1" s="529"/>
      <c r="CG1" s="529"/>
      <c r="CH1" s="529"/>
      <c r="CI1" s="529"/>
      <c r="CJ1" s="390"/>
    </row>
    <row r="2" spans="1:97" s="401" customFormat="1">
      <c r="A2" s="399"/>
      <c r="B2" s="400"/>
      <c r="C2" s="519" t="s">
        <v>1174</v>
      </c>
      <c r="D2" s="519"/>
      <c r="E2" s="519"/>
      <c r="F2" s="519"/>
      <c r="G2" s="519" t="s">
        <v>1175</v>
      </c>
      <c r="H2" s="519"/>
      <c r="I2" s="519"/>
      <c r="J2" s="519"/>
      <c r="K2" s="519" t="s">
        <v>1176</v>
      </c>
      <c r="L2" s="519"/>
      <c r="M2" s="519"/>
      <c r="N2" s="519"/>
      <c r="O2" s="519" t="s">
        <v>1177</v>
      </c>
      <c r="P2" s="519"/>
      <c r="Q2" s="519"/>
      <c r="R2" s="519"/>
      <c r="S2" s="519" t="s">
        <v>1178</v>
      </c>
      <c r="T2" s="519"/>
      <c r="U2" s="519"/>
      <c r="V2" s="519"/>
      <c r="W2" s="519" t="s">
        <v>1179</v>
      </c>
      <c r="X2" s="519"/>
      <c r="Y2" s="519"/>
      <c r="Z2" s="519"/>
      <c r="AA2" s="519" t="s">
        <v>1180</v>
      </c>
      <c r="AB2" s="519"/>
      <c r="AC2" s="519"/>
      <c r="AD2" s="519"/>
      <c r="AE2" s="519" t="s">
        <v>1181</v>
      </c>
      <c r="AF2" s="519"/>
      <c r="AG2" s="519"/>
      <c r="AH2" s="519"/>
      <c r="AI2" s="519" t="s">
        <v>1182</v>
      </c>
      <c r="AJ2" s="519"/>
      <c r="AK2" s="519"/>
      <c r="AL2" s="519"/>
      <c r="AM2" s="519" t="s">
        <v>1183</v>
      </c>
      <c r="AN2" s="519"/>
      <c r="AO2" s="519"/>
      <c r="AP2" s="519"/>
      <c r="AQ2" s="519" t="s">
        <v>1184</v>
      </c>
      <c r="AR2" s="519"/>
      <c r="AS2" s="519"/>
      <c r="AT2" s="519"/>
      <c r="AU2" s="519" t="s">
        <v>1185</v>
      </c>
      <c r="AV2" s="519"/>
      <c r="AW2" s="519"/>
      <c r="AX2" s="519"/>
      <c r="AY2" s="519" t="s">
        <v>1186</v>
      </c>
      <c r="AZ2" s="519"/>
      <c r="BA2" s="519"/>
      <c r="BB2" s="519"/>
      <c r="BC2" s="519" t="s">
        <v>1187</v>
      </c>
      <c r="BD2" s="519"/>
      <c r="BE2" s="519"/>
      <c r="BF2" s="519"/>
      <c r="BG2" s="519" t="s">
        <v>1188</v>
      </c>
      <c r="BH2" s="519"/>
      <c r="BI2" s="519"/>
      <c r="BJ2" s="519"/>
      <c r="BK2" s="519" t="s">
        <v>1189</v>
      </c>
      <c r="BL2" s="519"/>
      <c r="BM2" s="519"/>
      <c r="BN2" s="519"/>
      <c r="BO2" s="519" t="s">
        <v>1190</v>
      </c>
      <c r="BP2" s="519"/>
      <c r="BQ2" s="519"/>
      <c r="BR2" s="519"/>
      <c r="BS2" s="519" t="s">
        <v>1191</v>
      </c>
      <c r="BT2" s="519"/>
      <c r="BU2" s="519"/>
      <c r="BV2" s="519"/>
      <c r="BW2" s="519" t="s">
        <v>1192</v>
      </c>
      <c r="BX2" s="519"/>
      <c r="BY2" s="519"/>
      <c r="BZ2" s="519"/>
      <c r="CA2" s="519" t="s">
        <v>1193</v>
      </c>
      <c r="CB2" s="519"/>
      <c r="CC2" s="519"/>
      <c r="CD2" s="519"/>
      <c r="CE2" s="519" t="s">
        <v>1194</v>
      </c>
      <c r="CF2" s="519"/>
      <c r="CG2" s="519"/>
      <c r="CH2" s="519"/>
    </row>
    <row r="3" spans="1:97" s="401" customFormat="1">
      <c r="A3" s="402" t="s">
        <v>1236</v>
      </c>
      <c r="B3" s="403" t="s">
        <v>1237</v>
      </c>
      <c r="C3" s="404" t="str">
        <f>地下车库现金流!E12</f>
        <v>2018年2季度</v>
      </c>
      <c r="D3" s="404" t="str">
        <f>地下车库现金流!F12</f>
        <v>2018年3季度</v>
      </c>
      <c r="E3" s="404" t="str">
        <f>地下车库现金流!G12</f>
        <v>2018年4季度</v>
      </c>
      <c r="F3" s="404" t="str">
        <f>地下车库现金流!H12</f>
        <v>2019年1季度</v>
      </c>
      <c r="G3" s="404" t="str">
        <f>地下车库现金流!I12</f>
        <v>2019年2季度</v>
      </c>
      <c r="H3" s="404" t="str">
        <f>地下车库现金流!J12</f>
        <v>2019年3季度</v>
      </c>
      <c r="I3" s="404" t="str">
        <f>地下车库现金流!K12</f>
        <v>2019年4季度</v>
      </c>
      <c r="J3" s="404" t="str">
        <f>地下车库现金流!L12</f>
        <v>2020年1季度</v>
      </c>
      <c r="K3" s="404" t="str">
        <f>地下车库现金流!M12</f>
        <v>2020年2季度</v>
      </c>
      <c r="L3" s="404" t="str">
        <f>地下车库现金流!N12</f>
        <v>2020年3季度</v>
      </c>
      <c r="M3" s="404" t="str">
        <f>地下车库现金流!O12</f>
        <v>2020年4季度</v>
      </c>
      <c r="N3" s="404" t="str">
        <f>地下车库现金流!P12</f>
        <v>2021年1季度</v>
      </c>
      <c r="O3" s="404" t="str">
        <f>地下车库现金流!Q12</f>
        <v>2021年2季度</v>
      </c>
      <c r="P3" s="404" t="str">
        <f>地下车库现金流!R12</f>
        <v>2021年3季度</v>
      </c>
      <c r="Q3" s="404" t="str">
        <f>地下车库现金流!S12</f>
        <v>2021年4季度</v>
      </c>
      <c r="R3" s="404" t="str">
        <f>地下车库现金流!T12</f>
        <v>2022年1季度</v>
      </c>
      <c r="S3" s="404" t="str">
        <f>地下车库现金流!U12</f>
        <v>2022年2季度</v>
      </c>
      <c r="T3" s="404" t="str">
        <f>地下车库现金流!V12</f>
        <v>2022年3季度</v>
      </c>
      <c r="U3" s="404" t="str">
        <f>地下车库现金流!W12</f>
        <v>2022年4季度</v>
      </c>
      <c r="V3" s="404" t="str">
        <f>地下车库现金流!X12</f>
        <v>2023年1季度</v>
      </c>
      <c r="W3" s="404" t="str">
        <f>地下车库现金流!Y12</f>
        <v>2023年2季度</v>
      </c>
      <c r="X3" s="404" t="str">
        <f>地下车库现金流!Z12</f>
        <v>2023年3季度</v>
      </c>
      <c r="Y3" s="404" t="str">
        <f>地下车库现金流!AA12</f>
        <v>2023年4季度</v>
      </c>
      <c r="Z3" s="404" t="str">
        <f>地下车库现金流!AB12</f>
        <v>2024年1季度</v>
      </c>
      <c r="AA3" s="404" t="str">
        <f>地下车库现金流!AC12</f>
        <v>2024年2季度</v>
      </c>
      <c r="AB3" s="404" t="str">
        <f>地下车库现金流!AD12</f>
        <v>2024年3季度</v>
      </c>
      <c r="AC3" s="404" t="str">
        <f>地下车库现金流!AE12</f>
        <v>2024年4季度</v>
      </c>
      <c r="AD3" s="404" t="str">
        <f>地下车库现金流!AF12</f>
        <v>2025年1季度</v>
      </c>
      <c r="AE3" s="404" t="str">
        <f>地下车库现金流!AG12</f>
        <v>2025年2季度</v>
      </c>
      <c r="AF3" s="404" t="str">
        <f>地下车库现金流!AH12</f>
        <v>2025年3季度</v>
      </c>
      <c r="AG3" s="404" t="str">
        <f>地下车库现金流!AI12</f>
        <v>2025年4季度</v>
      </c>
      <c r="AH3" s="404" t="str">
        <f>地下车库现金流!AJ12</f>
        <v>2026年1季度</v>
      </c>
      <c r="AI3" s="404" t="str">
        <f>地下车库现金流!AK12</f>
        <v>2026年2季度</v>
      </c>
      <c r="AJ3" s="404" t="str">
        <f>地下车库现金流!AL12</f>
        <v>2026年3季度</v>
      </c>
      <c r="AK3" s="404" t="str">
        <f>地下车库现金流!AM12</f>
        <v>2026年4季度</v>
      </c>
      <c r="AL3" s="404" t="str">
        <f>地下车库现金流!AN12</f>
        <v>2027年1季度</v>
      </c>
      <c r="AM3" s="404" t="str">
        <f>地下车库现金流!AO12</f>
        <v>2027年2季度</v>
      </c>
      <c r="AN3" s="404" t="str">
        <f>地下车库现金流!AP12</f>
        <v>2027年3季度</v>
      </c>
      <c r="AO3" s="404" t="str">
        <f>地下车库现金流!AQ12</f>
        <v>2027年4季度</v>
      </c>
      <c r="AP3" s="404" t="str">
        <f>地下车库现金流!AR12</f>
        <v>2028年1季度</v>
      </c>
      <c r="AQ3" s="404" t="str">
        <f>地下车库现金流!AS12</f>
        <v>2028年2季度</v>
      </c>
      <c r="AR3" s="404" t="str">
        <f>地下车库现金流!AT12</f>
        <v>2028年3季度</v>
      </c>
      <c r="AS3" s="404" t="str">
        <f>地下车库现金流!AU12</f>
        <v>2028年4季度</v>
      </c>
      <c r="AT3" s="404" t="str">
        <f>地下车库现金流!AV12</f>
        <v>2029年1季度</v>
      </c>
      <c r="AU3" s="404" t="str">
        <f>地下车库现金流!AW12</f>
        <v>2029年2季度</v>
      </c>
      <c r="AV3" s="404" t="str">
        <f>地下车库现金流!AX12</f>
        <v>2029年3季度</v>
      </c>
      <c r="AW3" s="404" t="str">
        <f>地下车库现金流!AY12</f>
        <v>2029年4季度</v>
      </c>
      <c r="AX3" s="404" t="str">
        <f>地下车库现金流!AZ12</f>
        <v>2030年1季度</v>
      </c>
      <c r="AY3" s="404" t="str">
        <f>地下车库现金流!BA12</f>
        <v>2030年2季度</v>
      </c>
      <c r="AZ3" s="404" t="str">
        <f>地下车库现金流!BB12</f>
        <v>2030年3季度</v>
      </c>
      <c r="BA3" s="404" t="str">
        <f>地下车库现金流!BC12</f>
        <v>2030年4季度</v>
      </c>
      <c r="BB3" s="404" t="str">
        <f>地下车库现金流!BD12</f>
        <v>2031年1季度</v>
      </c>
      <c r="BC3" s="404" t="str">
        <f>地下车库现金流!BE12</f>
        <v>2031年2季度</v>
      </c>
      <c r="BD3" s="404" t="str">
        <f>地下车库现金流!BF12</f>
        <v>2031年3季度</v>
      </c>
      <c r="BE3" s="404" t="str">
        <f>地下车库现金流!BG12</f>
        <v>2031年4季度</v>
      </c>
      <c r="BF3" s="404" t="str">
        <f>地下车库现金流!BH12</f>
        <v>2032年1季度</v>
      </c>
      <c r="BG3" s="404" t="str">
        <f>地下车库现金流!BI12</f>
        <v>2032年2季度</v>
      </c>
      <c r="BH3" s="404" t="str">
        <f>地下车库现金流!BJ12</f>
        <v>2032年3季度</v>
      </c>
      <c r="BI3" s="404" t="str">
        <f>地下车库现金流!BK12</f>
        <v>2032年4季度</v>
      </c>
      <c r="BJ3" s="404" t="str">
        <f>地下车库现金流!BL12</f>
        <v>2033年1季度</v>
      </c>
      <c r="BK3" s="404" t="str">
        <f>地下车库现金流!BM12</f>
        <v>2033年2季度</v>
      </c>
      <c r="BL3" s="404" t="str">
        <f>地下车库现金流!BN12</f>
        <v>2033年3季度</v>
      </c>
      <c r="BM3" s="404" t="str">
        <f>地下车库现金流!BO12</f>
        <v>2033年4季度</v>
      </c>
      <c r="BN3" s="404" t="str">
        <f>地下车库现金流!BP12</f>
        <v>2034年1季度</v>
      </c>
      <c r="BO3" s="404" t="str">
        <f>地下车库现金流!BQ12</f>
        <v>2034年2季度</v>
      </c>
      <c r="BP3" s="404" t="str">
        <f>地下车库现金流!BR12</f>
        <v>2034年3季度</v>
      </c>
      <c r="BQ3" s="404" t="str">
        <f>地下车库现金流!BS12</f>
        <v>2034年4季度</v>
      </c>
      <c r="BR3" s="404" t="str">
        <f>地下车库现金流!BT12</f>
        <v>2035年1季度</v>
      </c>
      <c r="BS3" s="404" t="str">
        <f>地下车库现金流!BU12</f>
        <v>2035年2季度</v>
      </c>
      <c r="BT3" s="404" t="str">
        <f>地下车库现金流!BV12</f>
        <v>2035年3季度</v>
      </c>
      <c r="BU3" s="404" t="str">
        <f>地下车库现金流!BW12</f>
        <v>2035年4季度</v>
      </c>
      <c r="BV3" s="404" t="str">
        <f>地下车库现金流!BX12</f>
        <v>2036年1季度</v>
      </c>
      <c r="BW3" s="404" t="str">
        <f>地下车库现金流!BY12</f>
        <v>2036年2季度</v>
      </c>
      <c r="BX3" s="404" t="str">
        <f>地下车库现金流!BZ12</f>
        <v>2036年3季度</v>
      </c>
      <c r="BY3" s="404" t="str">
        <f>地下车库现金流!CA12</f>
        <v>2036年4季度</v>
      </c>
      <c r="BZ3" s="404" t="str">
        <f>地下车库现金流!CB12</f>
        <v>2037年1季度</v>
      </c>
      <c r="CA3" s="404" t="str">
        <f>地下车库现金流!CC12</f>
        <v>2037年2季度</v>
      </c>
      <c r="CB3" s="404" t="str">
        <f>地下车库现金流!CD12</f>
        <v>2037年3季度</v>
      </c>
      <c r="CC3" s="404" t="str">
        <f>地下车库现金流!CE12</f>
        <v>2037年4季度</v>
      </c>
      <c r="CD3" s="404" t="str">
        <f>地下车库现金流!CF12</f>
        <v>2038年1季度</v>
      </c>
      <c r="CE3" s="404" t="str">
        <f>地下车库现金流!CG12</f>
        <v>2038年2季度</v>
      </c>
      <c r="CF3" s="404" t="str">
        <f>地下车库现金流!CH12</f>
        <v>2038年3季度</v>
      </c>
      <c r="CG3" s="404" t="str">
        <f>地下车库现金流!CI12</f>
        <v>2038年4季度</v>
      </c>
      <c r="CH3" s="404" t="str">
        <f>地下车库现金流!CJ12</f>
        <v>2039年1季度</v>
      </c>
      <c r="CI3" s="404" t="str">
        <f>地下车库现金流!CK12</f>
        <v>合计</v>
      </c>
      <c r="CJ3" s="404"/>
      <c r="CK3" s="404"/>
      <c r="CL3" s="404"/>
      <c r="CM3" s="404"/>
      <c r="CN3" s="404"/>
      <c r="CO3" s="404"/>
      <c r="CP3" s="404"/>
      <c r="CQ3" s="404"/>
      <c r="CR3" s="404"/>
      <c r="CS3" s="404"/>
    </row>
    <row r="4" spans="1:97" s="401" customFormat="1" ht="24.75" customHeight="1">
      <c r="A4" s="405" t="s">
        <v>1238</v>
      </c>
      <c r="B4" s="406"/>
      <c r="C4" s="407">
        <f>仓储现金流!E78+地下车库现金流!E13+地下商业现金流!E86+地上商业现金流!E401</f>
        <v>56565412</v>
      </c>
      <c r="D4" s="407">
        <f>仓储现金流!F78+地下车库现金流!F13+地下商业现金流!F86+地上商业现金流!F401</f>
        <v>56716853</v>
      </c>
      <c r="E4" s="407">
        <f>仓储现金流!G78+地下车库现金流!G13+地下商业现金流!G86+地上商业现金流!G401</f>
        <v>56950570</v>
      </c>
      <c r="F4" s="407">
        <f>仓储现金流!H78+地下车库现金流!H13+地下商业现金流!H86+地上商业现金流!H401</f>
        <v>57153963</v>
      </c>
      <c r="G4" s="407">
        <f>仓储现金流!I78+地下车库现金流!I13+地下商业现金流!I86+地上商业现金流!I401</f>
        <v>57850528</v>
      </c>
      <c r="H4" s="407">
        <f>仓储现金流!J78+地下车库现金流!J13+地下商业现金流!J86+地上商业现金流!J401</f>
        <v>58023158</v>
      </c>
      <c r="I4" s="407">
        <f>仓储现金流!K78+地下车库现金流!K13+地下商业现金流!K86+地上商业现金流!K401</f>
        <v>58255165</v>
      </c>
      <c r="J4" s="407">
        <f>仓储现金流!L78+地下车库现金流!L13+地下商业现金流!L86+地上商业现金流!L401</f>
        <v>58352547</v>
      </c>
      <c r="K4" s="407">
        <f>仓储现金流!M78+地下车库现金流!M13+地下商业现金流!M86+地上商业现金流!M401</f>
        <v>60908961</v>
      </c>
      <c r="L4" s="407">
        <f>仓储现金流!N78+地下车库现金流!N13+地下商业现金流!N86+地上商业现金流!N401</f>
        <v>60908961</v>
      </c>
      <c r="M4" s="407">
        <f>仓储现金流!O78+地下车库现金流!O13+地下商业现金流!O86+地上商业现金流!O401</f>
        <v>60968509</v>
      </c>
      <c r="N4" s="407">
        <f>仓储现金流!P78+地下车库现金流!P13+地下商业现金流!P86+地上商业现金流!P401</f>
        <v>60968509</v>
      </c>
      <c r="O4" s="407">
        <f>仓储现金流!Q78+地下车库现金流!Q13+地下商业现金流!Q86+地上商业现金流!Q401</f>
        <v>64424871</v>
      </c>
      <c r="P4" s="407">
        <f>仓储现金流!R78+地下车库现金流!R13+地下商业现金流!R86+地上商业现金流!R401</f>
        <v>64432645</v>
      </c>
      <c r="Q4" s="407">
        <f>仓储现金流!S78+地下车库现金流!S13+地下商业现金流!S86+地上商业现金流!S401</f>
        <v>64432645</v>
      </c>
      <c r="R4" s="407">
        <f>仓储现金流!T78+地下车库现金流!T13+地下商业现金流!T86+地上商业现金流!T401</f>
        <v>64432645</v>
      </c>
      <c r="S4" s="407">
        <f>仓储现金流!U78+地下车库现金流!U13+地下商业现金流!U86+地上商业现金流!U401</f>
        <v>68589831</v>
      </c>
      <c r="T4" s="407">
        <f>仓储现金流!V78+地下车库现金流!V13+地下商业现金流!V86+地上商业现金流!V401</f>
        <v>68589831</v>
      </c>
      <c r="U4" s="407">
        <f>仓储现金流!W78+地下车库现金流!W13+地下商业现金流!W86+地上商业现金流!W401</f>
        <v>68636163</v>
      </c>
      <c r="V4" s="407">
        <f>仓储现金流!X78+地下车库现金流!X13+地下商业现金流!X86+地上商业现金流!X401</f>
        <v>68636163</v>
      </c>
      <c r="W4" s="407">
        <f>仓储现金流!Y78+地下车库现金流!Y13+地下商业现金流!Y86+地上商业现金流!Y401</f>
        <v>73455745</v>
      </c>
      <c r="X4" s="407">
        <f>仓储现金流!Z78+地下车库现金流!Z13+地下商业现金流!Z86+地上商业现金流!Z401</f>
        <v>73455745</v>
      </c>
      <c r="Y4" s="407">
        <f>仓储现金流!AA78+地下车库现金流!AA13+地下商业现金流!AA86+地上商业现金流!AA401</f>
        <v>73455745</v>
      </c>
      <c r="Z4" s="407">
        <f>仓储现金流!AB78+地下车库现金流!AB13+地下商业现金流!AB86+地上商业现金流!AB401</f>
        <v>73455745</v>
      </c>
      <c r="AA4" s="407">
        <f>仓储现金流!AC78+地下车库现金流!AC13+地下商业现金流!AC86+地上商业现金流!AC401</f>
        <v>78697041</v>
      </c>
      <c r="AB4" s="407">
        <f>仓储现金流!AD78+地下车库现金流!AD13+地下商业现金流!AD86+地上商业现金流!AD401</f>
        <v>78697041</v>
      </c>
      <c r="AC4" s="407">
        <f>仓储现金流!AE78+地下车库现金流!AE13+地下商业现金流!AE86+地上商业现金流!AE401</f>
        <v>78697041</v>
      </c>
      <c r="AD4" s="407">
        <f>仓储现金流!AF78+地下车库现金流!AF13+地下商业现金流!AF86+地上商业现金流!AF401</f>
        <v>78697041</v>
      </c>
      <c r="AE4" s="407">
        <f>仓储现金流!AG78+地下车库现金流!AG13+地下商业现金流!AG86+地上商业现金流!AG401</f>
        <v>84387855</v>
      </c>
      <c r="AF4" s="407">
        <f>仓储现金流!AH78+地下车库现金流!AH13+地下商业现金流!AH86+地上商业现金流!AH401</f>
        <v>84387855</v>
      </c>
      <c r="AG4" s="407">
        <f>仓储现金流!AI78+地下车库现金流!AI13+地下商业现金流!AI86+地上商业现金流!AI401</f>
        <v>84387855</v>
      </c>
      <c r="AH4" s="407">
        <f>仓储现金流!AJ78+地下车库现金流!AJ13+地下商业现金流!AJ86+地上商业现金流!AJ401</f>
        <v>84387855</v>
      </c>
      <c r="AI4" s="407">
        <f>仓储现金流!AK78+地下车库现金流!AK13+地下商业现金流!AK86+地上商业现金流!AK401</f>
        <v>90588730</v>
      </c>
      <c r="AJ4" s="407">
        <f>仓储现金流!AL78+地下车库现金流!AL13+地下商业现金流!AL86+地上商业现金流!AL401</f>
        <v>90588730</v>
      </c>
      <c r="AK4" s="407">
        <f>仓储现金流!AM78+地下车库现金流!AM13+地下商业现金流!AM86+地上商业现金流!AM401</f>
        <v>90588730</v>
      </c>
      <c r="AL4" s="407">
        <f>仓储现金流!AN78+地下车库现金流!AN13+地下商业现金流!AN86+地上商业现金流!AN401</f>
        <v>90588730</v>
      </c>
      <c r="AM4" s="407">
        <f>仓储现金流!AO78+地下车库现金流!AO13+地下商业现金流!AO86+地上商业现金流!AO401</f>
        <v>97366100</v>
      </c>
      <c r="AN4" s="407">
        <f>仓储现金流!AP78+地下车库现金流!AP13+地下商业现金流!AP86+地上商业现金流!AP401</f>
        <v>97366100</v>
      </c>
      <c r="AO4" s="407">
        <f>仓储现金流!AQ78+地下车库现金流!AQ13+地下商业现金流!AQ86+地上商业现金流!AQ401</f>
        <v>97366100</v>
      </c>
      <c r="AP4" s="407">
        <f>仓储现金流!AR78+地下车库现金流!AR13+地下商业现金流!AR86+地上商业现金流!AR401</f>
        <v>97366100</v>
      </c>
      <c r="AQ4" s="407">
        <f>仓储现金流!AS78+地下车库现金流!AS13+地下商业现金流!AS86+地上商业现金流!AS401</f>
        <v>104648182</v>
      </c>
      <c r="AR4" s="407">
        <f>仓储现金流!AT78+地下车库现金流!AT13+地下商业现金流!AT86+地上商业现金流!AT401</f>
        <v>104648182</v>
      </c>
      <c r="AS4" s="407">
        <f>仓储现金流!AU78+地下车库现金流!AU13+地下商业现金流!AU86+地上商业现金流!AU401</f>
        <v>104648182</v>
      </c>
      <c r="AT4" s="407">
        <f>仓储现金流!AV78+地下车库现金流!AV13+地下商业现金流!AV86+地上商业现金流!AV401</f>
        <v>104648182</v>
      </c>
      <c r="AU4" s="407">
        <f>仓储现金流!AW78+地下车库现金流!AW13+地下商业现金流!AW86+地上商业现金流!AW401</f>
        <v>112644177</v>
      </c>
      <c r="AV4" s="407">
        <f>仓储现金流!AX78+地下车库现金流!AX13+地下商业现金流!AX86+地上商业现金流!AX401</f>
        <v>112644177</v>
      </c>
      <c r="AW4" s="407">
        <f>仓储现金流!AY78+地下车库现金流!AY13+地下商业现金流!AY86+地上商业现金流!AY401</f>
        <v>112644177</v>
      </c>
      <c r="AX4" s="407">
        <f>仓储现金流!AZ78+地下车库现金流!AZ13+地下商业现金流!AZ86+地上商业现金流!AZ401</f>
        <v>112644177</v>
      </c>
      <c r="AY4" s="407">
        <f>仓储现金流!BA78+地下车库现金流!BA13+地下商业现金流!BA86+地上商业现金流!BA401</f>
        <v>121313173</v>
      </c>
      <c r="AZ4" s="407">
        <f>仓储现金流!BB78+地下车库现金流!BB13+地下商业现金流!BB86+地上商业现金流!BB401</f>
        <v>121313173</v>
      </c>
      <c r="BA4" s="407">
        <f>仓储现金流!BC78+地下车库现金流!BC13+地下商业现金流!BC86+地上商业现金流!BC401</f>
        <v>121313173</v>
      </c>
      <c r="BB4" s="407">
        <f>仓储现金流!BD78+地下车库现金流!BD13+地下商业现金流!BD86+地上商业现金流!BD401</f>
        <v>121313173</v>
      </c>
      <c r="BC4" s="407">
        <f>仓储现金流!BE78+地下车库现金流!BE13+地下商业现金流!BE86+地上商业现金流!BE401</f>
        <v>130713736</v>
      </c>
      <c r="BD4" s="407">
        <f>仓储现金流!BF78+地下车库现金流!BF13+地下商业现金流!BF86+地上商业现金流!BF401</f>
        <v>130713736</v>
      </c>
      <c r="BE4" s="407">
        <f>仓储现金流!BG78+地下车库现金流!BG13+地下商业现金流!BG86+地上商业现金流!BG401</f>
        <v>130713736</v>
      </c>
      <c r="BF4" s="407">
        <f>仓储现金流!BH78+地下车库现金流!BH13+地下商业现金流!BH86+地上商业现金流!BH401</f>
        <v>130713736</v>
      </c>
      <c r="BG4" s="407">
        <f>仓储现金流!BI78+地下车库现金流!BI13+地下商业现金流!BI86+地上商业现金流!BI401</f>
        <v>140909658</v>
      </c>
      <c r="BH4" s="407">
        <f>仓储现金流!BJ78+地下车库现金流!BJ13+地下商业现金流!BJ86+地上商业现金流!BJ401</f>
        <v>140909658</v>
      </c>
      <c r="BI4" s="407">
        <f>仓储现金流!BK78+地下车库现金流!BK13+地下商业现金流!BK86+地上商业现金流!BK401</f>
        <v>140909658</v>
      </c>
      <c r="BJ4" s="407">
        <f>仓储现金流!BL78+地下车库现金流!BL13+地下商业现金流!BL86+地上商业现金流!BL401</f>
        <v>140909658</v>
      </c>
      <c r="BK4" s="407">
        <f>仓储现金流!BM78+地下车库现金流!BM13+地下商业现金流!BM86+地上商业现金流!BM401</f>
        <v>151970394</v>
      </c>
      <c r="BL4" s="407">
        <f>仓储现金流!BN78+地下车库现金流!BN13+地下商业现金流!BN86+地上商业现金流!BN401</f>
        <v>151970394</v>
      </c>
      <c r="BM4" s="407">
        <f>仓储现金流!BO78+地下车库现金流!BO13+地下商业现金流!BO86+地上商业现金流!BO401</f>
        <v>151970394</v>
      </c>
      <c r="BN4" s="407">
        <f>仓储现金流!BP78+地下车库现金流!BP13+地下商业现金流!BP86+地上商业现金流!BP401</f>
        <v>151970394</v>
      </c>
      <c r="BO4" s="407">
        <f>仓储现金流!BQ78+地下车库现金流!BQ13+地下商业现金流!BQ86+地上商业现金流!BQ401</f>
        <v>163971607</v>
      </c>
      <c r="BP4" s="407">
        <f>仓储现金流!BR78+地下车库现金流!BR13+地下商业现金流!BR86+地上商业现金流!BR401</f>
        <v>163971607</v>
      </c>
      <c r="BQ4" s="407">
        <f>仓储现金流!BS78+地下车库现金流!BS13+地下商业现金流!BS86+地上商业现金流!BS401</f>
        <v>163971607</v>
      </c>
      <c r="BR4" s="407">
        <f>仓储现金流!BT78+地下车库现金流!BT13+地下商业现金流!BT86+地上商业现金流!BT401</f>
        <v>163971607</v>
      </c>
      <c r="BS4" s="407">
        <f>仓储现金流!BU78+地下车库现金流!BU13+地下商业现金流!BU86+地上商业现金流!BU401</f>
        <v>176995686</v>
      </c>
      <c r="BT4" s="407">
        <f>仓储现金流!BV78+地下车库现金流!BV13+地下商业现金流!BV86+地上商业现金流!BV401</f>
        <v>176995686</v>
      </c>
      <c r="BU4" s="407">
        <f>仓储现金流!BW78+地下车库现金流!BW13+地下商业现金流!BW86+地上商业现金流!BW401</f>
        <v>176995686</v>
      </c>
      <c r="BV4" s="407">
        <f>仓储现金流!BX78+地下车库现金流!BX13+地下商业现金流!BX86+地上商业现金流!BX401</f>
        <v>176995686</v>
      </c>
      <c r="BW4" s="407">
        <f>仓储现金流!BY78+地下车库现金流!BY13+地下商业现金流!BY86+地上商业现金流!BY401</f>
        <v>191132430</v>
      </c>
      <c r="BX4" s="407">
        <f>仓储现金流!BZ78+地下车库现金流!BZ13+地下商业现金流!BZ86+地上商业现金流!BZ401</f>
        <v>191132430</v>
      </c>
      <c r="BY4" s="407">
        <f>仓储现金流!CA78+地下车库现金流!CA13+地下商业现金流!CA86+地上商业现金流!CA401</f>
        <v>191132430</v>
      </c>
      <c r="BZ4" s="407">
        <f>仓储现金流!CB78+地下车库现金流!CB13+地下商业现金流!CB86+地上商业现金流!CB401</f>
        <v>191132430</v>
      </c>
      <c r="CA4" s="407">
        <f>仓储现金流!CC78+地下车库现金流!CC13+地下商业现金流!CC86+地上商业现金流!CC401</f>
        <v>206479598</v>
      </c>
      <c r="CB4" s="407">
        <f>仓储现金流!CD78+地下车库现金流!CD13+地下商业现金流!CD86+地上商业现金流!CD401</f>
        <v>206479598</v>
      </c>
      <c r="CC4" s="407">
        <f>仓储现金流!CE78+地下车库现金流!CE13+地下商业现金流!CE86+地上商业现金流!CE401</f>
        <v>206479598</v>
      </c>
      <c r="CD4" s="407">
        <f>仓储现金流!CF78+地下车库现金流!CF13+地下商业现金流!CF86+地上商业现金流!CF401</f>
        <v>206479598</v>
      </c>
      <c r="CE4" s="407">
        <f>仓储现金流!CG78+地下车库现金流!CG13+地下商业现金流!CG86+地上商业现金流!CG401</f>
        <v>223143762</v>
      </c>
      <c r="CF4" s="407">
        <f>仓储现金流!CH78+地下车库现金流!CH13+地下商业现金流!CH86+地上商业现金流!CH401</f>
        <v>223143762</v>
      </c>
      <c r="CG4" s="407">
        <f>仓储现金流!CI78+地下车库现金流!CI13+地下商业现金流!CI86+地上商业现金流!CI401</f>
        <v>223143762</v>
      </c>
      <c r="CH4" s="407">
        <f>仓储现金流!CJ78+地下车库现金流!CJ13+地下商业现金流!CJ86+地上商业现金流!CJ401</f>
        <v>223143762</v>
      </c>
      <c r="CI4" s="401">
        <f>SUM(C4:CH4)</f>
        <v>9829469426</v>
      </c>
      <c r="CK4" s="401">
        <f>仓储现金流!CK78+地下车库现金流!CK13+地下商业现金流!CK86+地上商业现金流!CK401</f>
        <v>9829469426</v>
      </c>
    </row>
    <row r="5" spans="1:97" s="401" customFormat="1" ht="28.5" customHeight="1">
      <c r="A5" s="408" t="s">
        <v>1239</v>
      </c>
      <c r="B5" s="406"/>
      <c r="C5" s="407">
        <f>地下商业现金流!E90+地下车库现金流!E17+地上商业现金流!E405+仓储现金流!E82</f>
        <v>12125135</v>
      </c>
      <c r="D5" s="407">
        <f>地下商业现金流!F90+地下车库现金流!F17+地上商业现金流!F405+仓储现金流!F82</f>
        <v>12157442</v>
      </c>
      <c r="E5" s="407">
        <f>地下商业现金流!G90+地下车库现金流!G17+地上商业现金流!G405+仓储现金流!G82</f>
        <v>12207302</v>
      </c>
      <c r="F5" s="407">
        <f>地下商业现金流!H90+地下车库现金流!H17+地上商业现金流!H405+仓储现金流!H82</f>
        <v>12250692</v>
      </c>
      <c r="G5" s="407">
        <f>地下商业现金流!I90+地下车库现金流!I17+地上商业现金流!I405+仓储现金流!I82</f>
        <v>12399293</v>
      </c>
      <c r="H5" s="407">
        <f>地下商业现金流!J90+地下车库现金流!J17+地上商业现金流!J405+仓储现金流!J82</f>
        <v>12436122</v>
      </c>
      <c r="I5" s="407">
        <f>地下商业现金流!K90+地下车库现金流!K17+地上商业现金流!K405+仓储现金流!K82</f>
        <v>12485615</v>
      </c>
      <c r="J5" s="407">
        <f>地下商业现金流!L90+地下车库现金流!L17+地上商业现金流!L405+仓储现金流!L82</f>
        <v>12506391</v>
      </c>
      <c r="K5" s="407">
        <f>地下商业现金流!M90+地下车库现金流!M17+地上商业现金流!M405+仓储现金流!M82</f>
        <v>13051760</v>
      </c>
      <c r="L5" s="407">
        <f>地下商业现金流!N90+地下车库现金流!N17+地上商业现金流!N405+仓储现金流!N82</f>
        <v>13051760</v>
      </c>
      <c r="M5" s="407">
        <f>地下商业现金流!O90+地下车库现金流!O17+地上商业现金流!O405+仓储现金流!O82</f>
        <v>13064464</v>
      </c>
      <c r="N5" s="407">
        <f>地下商业现金流!P90+地下车库现金流!P17+地上商业现金流!P405+仓储现金流!P82</f>
        <v>13064464</v>
      </c>
      <c r="O5" s="407">
        <f>地下商业现金流!Q90+地下车库现金流!Q17+地上商业现金流!Q405+仓储现金流!Q82</f>
        <v>13801820</v>
      </c>
      <c r="P5" s="407">
        <f>地下商业现金流!R90+地下车库现金流!R17+地上商业现金流!R405+仓储现金流!R82</f>
        <v>13803479</v>
      </c>
      <c r="Q5" s="407">
        <f>地下商业现金流!S90+地下车库现金流!S17+地上商业现金流!S405+仓储现金流!S82</f>
        <v>13803479</v>
      </c>
      <c r="R5" s="407">
        <f>地下商业现金流!T90+地下车库现金流!T17+地上商业现金流!T405+仓储现金流!T82</f>
        <v>13803479</v>
      </c>
      <c r="S5" s="407">
        <f>地下商业现金流!U90+地下车库现金流!U17+地上商业现金流!U405+仓储现金流!U82</f>
        <v>14690345</v>
      </c>
      <c r="T5" s="407">
        <f>地下商业现金流!V90+地下车库现金流!V17+地上商业现金流!V405+仓储现金流!V82</f>
        <v>14690345</v>
      </c>
      <c r="U5" s="407">
        <f>地下商业现金流!W90+地下车库现金流!W17+地上商业现金流!W405+仓储现金流!W82</f>
        <v>14700229</v>
      </c>
      <c r="V5" s="407">
        <f>地下商业现金流!X90+地下车库现金流!X17+地上商业现金流!X405+仓储现金流!X82</f>
        <v>14700229</v>
      </c>
      <c r="W5" s="407">
        <f>地下商业现金流!Y90+地下车库现金流!Y17+地上商业现金流!Y405+仓储现金流!Y82</f>
        <v>15728406</v>
      </c>
      <c r="X5" s="407">
        <f>地下商业现金流!Z90+地下车库现金流!Z17+地上商业现金流!Z405+仓储现金流!Z82</f>
        <v>15728406</v>
      </c>
      <c r="Y5" s="407">
        <f>地下商业现金流!AA90+地下车库现金流!AA17+地上商业现金流!AA405+仓储现金流!AA82</f>
        <v>15728406</v>
      </c>
      <c r="Z5" s="407">
        <f>地下商业现金流!AB90+地下车库现金流!AB17+地上商业现金流!AB405+仓储现金流!AB82</f>
        <v>15728406</v>
      </c>
      <c r="AA5" s="407">
        <f>地下商业现金流!AC90+地下车库现金流!AC17+地上商业现金流!AC405+仓储现金流!AC82</f>
        <v>16846552</v>
      </c>
      <c r="AB5" s="407">
        <f>地下商业现金流!AD90+地下车库现金流!AD17+地上商业现金流!AD405+仓储现金流!AD82</f>
        <v>16846552</v>
      </c>
      <c r="AC5" s="407">
        <f>地下商业现金流!AE90+地下车库现金流!AE17+地上商业现金流!AE405+仓储现金流!AE82</f>
        <v>16846552</v>
      </c>
      <c r="AD5" s="407">
        <f>地下商业现金流!AF90+地下车库现金流!AF17+地上商业现金流!AF405+仓储现金流!AF82</f>
        <v>16846552</v>
      </c>
      <c r="AE5" s="407">
        <f>地下商业现金流!AG90+地下车库现金流!AG17+地上商业现金流!AG405+仓储现金流!AG82</f>
        <v>18060590</v>
      </c>
      <c r="AF5" s="407">
        <f>地下商业现金流!AH90+地下车库现金流!AH17+地上商业现金流!AH405+仓储现金流!AH82</f>
        <v>18060590</v>
      </c>
      <c r="AG5" s="407">
        <f>地下商业现金流!AI90+地下车库现金流!AI17+地上商业现金流!AI405+仓储现金流!AI82</f>
        <v>18060590</v>
      </c>
      <c r="AH5" s="407">
        <f>地下商业现金流!AJ90+地下车库现金流!AJ17+地上商业现金流!AJ405+仓储现金流!AJ82</f>
        <v>18060590</v>
      </c>
      <c r="AI5" s="407">
        <f>地下商业现金流!AK90+地下车库现金流!AK17+地上商业现金流!AK405+仓储现金流!AK82</f>
        <v>19383444</v>
      </c>
      <c r="AJ5" s="407">
        <f>地下商业现金流!AL90+地下车库现金流!AL17+地上商业现金流!AL405+仓储现金流!AL82</f>
        <v>19383444</v>
      </c>
      <c r="AK5" s="407">
        <f>地下商业现金流!AM90+地下车库现金流!AM17+地上商业现金流!AM405+仓储现金流!AM82</f>
        <v>19383444</v>
      </c>
      <c r="AL5" s="407">
        <f>地下商业现金流!AN90+地下车库现金流!AN17+地上商业现金流!AN405+仓储现金流!AN82</f>
        <v>19383444</v>
      </c>
      <c r="AM5" s="407">
        <f>地下商业现金流!AO90+地下车库现金流!AO17+地上商业现金流!AO405+仓储现金流!AO82</f>
        <v>20829282</v>
      </c>
      <c r="AN5" s="407">
        <f>地下商业现金流!AP90+地下车库现金流!AP17+地上商业现金流!AP405+仓储现金流!AP82</f>
        <v>20829282</v>
      </c>
      <c r="AO5" s="407">
        <f>地下商业现金流!AQ90+地下车库现金流!AQ17+地上商业现金流!AQ405+仓储现金流!AQ82</f>
        <v>20829282</v>
      </c>
      <c r="AP5" s="407">
        <f>地下商业现金流!AR90+地下车库现金流!AR17+地上商业现金流!AR405+仓储现金流!AR82</f>
        <v>20829282</v>
      </c>
      <c r="AQ5" s="407">
        <f>地下商业现金流!AS90+地下车库现金流!AS17+地上商业现金流!AS405+仓储现金流!AS82</f>
        <v>22382792</v>
      </c>
      <c r="AR5" s="407">
        <f>地下商业现金流!AT90+地下车库现金流!AT17+地上商业现金流!AT405+仓储现金流!AT82</f>
        <v>22382792</v>
      </c>
      <c r="AS5" s="407">
        <f>地下商业现金流!AU90+地下车库现金流!AU17+地上商业现金流!AU405+仓储现金流!AU82</f>
        <v>22382792</v>
      </c>
      <c r="AT5" s="407">
        <f>地下商业现金流!AV90+地下车库现金流!AV17+地上商业现金流!AV405+仓储现金流!AV82</f>
        <v>22382792</v>
      </c>
      <c r="AU5" s="407">
        <f>地下商业现金流!AW90+地下车库现金流!AW17+地上商业现金流!AW405+仓储现金流!AW82</f>
        <v>24088605</v>
      </c>
      <c r="AV5" s="407">
        <f>地下商业现金流!AX90+地下车库现金流!AX17+地上商业现金流!AX405+仓储现金流!AX82</f>
        <v>24088605</v>
      </c>
      <c r="AW5" s="407">
        <f>地下商业现金流!AY90+地下车库现金流!AY17+地上商业现金流!AY405+仓储现金流!AY82</f>
        <v>24088605</v>
      </c>
      <c r="AX5" s="407">
        <f>地下商业现金流!AZ90+地下车库现金流!AZ17+地上商业现金流!AZ405+仓储现金流!AZ82</f>
        <v>24088605</v>
      </c>
      <c r="AY5" s="407">
        <f>地下商业现金流!BA90+地下车库现金流!BA17+地上商业现金流!BA405+仓储现金流!BA82</f>
        <v>25937991</v>
      </c>
      <c r="AZ5" s="407">
        <f>地下商业现金流!BB90+地下车库现金流!BB17+地上商业现金流!BB405+仓储现金流!BB82</f>
        <v>25937991</v>
      </c>
      <c r="BA5" s="407">
        <f>地下商业现金流!BC90+地下车库现金流!BC17+地上商业现金流!BC405+仓储现金流!BC82</f>
        <v>25937991</v>
      </c>
      <c r="BB5" s="407">
        <f>地下商业现金流!BD90+地下车库现金流!BD17+地上商业现金流!BD405+仓储现金流!BD82</f>
        <v>25937991</v>
      </c>
      <c r="BC5" s="407">
        <f>地下商业现金流!BE90+地下车库现金流!BE17+地上商业现金流!BE405+仓储现金流!BE82</f>
        <v>27943444</v>
      </c>
      <c r="BD5" s="407">
        <f>地下商业现金流!BF90+地下车库现金流!BF17+地上商业现金流!BF405+仓储现金流!BF82</f>
        <v>27943444</v>
      </c>
      <c r="BE5" s="407">
        <f>地下商业现金流!BG90+地下车库现金流!BG17+地上商业现金流!BG405+仓储现金流!BG82</f>
        <v>27943444</v>
      </c>
      <c r="BF5" s="407">
        <f>地下商业现金流!BH90+地下车库现金流!BH17+地上商业现金流!BH405+仓储现金流!BH82</f>
        <v>27943444</v>
      </c>
      <c r="BG5" s="407">
        <f>地下商业现金流!BI90+地下车库现金流!BI17+地上商业现金流!BI405+仓储现金流!BI82</f>
        <v>30118576</v>
      </c>
      <c r="BH5" s="407">
        <f>地下商业现金流!BJ90+地下车库现金流!BJ17+地上商业现金流!BJ405+仓储现金流!BJ82</f>
        <v>30118576</v>
      </c>
      <c r="BI5" s="407">
        <f>地下商业现金流!BK90+地下车库现金流!BK17+地上商业现金流!BK405+仓储现金流!BK82</f>
        <v>30118576</v>
      </c>
      <c r="BJ5" s="407">
        <f>地下商业现金流!BL90+地下车库现金流!BL17+地上商业现金流!BL405+仓储现金流!BL82</f>
        <v>30118576</v>
      </c>
      <c r="BK5" s="407">
        <f>地下商业现金流!BM90+地下车库现金流!BM17+地上商业现金流!BM405+仓储现金流!BM82</f>
        <v>32478200</v>
      </c>
      <c r="BL5" s="407">
        <f>地下商业现金流!BN90+地下车库现金流!BN17+地上商业现金流!BN405+仓储现金流!BN82</f>
        <v>32478200</v>
      </c>
      <c r="BM5" s="407">
        <f>地下商业现金流!BO90+地下车库现金流!BO17+地上商业现金流!BO405+仓储现金流!BO82</f>
        <v>32478200</v>
      </c>
      <c r="BN5" s="407">
        <f>地下商业现金流!BP90+地下车库现金流!BP17+地上商业现金流!BP405+仓储现金流!BP82</f>
        <v>32478200</v>
      </c>
      <c r="BO5" s="407">
        <f>地下商业现金流!BQ90+地下车库现金流!BQ17+地上商业现金流!BQ405+仓储现金流!BQ82</f>
        <v>35038458</v>
      </c>
      <c r="BP5" s="407">
        <f>地下商业现金流!BR90+地下车库现金流!BR17+地上商业现金流!BR405+仓储现金流!BR82</f>
        <v>35038458</v>
      </c>
      <c r="BQ5" s="407">
        <f>地下商业现金流!BS90+地下车库现金流!BS17+地上商业现金流!BS405+仓储现金流!BS82</f>
        <v>35038458</v>
      </c>
      <c r="BR5" s="407">
        <f>地下商业现金流!BT90+地下车库现金流!BT17+地上商业现金流!BT405+仓储现金流!BT82</f>
        <v>35038458</v>
      </c>
      <c r="BS5" s="407">
        <f>地下商业现金流!BU90+地下车库现金流!BU17+地上商业现金流!BU405+仓储现金流!BU82</f>
        <v>37816926</v>
      </c>
      <c r="BT5" s="407">
        <f>地下商业现金流!BV90+地下车库现金流!BV17+地上商业现金流!BV405+仓储现金流!BV82</f>
        <v>37816926</v>
      </c>
      <c r="BU5" s="407">
        <f>地下商业现金流!BW90+地下车库现金流!BW17+地上商业现金流!BW405+仓储现金流!BW82</f>
        <v>37816926</v>
      </c>
      <c r="BV5" s="407">
        <f>地下商业现金流!BX90+地下车库现金流!BX17+地上商业现金流!BX405+仓储现金流!BX82</f>
        <v>37816926</v>
      </c>
      <c r="BW5" s="407">
        <f>地下商业现金流!BY90+地下车库现金流!BY17+地上商业现金流!BY405+仓储现金流!BY82</f>
        <v>40832766</v>
      </c>
      <c r="BX5" s="407">
        <f>地下商业现金流!BZ90+地下车库现金流!BZ17+地上商业现金流!BZ405+仓储现金流!BZ82</f>
        <v>40832766</v>
      </c>
      <c r="BY5" s="407">
        <f>地下商业现金流!CA90+地下车库现金流!CA17+地上商业现金流!CA405+仓储现金流!CA82</f>
        <v>40832766</v>
      </c>
      <c r="BZ5" s="407">
        <f>地下商业现金流!CB90+地下车库现金流!CB17+地上商业现金流!CB405+仓储现金流!CB82</f>
        <v>40832766</v>
      </c>
      <c r="CA5" s="407">
        <f>地下商业现金流!CC90+地下车库现金流!CC17+地上商业现金流!CC405+仓储现金流!CC82</f>
        <v>44106830</v>
      </c>
      <c r="CB5" s="407">
        <f>地下商业现金流!CD90+地下车库现金流!CD17+地上商业现金流!CD405+仓储现金流!CD82</f>
        <v>44106830</v>
      </c>
      <c r="CC5" s="407">
        <f>地下商业现金流!CE90+地下车库现金流!CE17+地上商业现金流!CE405+仓储现金流!CE82</f>
        <v>44106830</v>
      </c>
      <c r="CD5" s="407">
        <f>地下商业现金流!CF90+地下车库现金流!CF17+地上商业现金流!CF405+仓储现金流!CF82</f>
        <v>44106830</v>
      </c>
      <c r="CE5" s="407">
        <f>地下商业现金流!CG90+地下车库现金流!CG17+地上商业现金流!CG405+仓储现金流!CG82</f>
        <v>47661853</v>
      </c>
      <c r="CF5" s="407">
        <f>地下商业现金流!CH90+地下车库现金流!CH17+地上商业现金流!CH405+仓储现金流!CH82</f>
        <v>47661853</v>
      </c>
      <c r="CG5" s="407">
        <f>地下商业现金流!CI90+地下车库现金流!CI17+地上商业现金流!CI405+仓储现金流!CI82</f>
        <v>47661853</v>
      </c>
      <c r="CH5" s="407">
        <f>地下商业现金流!CJ90+地下车库现金流!CJ17+地上商业现金流!CJ405+仓储现金流!CJ82</f>
        <v>47661853</v>
      </c>
      <c r="CI5" s="401">
        <f>SUM(C5:CH5)</f>
        <v>2101812705</v>
      </c>
      <c r="CK5" s="401">
        <f>仓储现金流!CK82+地下车库现金流!CK17+地下商业现金流!CK90+地上商业现金流!CK405</f>
        <v>2101812705</v>
      </c>
    </row>
    <row r="6" spans="1:97" s="401" customFormat="1" ht="21.75" customHeight="1">
      <c r="A6" s="405" t="s">
        <v>1225</v>
      </c>
      <c r="B6" s="406"/>
      <c r="C6" s="409">
        <f>C4-C5</f>
        <v>44440277</v>
      </c>
      <c r="D6" s="409">
        <f>D4-D5</f>
        <v>44559411</v>
      </c>
      <c r="E6" s="409">
        <f>E4-E5</f>
        <v>44743268</v>
      </c>
      <c r="F6" s="409">
        <f>F4-F5</f>
        <v>44903271</v>
      </c>
      <c r="G6" s="409">
        <f t="shared" ref="G6:AH6" si="0">G4-G5</f>
        <v>45451235</v>
      </c>
      <c r="H6" s="409">
        <f t="shared" si="0"/>
        <v>45587036</v>
      </c>
      <c r="I6" s="409">
        <f t="shared" si="0"/>
        <v>45769550</v>
      </c>
      <c r="J6" s="409">
        <f t="shared" si="0"/>
        <v>45846156</v>
      </c>
      <c r="K6" s="409">
        <f t="shared" si="0"/>
        <v>47857201</v>
      </c>
      <c r="L6" s="409">
        <f t="shared" si="0"/>
        <v>47857201</v>
      </c>
      <c r="M6" s="409">
        <f t="shared" si="0"/>
        <v>47904045</v>
      </c>
      <c r="N6" s="409">
        <f t="shared" si="0"/>
        <v>47904045</v>
      </c>
      <c r="O6" s="409">
        <f t="shared" si="0"/>
        <v>50623051</v>
      </c>
      <c r="P6" s="409">
        <f t="shared" si="0"/>
        <v>50629166</v>
      </c>
      <c r="Q6" s="409">
        <f t="shared" si="0"/>
        <v>50629166</v>
      </c>
      <c r="R6" s="409">
        <f t="shared" si="0"/>
        <v>50629166</v>
      </c>
      <c r="S6" s="409">
        <f t="shared" si="0"/>
        <v>53899486</v>
      </c>
      <c r="T6" s="409">
        <f t="shared" si="0"/>
        <v>53899486</v>
      </c>
      <c r="U6" s="409">
        <f t="shared" si="0"/>
        <v>53935934</v>
      </c>
      <c r="V6" s="409">
        <f t="shared" si="0"/>
        <v>53935934</v>
      </c>
      <c r="W6" s="409">
        <f t="shared" si="0"/>
        <v>57727339</v>
      </c>
      <c r="X6" s="409">
        <f t="shared" si="0"/>
        <v>57727339</v>
      </c>
      <c r="Y6" s="409">
        <f t="shared" si="0"/>
        <v>57727339</v>
      </c>
      <c r="Z6" s="409">
        <f t="shared" si="0"/>
        <v>57727339</v>
      </c>
      <c r="AA6" s="409">
        <f t="shared" si="0"/>
        <v>61850489</v>
      </c>
      <c r="AB6" s="409">
        <f t="shared" si="0"/>
        <v>61850489</v>
      </c>
      <c r="AC6" s="409">
        <f t="shared" si="0"/>
        <v>61850489</v>
      </c>
      <c r="AD6" s="409">
        <f t="shared" si="0"/>
        <v>61850489</v>
      </c>
      <c r="AE6" s="409">
        <f t="shared" si="0"/>
        <v>66327265</v>
      </c>
      <c r="AF6" s="409">
        <f t="shared" si="0"/>
        <v>66327265</v>
      </c>
      <c r="AG6" s="409">
        <f t="shared" si="0"/>
        <v>66327265</v>
      </c>
      <c r="AH6" s="409">
        <f t="shared" si="0"/>
        <v>66327265</v>
      </c>
      <c r="AI6" s="409">
        <f t="shared" ref="AI6:BN6" si="1">AI4-AI5</f>
        <v>71205286</v>
      </c>
      <c r="AJ6" s="409">
        <f t="shared" si="1"/>
        <v>71205286</v>
      </c>
      <c r="AK6" s="409">
        <f t="shared" si="1"/>
        <v>71205286</v>
      </c>
      <c r="AL6" s="409">
        <f t="shared" si="1"/>
        <v>71205286</v>
      </c>
      <c r="AM6" s="409">
        <f t="shared" si="1"/>
        <v>76536818</v>
      </c>
      <c r="AN6" s="409">
        <f t="shared" si="1"/>
        <v>76536818</v>
      </c>
      <c r="AO6" s="409">
        <f t="shared" si="1"/>
        <v>76536818</v>
      </c>
      <c r="AP6" s="409">
        <f t="shared" si="1"/>
        <v>76536818</v>
      </c>
      <c r="AQ6" s="409">
        <f t="shared" si="1"/>
        <v>82265390</v>
      </c>
      <c r="AR6" s="409">
        <f t="shared" si="1"/>
        <v>82265390</v>
      </c>
      <c r="AS6" s="409">
        <f t="shared" si="1"/>
        <v>82265390</v>
      </c>
      <c r="AT6" s="409">
        <f t="shared" si="1"/>
        <v>82265390</v>
      </c>
      <c r="AU6" s="409">
        <f t="shared" si="1"/>
        <v>88555572</v>
      </c>
      <c r="AV6" s="409">
        <f t="shared" si="1"/>
        <v>88555572</v>
      </c>
      <c r="AW6" s="409">
        <f t="shared" si="1"/>
        <v>88555572</v>
      </c>
      <c r="AX6" s="409">
        <f t="shared" si="1"/>
        <v>88555572</v>
      </c>
      <c r="AY6" s="409">
        <f t="shared" si="1"/>
        <v>95375182</v>
      </c>
      <c r="AZ6" s="409">
        <f t="shared" si="1"/>
        <v>95375182</v>
      </c>
      <c r="BA6" s="409">
        <f t="shared" si="1"/>
        <v>95375182</v>
      </c>
      <c r="BB6" s="409">
        <f t="shared" si="1"/>
        <v>95375182</v>
      </c>
      <c r="BC6" s="409">
        <f t="shared" si="1"/>
        <v>102770292</v>
      </c>
      <c r="BD6" s="409">
        <f t="shared" si="1"/>
        <v>102770292</v>
      </c>
      <c r="BE6" s="409">
        <f t="shared" si="1"/>
        <v>102770292</v>
      </c>
      <c r="BF6" s="409">
        <f t="shared" si="1"/>
        <v>102770292</v>
      </c>
      <c r="BG6" s="409">
        <f t="shared" si="1"/>
        <v>110791082</v>
      </c>
      <c r="BH6" s="409">
        <f t="shared" si="1"/>
        <v>110791082</v>
      </c>
      <c r="BI6" s="409">
        <f t="shared" si="1"/>
        <v>110791082</v>
      </c>
      <c r="BJ6" s="409">
        <f t="shared" si="1"/>
        <v>110791082</v>
      </c>
      <c r="BK6" s="409">
        <f t="shared" si="1"/>
        <v>119492194</v>
      </c>
      <c r="BL6" s="409">
        <f t="shared" si="1"/>
        <v>119492194</v>
      </c>
      <c r="BM6" s="409">
        <f t="shared" si="1"/>
        <v>119492194</v>
      </c>
      <c r="BN6" s="409">
        <f t="shared" si="1"/>
        <v>119492194</v>
      </c>
      <c r="BO6" s="409">
        <f t="shared" ref="BO6:CG6" si="2">BO4-BO5</f>
        <v>128933149</v>
      </c>
      <c r="BP6" s="409">
        <f t="shared" si="2"/>
        <v>128933149</v>
      </c>
      <c r="BQ6" s="409">
        <f t="shared" si="2"/>
        <v>128933149</v>
      </c>
      <c r="BR6" s="409">
        <f t="shared" si="2"/>
        <v>128933149</v>
      </c>
      <c r="BS6" s="409">
        <f t="shared" si="2"/>
        <v>139178760</v>
      </c>
      <c r="BT6" s="409">
        <f t="shared" si="2"/>
        <v>139178760</v>
      </c>
      <c r="BU6" s="409">
        <f t="shared" si="2"/>
        <v>139178760</v>
      </c>
      <c r="BV6" s="409">
        <f t="shared" si="2"/>
        <v>139178760</v>
      </c>
      <c r="BW6" s="409">
        <f t="shared" si="2"/>
        <v>150299664</v>
      </c>
      <c r="BX6" s="409">
        <f t="shared" si="2"/>
        <v>150299664</v>
      </c>
      <c r="BY6" s="409">
        <f t="shared" si="2"/>
        <v>150299664</v>
      </c>
      <c r="BZ6" s="409">
        <f t="shared" si="2"/>
        <v>150299664</v>
      </c>
      <c r="CA6" s="409">
        <f t="shared" si="2"/>
        <v>162372768</v>
      </c>
      <c r="CB6" s="409">
        <f t="shared" si="2"/>
        <v>162372768</v>
      </c>
      <c r="CC6" s="409">
        <f t="shared" si="2"/>
        <v>162372768</v>
      </c>
      <c r="CD6" s="409">
        <f t="shared" si="2"/>
        <v>162372768</v>
      </c>
      <c r="CE6" s="409">
        <f t="shared" si="2"/>
        <v>175481909</v>
      </c>
      <c r="CF6" s="409">
        <f t="shared" si="2"/>
        <v>175481909</v>
      </c>
      <c r="CG6" s="409">
        <f t="shared" si="2"/>
        <v>175481909</v>
      </c>
      <c r="CH6" s="409">
        <f>CH4-CH5</f>
        <v>175481909</v>
      </c>
      <c r="CI6" s="401">
        <f>SUM(C6:CH6)</f>
        <v>7727656721</v>
      </c>
    </row>
    <row r="7" spans="1:97" s="401" customFormat="1">
      <c r="A7" s="405" t="s">
        <v>1226</v>
      </c>
      <c r="B7" s="410"/>
      <c r="C7" s="520">
        <f>C6+D6+E6+F6</f>
        <v>178646227</v>
      </c>
      <c r="D7" s="521"/>
      <c r="E7" s="521"/>
      <c r="F7" s="522"/>
      <c r="G7" s="520">
        <f>G6+H6+I6+J6</f>
        <v>182653977</v>
      </c>
      <c r="H7" s="521"/>
      <c r="I7" s="521"/>
      <c r="J7" s="522"/>
      <c r="K7" s="520">
        <f>K6+L6+M6+N6</f>
        <v>191522492</v>
      </c>
      <c r="L7" s="521"/>
      <c r="M7" s="521"/>
      <c r="N7" s="522"/>
      <c r="O7" s="520">
        <f>O6+P6+Q6+R6</f>
        <v>202510549</v>
      </c>
      <c r="P7" s="521"/>
      <c r="Q7" s="521"/>
      <c r="R7" s="522"/>
      <c r="S7" s="520">
        <f>S6+T6+U6+V6</f>
        <v>215670840</v>
      </c>
      <c r="T7" s="521"/>
      <c r="U7" s="521"/>
      <c r="V7" s="522"/>
      <c r="W7" s="520">
        <f>W6+X6+Y6+Z6</f>
        <v>230909356</v>
      </c>
      <c r="X7" s="521"/>
      <c r="Y7" s="521"/>
      <c r="Z7" s="522"/>
      <c r="AA7" s="520">
        <f>AA6+AB6+AC6+AD6</f>
        <v>247401956</v>
      </c>
      <c r="AB7" s="521"/>
      <c r="AC7" s="521"/>
      <c r="AD7" s="522"/>
      <c r="AE7" s="520">
        <f>AE6+AF6+AG6+AH6</f>
        <v>265309060</v>
      </c>
      <c r="AF7" s="521"/>
      <c r="AG7" s="521"/>
      <c r="AH7" s="522"/>
      <c r="AI7" s="520">
        <f>AI6+AJ6+AK6+AL6</f>
        <v>284821144</v>
      </c>
      <c r="AJ7" s="521"/>
      <c r="AK7" s="521"/>
      <c r="AL7" s="522"/>
      <c r="AM7" s="520">
        <f>AM6+AN6+AO6+AP6</f>
        <v>306147272</v>
      </c>
      <c r="AN7" s="521"/>
      <c r="AO7" s="521"/>
      <c r="AP7" s="522"/>
      <c r="AQ7" s="520">
        <f>AQ6+AR6+AS6+AT6</f>
        <v>329061560</v>
      </c>
      <c r="AR7" s="521"/>
      <c r="AS7" s="521"/>
      <c r="AT7" s="522"/>
      <c r="AU7" s="520">
        <f>AU6+AV6+AW6+AX6</f>
        <v>354222288</v>
      </c>
      <c r="AV7" s="521"/>
      <c r="AW7" s="521"/>
      <c r="AX7" s="522"/>
      <c r="AY7" s="520">
        <f>AY6+AZ6+BA6+BB6</f>
        <v>381500728</v>
      </c>
      <c r="AZ7" s="521"/>
      <c r="BA7" s="521"/>
      <c r="BB7" s="522"/>
      <c r="BC7" s="520">
        <f>BC6+BD6+BE6+BF6</f>
        <v>411081168</v>
      </c>
      <c r="BD7" s="521"/>
      <c r="BE7" s="521"/>
      <c r="BF7" s="522"/>
      <c r="BG7" s="520">
        <f>BG6+BH6+BI6+BJ6</f>
        <v>443164328</v>
      </c>
      <c r="BH7" s="521"/>
      <c r="BI7" s="521"/>
      <c r="BJ7" s="522"/>
      <c r="BK7" s="520">
        <f>BK6+BL6+BM6+BN6</f>
        <v>477968776</v>
      </c>
      <c r="BL7" s="521"/>
      <c r="BM7" s="521"/>
      <c r="BN7" s="522"/>
      <c r="BO7" s="520">
        <f>BO6+BP6+BQ6+BR6</f>
        <v>515732596</v>
      </c>
      <c r="BP7" s="521"/>
      <c r="BQ7" s="521"/>
      <c r="BR7" s="522"/>
      <c r="BS7" s="520">
        <f>BS6+BT6+BU6+BV6</f>
        <v>556715040</v>
      </c>
      <c r="BT7" s="521"/>
      <c r="BU7" s="521"/>
      <c r="BV7" s="522"/>
      <c r="BW7" s="520">
        <f>BW6+BX6+BY6+BZ6</f>
        <v>601198656</v>
      </c>
      <c r="BX7" s="521"/>
      <c r="BY7" s="521"/>
      <c r="BZ7" s="522"/>
      <c r="CA7" s="520">
        <f>CA6+CB6+CC6+CD6</f>
        <v>649491072</v>
      </c>
      <c r="CB7" s="521"/>
      <c r="CC7" s="521"/>
      <c r="CD7" s="522"/>
      <c r="CE7" s="520">
        <f>CE6+CF6+CG6+CH6</f>
        <v>701927636</v>
      </c>
      <c r="CF7" s="521"/>
      <c r="CG7" s="521"/>
      <c r="CH7" s="522"/>
      <c r="CI7" s="401">
        <f>SUM(C7:CH7)</f>
        <v>7727656721</v>
      </c>
    </row>
    <row r="8" spans="1:97" s="401" customFormat="1">
      <c r="A8" s="402" t="s">
        <v>1240</v>
      </c>
      <c r="B8" s="411"/>
      <c r="C8" s="523"/>
      <c r="D8" s="524"/>
      <c r="E8" s="524"/>
      <c r="F8" s="525"/>
      <c r="G8" s="523"/>
      <c r="H8" s="524"/>
      <c r="I8" s="524"/>
      <c r="J8" s="525"/>
      <c r="K8" s="523"/>
      <c r="L8" s="524"/>
      <c r="M8" s="524"/>
      <c r="N8" s="525"/>
      <c r="O8" s="523"/>
      <c r="P8" s="524"/>
      <c r="Q8" s="524"/>
      <c r="R8" s="525"/>
      <c r="S8" s="523"/>
      <c r="T8" s="524"/>
      <c r="U8" s="524"/>
      <c r="V8" s="525"/>
      <c r="W8" s="523"/>
      <c r="X8" s="524"/>
      <c r="Y8" s="524"/>
      <c r="Z8" s="525"/>
      <c r="AA8" s="523"/>
      <c r="AB8" s="524"/>
      <c r="AC8" s="524"/>
      <c r="AD8" s="525"/>
      <c r="AE8" s="523"/>
      <c r="AF8" s="524"/>
      <c r="AG8" s="524"/>
      <c r="AH8" s="525"/>
      <c r="AI8" s="523"/>
      <c r="AJ8" s="524"/>
      <c r="AK8" s="524"/>
      <c r="AL8" s="525"/>
      <c r="AM8" s="523"/>
      <c r="AN8" s="524"/>
      <c r="AO8" s="524"/>
      <c r="AP8" s="525"/>
      <c r="AQ8" s="523"/>
      <c r="AR8" s="524"/>
      <c r="AS8" s="524"/>
      <c r="AT8" s="525"/>
      <c r="AU8" s="523"/>
      <c r="AV8" s="524"/>
      <c r="AW8" s="524"/>
      <c r="AX8" s="525"/>
      <c r="AY8" s="523"/>
      <c r="AZ8" s="524"/>
      <c r="BA8" s="524"/>
      <c r="BB8" s="525"/>
      <c r="BC8" s="523"/>
      <c r="BD8" s="524"/>
      <c r="BE8" s="524"/>
      <c r="BF8" s="525"/>
      <c r="BG8" s="523"/>
      <c r="BH8" s="524"/>
      <c r="BI8" s="524"/>
      <c r="BJ8" s="525"/>
      <c r="BK8" s="523"/>
      <c r="BL8" s="524"/>
      <c r="BM8" s="524"/>
      <c r="BN8" s="525"/>
      <c r="BO8" s="523"/>
      <c r="BP8" s="524"/>
      <c r="BQ8" s="524"/>
      <c r="BR8" s="525"/>
      <c r="BS8" s="523"/>
      <c r="BT8" s="524"/>
      <c r="BU8" s="524"/>
      <c r="BV8" s="525"/>
      <c r="BW8" s="523"/>
      <c r="BX8" s="524"/>
      <c r="BY8" s="524"/>
      <c r="BZ8" s="525"/>
      <c r="CA8" s="523"/>
      <c r="CB8" s="524"/>
      <c r="CC8" s="524"/>
      <c r="CD8" s="525"/>
      <c r="CE8" s="523"/>
      <c r="CF8" s="524"/>
      <c r="CG8" s="524"/>
      <c r="CH8" s="525"/>
    </row>
    <row r="9" spans="1:97" s="401" customFormat="1" hidden="1">
      <c r="A9" s="402" t="s">
        <v>1241</v>
      </c>
      <c r="B9" s="41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  <c r="AA9" s="402"/>
      <c r="AB9" s="402"/>
      <c r="AC9" s="402"/>
      <c r="AD9" s="402"/>
      <c r="AE9" s="402"/>
      <c r="AF9" s="402"/>
      <c r="AG9" s="402"/>
      <c r="AH9" s="402"/>
      <c r="AI9" s="402"/>
      <c r="AJ9" s="402"/>
      <c r="AK9" s="402"/>
      <c r="AL9" s="402"/>
      <c r="AM9" s="402"/>
      <c r="AN9" s="402"/>
      <c r="AO9" s="402"/>
      <c r="AP9" s="402"/>
      <c r="AQ9" s="402"/>
      <c r="AR9" s="402"/>
      <c r="AS9" s="402"/>
      <c r="AT9" s="402"/>
      <c r="AU9" s="402"/>
      <c r="AV9" s="402"/>
      <c r="AW9" s="413"/>
      <c r="AX9" s="413"/>
      <c r="AY9" s="413"/>
      <c r="AZ9" s="413"/>
      <c r="BA9" s="413"/>
      <c r="BB9" s="413"/>
      <c r="BC9" s="413"/>
      <c r="BD9" s="413"/>
      <c r="BE9" s="413"/>
      <c r="BF9" s="413"/>
      <c r="BG9" s="413"/>
      <c r="BH9" s="413"/>
      <c r="BI9" s="413"/>
      <c r="BJ9" s="413"/>
      <c r="BK9" s="413"/>
      <c r="BL9" s="413"/>
      <c r="BM9" s="413"/>
      <c r="BN9" s="413"/>
      <c r="BO9" s="413"/>
      <c r="BP9" s="413"/>
      <c r="BQ9" s="413"/>
      <c r="BR9" s="413"/>
      <c r="BS9" s="413"/>
      <c r="BT9" s="413"/>
      <c r="BU9" s="413"/>
      <c r="BV9" s="413"/>
      <c r="BW9" s="413"/>
      <c r="BX9" s="413"/>
      <c r="BY9" s="413"/>
      <c r="BZ9" s="413"/>
      <c r="CA9" s="413"/>
      <c r="CB9" s="413"/>
      <c r="CC9" s="413"/>
      <c r="CD9" s="413"/>
      <c r="CE9" s="413"/>
      <c r="CF9" s="413"/>
      <c r="CG9" s="413"/>
      <c r="CH9" s="413"/>
      <c r="CK9" s="401">
        <f>仓储现金流!CK83+地下车库现金流!CK18+地下商业现金流!CK91+地上商业现金流!CK406</f>
        <v>1179536323</v>
      </c>
    </row>
    <row r="10" spans="1:97" s="401" customFormat="1">
      <c r="A10" s="402" t="s">
        <v>1242</v>
      </c>
      <c r="B10" s="412"/>
      <c r="C10" s="523"/>
      <c r="D10" s="524"/>
      <c r="E10" s="524"/>
      <c r="F10" s="525"/>
      <c r="G10" s="523"/>
      <c r="H10" s="524"/>
      <c r="I10" s="524"/>
      <c r="J10" s="525"/>
      <c r="K10" s="523"/>
      <c r="L10" s="524"/>
      <c r="M10" s="524"/>
      <c r="N10" s="525"/>
      <c r="O10" s="523"/>
      <c r="P10" s="524"/>
      <c r="Q10" s="524"/>
      <c r="R10" s="525"/>
      <c r="S10" s="523"/>
      <c r="T10" s="524"/>
      <c r="U10" s="524"/>
      <c r="V10" s="525"/>
      <c r="W10" s="523"/>
      <c r="X10" s="524"/>
      <c r="Y10" s="524"/>
      <c r="Z10" s="525"/>
      <c r="AA10" s="523"/>
      <c r="AB10" s="524"/>
      <c r="AC10" s="524"/>
      <c r="AD10" s="525"/>
      <c r="AE10" s="523"/>
      <c r="AF10" s="524"/>
      <c r="AG10" s="524"/>
      <c r="AH10" s="525"/>
      <c r="AI10" s="523"/>
      <c r="AJ10" s="524"/>
      <c r="AK10" s="524"/>
      <c r="AL10" s="525"/>
      <c r="AM10" s="523"/>
      <c r="AN10" s="524"/>
      <c r="AO10" s="524"/>
      <c r="AP10" s="525"/>
      <c r="AQ10" s="523"/>
      <c r="AR10" s="524"/>
      <c r="AS10" s="524"/>
      <c r="AT10" s="525"/>
      <c r="AU10" s="523"/>
      <c r="AV10" s="524"/>
      <c r="AW10" s="524"/>
      <c r="AX10" s="525"/>
      <c r="AY10" s="523"/>
      <c r="AZ10" s="524"/>
      <c r="BA10" s="524"/>
      <c r="BB10" s="525"/>
      <c r="BC10" s="523"/>
      <c r="BD10" s="524"/>
      <c r="BE10" s="524"/>
      <c r="BF10" s="525"/>
      <c r="BG10" s="523"/>
      <c r="BH10" s="524"/>
      <c r="BI10" s="524"/>
      <c r="BJ10" s="525"/>
      <c r="BK10" s="523"/>
      <c r="BL10" s="524"/>
      <c r="BM10" s="524"/>
      <c r="BN10" s="525"/>
      <c r="BO10" s="523"/>
      <c r="BP10" s="524"/>
      <c r="BQ10" s="524"/>
      <c r="BR10" s="525"/>
      <c r="BS10" s="523"/>
      <c r="BT10" s="524"/>
      <c r="BU10" s="524"/>
      <c r="BV10" s="525"/>
      <c r="BW10" s="523"/>
      <c r="BX10" s="524"/>
      <c r="BY10" s="524"/>
      <c r="BZ10" s="525"/>
      <c r="CA10" s="523"/>
      <c r="CB10" s="524"/>
      <c r="CC10" s="524"/>
      <c r="CD10" s="525"/>
      <c r="CE10" s="523"/>
      <c r="CF10" s="524"/>
      <c r="CG10" s="524"/>
      <c r="CH10" s="525"/>
    </row>
    <row r="11" spans="1:97">
      <c r="A11" s="376" t="s">
        <v>1306</v>
      </c>
      <c r="C11" s="531">
        <f>仓储现金流!E87+地下车库现金流!E23+地下商业现金流!E96+地上商业现金流!E411</f>
        <v>178646227</v>
      </c>
      <c r="D11" s="531"/>
      <c r="E11" s="531"/>
      <c r="F11" s="531"/>
      <c r="G11" s="531">
        <f>仓储现金流!I87+地下车库现金流!I23+地下商业现金流!I96+地上商业现金流!I411</f>
        <v>182653977</v>
      </c>
      <c r="H11" s="531"/>
      <c r="I11" s="531"/>
      <c r="J11" s="531"/>
      <c r="K11" s="531">
        <f>仓储现金流!M87+地下车库现金流!M23+地下商业现金流!M96+地上商业现金流!M411</f>
        <v>191522492</v>
      </c>
      <c r="L11" s="531"/>
      <c r="M11" s="531"/>
      <c r="N11" s="531"/>
      <c r="O11" s="531">
        <f>仓储现金流!Q87+地下车库现金流!Q23+地下商业现金流!Q96+地上商业现金流!Q411</f>
        <v>202510549</v>
      </c>
      <c r="P11" s="531"/>
      <c r="Q11" s="531"/>
      <c r="R11" s="531"/>
      <c r="S11" s="531">
        <f>仓储现金流!U87+地下车库现金流!U23+地下商业现金流!U96+地上商业现金流!U411</f>
        <v>215670840</v>
      </c>
      <c r="T11" s="531"/>
      <c r="U11" s="531"/>
      <c r="V11" s="531"/>
      <c r="W11" s="531">
        <f>仓储现金流!Y87+地下车库现金流!Y23+地下商业现金流!Y96+地上商业现金流!Y411</f>
        <v>230909356</v>
      </c>
      <c r="X11" s="531"/>
      <c r="Y11" s="531"/>
      <c r="Z11" s="531"/>
      <c r="AA11" s="531">
        <f>仓储现金流!AC87+地下车库现金流!AC23+地下商业现金流!AC96+地上商业现金流!AC411</f>
        <v>247401956</v>
      </c>
      <c r="AB11" s="531"/>
      <c r="AC11" s="531"/>
      <c r="AD11" s="531"/>
      <c r="AE11" s="531">
        <f>仓储现金流!AG87+地下车库现金流!AG23+地下商业现金流!AG96+地上商业现金流!AG411</f>
        <v>265309060</v>
      </c>
      <c r="AF11" s="531"/>
      <c r="AG11" s="531"/>
      <c r="AH11" s="531"/>
      <c r="AI11" s="531">
        <f>仓储现金流!AK87+地下车库现金流!AK23+地下商业现金流!AK96+地上商业现金流!AK411</f>
        <v>284821144</v>
      </c>
      <c r="AJ11" s="531"/>
      <c r="AK11" s="531"/>
      <c r="AL11" s="531"/>
      <c r="AM11" s="531">
        <f>仓储现金流!AO87+地下车库现金流!AO23+地下商业现金流!AO96+地上商业现金流!AO411</f>
        <v>306147272</v>
      </c>
      <c r="AN11" s="531"/>
      <c r="AO11" s="531"/>
      <c r="AP11" s="531"/>
      <c r="AQ11" s="531">
        <f>仓储现金流!AS87+地下车库现金流!AS23+地下商业现金流!AS96+地上商业现金流!AS411</f>
        <v>329061560</v>
      </c>
      <c r="AR11" s="531"/>
      <c r="AS11" s="531"/>
      <c r="AT11" s="531"/>
      <c r="AU11" s="531">
        <f>仓储现金流!AW87+地下车库现金流!AW23+地下商业现金流!AW96+地上商业现金流!AW411</f>
        <v>354222288</v>
      </c>
      <c r="AV11" s="531"/>
      <c r="AW11" s="531"/>
      <c r="AX11" s="531"/>
      <c r="AY11" s="531">
        <f>仓储现金流!BA87+地下车库现金流!BA23+地下商业现金流!BA96+地上商业现金流!BA411</f>
        <v>381500728</v>
      </c>
      <c r="AZ11" s="531"/>
      <c r="BA11" s="531"/>
      <c r="BB11" s="531"/>
      <c r="BC11" s="531">
        <f>仓储现金流!BE87+地下车库现金流!BE23+地下商业现金流!BE96+地上商业现金流!BE411</f>
        <v>411081168</v>
      </c>
      <c r="BD11" s="531"/>
      <c r="BE11" s="531"/>
      <c r="BF11" s="531"/>
      <c r="BG11" s="531">
        <f>仓储现金流!BI87+地下车库现金流!BI23+地下商业现金流!BI96+地上商业现金流!BI411</f>
        <v>443164328</v>
      </c>
      <c r="BH11" s="531"/>
      <c r="BI11" s="531"/>
      <c r="BJ11" s="531"/>
      <c r="BK11" s="531">
        <f>仓储现金流!BM87+地下车库现金流!BM23+地下商业现金流!BM96+地上商业现金流!BM411</f>
        <v>477968776</v>
      </c>
      <c r="BL11" s="531"/>
      <c r="BM11" s="531"/>
      <c r="BN11" s="531"/>
      <c r="BO11" s="531">
        <f>仓储现金流!BQ87+地下车库现金流!BQ23+地下商业现金流!BQ96+地上商业现金流!BQ411</f>
        <v>515732596</v>
      </c>
      <c r="BP11" s="531"/>
      <c r="BQ11" s="531"/>
      <c r="BR11" s="531"/>
      <c r="BS11" s="531">
        <f>仓储现金流!BU87+地下车库现金流!BU23+地下商业现金流!BU96+地上商业现金流!BU411</f>
        <v>556715040</v>
      </c>
      <c r="BT11" s="531"/>
      <c r="BU11" s="531"/>
      <c r="BV11" s="531"/>
      <c r="BW11" s="531">
        <f>仓储现金流!BY87+地下车库现金流!BY23+地下商业现金流!BY96+地上商业现金流!BY411</f>
        <v>601198656</v>
      </c>
      <c r="BX11" s="531"/>
      <c r="BY11" s="531"/>
      <c r="BZ11" s="531"/>
      <c r="CA11" s="531">
        <f>仓储现金流!CC87+地下车库现金流!CC23+地下商业现金流!CC96+地上商业现金流!CC411</f>
        <v>649491072</v>
      </c>
      <c r="CB11" s="531"/>
      <c r="CC11" s="531"/>
      <c r="CD11" s="531"/>
      <c r="CE11" s="531">
        <f>仓储现金流!CG87+地下车库现金流!CG23+地下商业现金流!CG96+地上商业现金流!CG411</f>
        <v>701927636</v>
      </c>
      <c r="CF11" s="531"/>
      <c r="CG11" s="531"/>
      <c r="CH11" s="531"/>
    </row>
    <row r="13" spans="1:97">
      <c r="B13" s="376" t="s">
        <v>1243</v>
      </c>
      <c r="C13" s="526">
        <f>C4+D4+E4+F4</f>
        <v>227386798</v>
      </c>
      <c r="D13" s="527"/>
      <c r="E13" s="527"/>
      <c r="F13" s="528"/>
      <c r="G13" s="526">
        <f>G4+H4+I4+J4</f>
        <v>232481398</v>
      </c>
      <c r="H13" s="527"/>
      <c r="I13" s="527"/>
      <c r="J13" s="528"/>
      <c r="K13" s="526">
        <f>K4+L4+M4+N4</f>
        <v>243754940</v>
      </c>
      <c r="L13" s="527"/>
      <c r="M13" s="527"/>
      <c r="N13" s="528"/>
      <c r="O13" s="526">
        <f t="shared" ref="O13" si="3">O4+P4+Q4+R4</f>
        <v>257722806</v>
      </c>
      <c r="P13" s="527"/>
      <c r="Q13" s="527"/>
      <c r="R13" s="528"/>
      <c r="S13" s="526">
        <f t="shared" ref="S13" si="4">S4+T4+U4+V4</f>
        <v>274451988</v>
      </c>
      <c r="T13" s="527"/>
      <c r="U13" s="527"/>
      <c r="V13" s="528"/>
      <c r="W13" s="526">
        <f t="shared" ref="W13" si="5">W4+X4+Y4+Z4</f>
        <v>293822980</v>
      </c>
      <c r="X13" s="527"/>
      <c r="Y13" s="527"/>
      <c r="Z13" s="528"/>
      <c r="AA13" s="526">
        <f t="shared" ref="AA13" si="6">AA4+AB4+AC4+AD4</f>
        <v>314788164</v>
      </c>
      <c r="AB13" s="527"/>
      <c r="AC13" s="527"/>
      <c r="AD13" s="528"/>
      <c r="AE13" s="526">
        <f t="shared" ref="AE13" si="7">AE4+AF4+AG4+AH4</f>
        <v>337551420</v>
      </c>
      <c r="AF13" s="527"/>
      <c r="AG13" s="527"/>
      <c r="AH13" s="528"/>
      <c r="AI13" s="526">
        <f t="shared" ref="AI13" si="8">AI4+AJ4+AK4+AL4</f>
        <v>362354920</v>
      </c>
      <c r="AJ13" s="527"/>
      <c r="AK13" s="527"/>
      <c r="AL13" s="528"/>
      <c r="AM13" s="526">
        <f t="shared" ref="AM13" si="9">AM4+AN4+AO4+AP4</f>
        <v>389464400</v>
      </c>
      <c r="AN13" s="527"/>
      <c r="AO13" s="527"/>
      <c r="AP13" s="528"/>
      <c r="AQ13" s="526">
        <f t="shared" ref="AQ13" si="10">AQ4+AR4+AS4+AT4</f>
        <v>418592728</v>
      </c>
      <c r="AR13" s="527"/>
      <c r="AS13" s="527"/>
      <c r="AT13" s="528"/>
      <c r="AU13" s="526">
        <f t="shared" ref="AU13" si="11">AU4+AV4+AW4+AX4</f>
        <v>450576708</v>
      </c>
      <c r="AV13" s="527"/>
      <c r="AW13" s="527"/>
      <c r="AX13" s="528"/>
      <c r="AY13" s="526">
        <f t="shared" ref="AY13" si="12">AY4+AZ4+BA4+BB4</f>
        <v>485252692</v>
      </c>
      <c r="AZ13" s="527"/>
      <c r="BA13" s="527"/>
      <c r="BB13" s="528"/>
      <c r="BC13" s="526">
        <f t="shared" ref="BC13" si="13">BC4+BD4+BE4+BF4</f>
        <v>522854944</v>
      </c>
      <c r="BD13" s="527"/>
      <c r="BE13" s="527"/>
      <c r="BF13" s="528"/>
      <c r="BG13" s="526">
        <f t="shared" ref="BG13" si="14">BG4+BH4+BI4+BJ4</f>
        <v>563638632</v>
      </c>
      <c r="BH13" s="527"/>
      <c r="BI13" s="527"/>
      <c r="BJ13" s="528"/>
      <c r="BK13" s="526">
        <f t="shared" ref="BK13" si="15">BK4+BL4+BM4+BN4</f>
        <v>607881576</v>
      </c>
      <c r="BL13" s="527"/>
      <c r="BM13" s="527"/>
      <c r="BN13" s="528"/>
      <c r="BO13" s="526">
        <f t="shared" ref="BO13" si="16">BO4+BP4+BQ4+BR4</f>
        <v>655886428</v>
      </c>
      <c r="BP13" s="527"/>
      <c r="BQ13" s="527"/>
      <c r="BR13" s="528"/>
      <c r="BS13" s="526">
        <f t="shared" ref="BS13" si="17">BS4+BT4+BU4+BV4</f>
        <v>707982744</v>
      </c>
      <c r="BT13" s="527"/>
      <c r="BU13" s="527"/>
      <c r="BV13" s="528"/>
      <c r="BW13" s="526">
        <f t="shared" ref="BW13" si="18">BW4+BX4+BY4+BZ4</f>
        <v>764529720</v>
      </c>
      <c r="BX13" s="527"/>
      <c r="BY13" s="527"/>
      <c r="BZ13" s="528"/>
      <c r="CA13" s="526">
        <f>CA4+CB4+CC4+CD4</f>
        <v>825918392</v>
      </c>
      <c r="CB13" s="527"/>
      <c r="CC13" s="527"/>
      <c r="CD13" s="528"/>
      <c r="CE13" s="526">
        <f>CE4+CF4+CG4+CH4</f>
        <v>892575048</v>
      </c>
      <c r="CF13" s="527"/>
      <c r="CG13" s="527"/>
      <c r="CH13" s="528"/>
      <c r="CI13" s="377">
        <f>SUM(C13:CH13)</f>
        <v>9829469426</v>
      </c>
      <c r="CJ13" s="377"/>
    </row>
    <row r="15" spans="1:97" s="388" customFormat="1">
      <c r="C15" s="530">
        <f>G13/C13-1</f>
        <v>2.2404994682233115E-2</v>
      </c>
      <c r="D15" s="530"/>
      <c r="E15" s="530"/>
      <c r="F15" s="530"/>
      <c r="G15" s="530">
        <f>K13/G13-1</f>
        <v>4.8492232483908326E-2</v>
      </c>
      <c r="H15" s="530"/>
      <c r="I15" s="530"/>
      <c r="J15" s="530"/>
      <c r="K15" s="530">
        <f t="shared" ref="K15" si="19">O13/K13-1</f>
        <v>5.7302904302165114E-2</v>
      </c>
      <c r="L15" s="530"/>
      <c r="M15" s="530"/>
      <c r="N15" s="530"/>
      <c r="O15" s="530">
        <f t="shared" ref="O15" si="20">S13/O13-1</f>
        <v>6.4911531345037465E-2</v>
      </c>
      <c r="P15" s="530"/>
      <c r="Q15" s="530"/>
      <c r="R15" s="530"/>
      <c r="S15" s="530">
        <f t="shared" ref="S15" si="21">W13/S13-1</f>
        <v>7.0580621919197117E-2</v>
      </c>
      <c r="T15" s="530"/>
      <c r="U15" s="530"/>
      <c r="V15" s="530"/>
      <c r="W15" s="530">
        <f t="shared" ref="W15" si="22">AA13/W13-1</f>
        <v>7.1353111999612917E-2</v>
      </c>
      <c r="X15" s="530"/>
      <c r="Y15" s="530"/>
      <c r="Z15" s="530"/>
      <c r="AA15" s="530">
        <f t="shared" ref="AA15" si="23">AE13/AA13-1</f>
        <v>7.2312934866255008E-2</v>
      </c>
      <c r="AB15" s="530"/>
      <c r="AC15" s="530"/>
      <c r="AD15" s="530"/>
      <c r="AE15" s="530">
        <f t="shared" ref="AE15" si="24">AI13/AE13-1</f>
        <v>7.3480656665583011E-2</v>
      </c>
      <c r="AF15" s="530"/>
      <c r="AG15" s="530"/>
      <c r="AH15" s="530"/>
      <c r="AI15" s="530">
        <f t="shared" ref="AI15" si="25">AM13/AI13-1</f>
        <v>7.4814714810550909E-2</v>
      </c>
      <c r="AJ15" s="530"/>
      <c r="AK15" s="530"/>
      <c r="AL15" s="530"/>
      <c r="AM15" s="530">
        <f t="shared" ref="AM15" si="26">AQ13/AM13-1</f>
        <v>7.4790733119638242E-2</v>
      </c>
      <c r="AN15" s="530"/>
      <c r="AO15" s="530"/>
      <c r="AP15" s="530"/>
      <c r="AQ15" s="530">
        <f>AU13/AQ13-1</f>
        <v>7.6408350791989932E-2</v>
      </c>
      <c r="AR15" s="530"/>
      <c r="AS15" s="530"/>
      <c r="AT15" s="530"/>
      <c r="AU15" s="530">
        <f>AY13/AU13-1</f>
        <v>7.6959113474636132E-2</v>
      </c>
      <c r="AV15" s="530"/>
      <c r="AW15" s="530"/>
      <c r="AX15" s="530"/>
      <c r="AY15" s="530">
        <f t="shared" ref="AY15" si="27">BC13/AY13-1</f>
        <v>7.7490043063995984E-2</v>
      </c>
      <c r="AZ15" s="530"/>
      <c r="BA15" s="530"/>
      <c r="BB15" s="530"/>
      <c r="BC15" s="530">
        <f t="shared" ref="BC15" si="28">BG13/BC13-1</f>
        <v>7.800191710533011E-2</v>
      </c>
      <c r="BD15" s="530"/>
      <c r="BE15" s="530"/>
      <c r="BF15" s="530"/>
      <c r="BG15" s="530">
        <f t="shared" ref="BG15" si="29">BK13/BG13-1</f>
        <v>7.8495229901132779E-2</v>
      </c>
      <c r="BH15" s="530"/>
      <c r="BI15" s="530"/>
      <c r="BJ15" s="530"/>
      <c r="BK15" s="530">
        <f t="shared" ref="BK15" si="30">BO13/BK13-1</f>
        <v>7.8970730312115878E-2</v>
      </c>
      <c r="BL15" s="530"/>
      <c r="BM15" s="530"/>
      <c r="BN15" s="530"/>
      <c r="BO15" s="530">
        <f t="shared" ref="BO15" si="31">BS13/BO13-1</f>
        <v>7.9428867218456878E-2</v>
      </c>
      <c r="BP15" s="530"/>
      <c r="BQ15" s="530"/>
      <c r="BR15" s="530"/>
      <c r="BS15" s="530">
        <f t="shared" ref="BS15" si="32">BW13/BS13-1</f>
        <v>7.9870556845097251E-2</v>
      </c>
      <c r="BT15" s="530"/>
      <c r="BU15" s="530"/>
      <c r="BV15" s="530"/>
      <c r="BW15" s="530">
        <f>CA13/BW13-1</f>
        <v>8.029599163260781E-2</v>
      </c>
      <c r="BX15" s="530"/>
      <c r="BY15" s="530"/>
      <c r="BZ15" s="530"/>
      <c r="CA15" s="530">
        <f>CE13/CA13-1</f>
        <v>8.0706104435557924E-2</v>
      </c>
      <c r="CB15" s="530"/>
      <c r="CC15" s="530"/>
      <c r="CD15" s="530"/>
      <c r="CE15" s="530"/>
      <c r="CF15" s="530"/>
      <c r="CG15" s="530"/>
      <c r="CH15" s="530"/>
    </row>
    <row r="16" spans="1:97" s="378" customFormat="1" hidden="1">
      <c r="C16" s="378" t="s">
        <v>1321</v>
      </c>
      <c r="D16" s="378" t="s">
        <v>1322</v>
      </c>
      <c r="E16" s="378" t="s">
        <v>1323</v>
      </c>
      <c r="F16" s="378" t="s">
        <v>1324</v>
      </c>
      <c r="G16" s="378" t="s">
        <v>1329</v>
      </c>
      <c r="H16" s="378" t="s">
        <v>1320</v>
      </c>
      <c r="I16" s="378" t="s">
        <v>1330</v>
      </c>
      <c r="J16" s="378" t="s">
        <v>1331</v>
      </c>
      <c r="K16" s="378" t="s">
        <v>1332</v>
      </c>
      <c r="L16" s="378" t="s">
        <v>1333</v>
      </c>
      <c r="M16" s="378" t="s">
        <v>1334</v>
      </c>
      <c r="N16" s="378" t="s">
        <v>1335</v>
      </c>
      <c r="O16" s="378" t="s">
        <v>1337</v>
      </c>
      <c r="P16" s="378" t="s">
        <v>1338</v>
      </c>
      <c r="Q16" s="378" t="s">
        <v>1339</v>
      </c>
      <c r="R16" s="378" t="s">
        <v>1340</v>
      </c>
      <c r="S16" s="378" t="s">
        <v>1341</v>
      </c>
      <c r="T16" s="378" t="s">
        <v>1336</v>
      </c>
      <c r="U16" s="378" t="s">
        <v>1342</v>
      </c>
      <c r="V16" s="378" t="s">
        <v>1343</v>
      </c>
      <c r="W16" s="378" t="s">
        <v>1344</v>
      </c>
      <c r="X16" s="378" t="s">
        <v>1345</v>
      </c>
      <c r="Y16" s="378" t="s">
        <v>1346</v>
      </c>
      <c r="Z16" s="378" t="s">
        <v>1347</v>
      </c>
      <c r="AA16" s="378" t="s">
        <v>1348</v>
      </c>
      <c r="AB16" s="378" t="s">
        <v>1349</v>
      </c>
      <c r="AC16" s="378" t="s">
        <v>1350</v>
      </c>
      <c r="AD16" s="378" t="s">
        <v>1351</v>
      </c>
      <c r="AE16" s="378" t="s">
        <v>1352</v>
      </c>
      <c r="AF16" s="378" t="s">
        <v>1353</v>
      </c>
      <c r="AG16" s="378" t="s">
        <v>1354</v>
      </c>
      <c r="AH16" s="378" t="s">
        <v>1355</v>
      </c>
      <c r="AI16" s="378" t="s">
        <v>1356</v>
      </c>
      <c r="AJ16" s="378" t="s">
        <v>1357</v>
      </c>
      <c r="AK16" s="378" t="s">
        <v>1358</v>
      </c>
      <c r="AL16" s="378" t="s">
        <v>1359</v>
      </c>
      <c r="AM16" s="378" t="s">
        <v>1360</v>
      </c>
      <c r="AN16" s="378" t="s">
        <v>1361</v>
      </c>
      <c r="AO16" s="378" t="s">
        <v>1362</v>
      </c>
      <c r="AP16" s="378" t="s">
        <v>1363</v>
      </c>
      <c r="AQ16" s="378" t="s">
        <v>1364</v>
      </c>
      <c r="AR16" s="378" t="s">
        <v>1365</v>
      </c>
      <c r="AS16" s="378" t="s">
        <v>1366</v>
      </c>
      <c r="AT16" s="378" t="s">
        <v>1367</v>
      </c>
      <c r="AU16" s="378" t="s">
        <v>1368</v>
      </c>
      <c r="AV16" s="378" t="s">
        <v>1369</v>
      </c>
      <c r="AW16" s="378" t="s">
        <v>1370</v>
      </c>
      <c r="AX16" s="378" t="s">
        <v>1371</v>
      </c>
      <c r="AY16" s="378" t="s">
        <v>1372</v>
      </c>
      <c r="AZ16" s="378" t="s">
        <v>1373</v>
      </c>
      <c r="BA16" s="378" t="s">
        <v>1374</v>
      </c>
      <c r="BB16" s="378" t="s">
        <v>1375</v>
      </c>
      <c r="BC16" s="378" t="s">
        <v>1376</v>
      </c>
      <c r="BD16" s="378" t="s">
        <v>1377</v>
      </c>
      <c r="BE16" s="378" t="s">
        <v>1378</v>
      </c>
      <c r="BF16" s="378" t="s">
        <v>1379</v>
      </c>
      <c r="BG16" s="378" t="s">
        <v>1380</v>
      </c>
      <c r="BH16" s="378" t="s">
        <v>1381</v>
      </c>
      <c r="BI16" s="378" t="s">
        <v>1382</v>
      </c>
      <c r="BJ16" s="378" t="s">
        <v>1383</v>
      </c>
      <c r="BK16" s="378" t="s">
        <v>1384</v>
      </c>
      <c r="BL16" s="378" t="s">
        <v>1385</v>
      </c>
      <c r="BM16" s="378" t="s">
        <v>1386</v>
      </c>
      <c r="BN16" s="378" t="s">
        <v>1387</v>
      </c>
      <c r="BO16" s="378" t="s">
        <v>1388</v>
      </c>
      <c r="BP16" s="378" t="s">
        <v>1389</v>
      </c>
      <c r="BQ16" s="378" t="s">
        <v>1390</v>
      </c>
      <c r="BR16" s="378" t="s">
        <v>1391</v>
      </c>
      <c r="BS16" s="378" t="s">
        <v>1392</v>
      </c>
      <c r="BT16" s="378" t="s">
        <v>1393</v>
      </c>
      <c r="BU16" s="378" t="s">
        <v>1394</v>
      </c>
      <c r="BV16" s="378" t="s">
        <v>1395</v>
      </c>
      <c r="BW16" s="378" t="s">
        <v>1396</v>
      </c>
      <c r="BX16" s="378" t="s">
        <v>1397</v>
      </c>
      <c r="BY16" s="378" t="s">
        <v>1398</v>
      </c>
      <c r="BZ16" s="378" t="s">
        <v>1399</v>
      </c>
      <c r="CA16" s="378" t="s">
        <v>1400</v>
      </c>
      <c r="CB16" s="378" t="s">
        <v>1401</v>
      </c>
      <c r="CC16" s="378" t="s">
        <v>1402</v>
      </c>
      <c r="CD16" s="378" t="s">
        <v>1403</v>
      </c>
      <c r="CE16" s="378" t="s">
        <v>1325</v>
      </c>
      <c r="CF16" s="378" t="s">
        <v>1326</v>
      </c>
      <c r="CG16" s="378" t="s">
        <v>1327</v>
      </c>
      <c r="CH16" s="378" t="s">
        <v>1328</v>
      </c>
      <c r="CI16" s="378" t="s">
        <v>791</v>
      </c>
    </row>
    <row r="17" spans="2:86" hidden="1">
      <c r="D17" s="389"/>
    </row>
    <row r="18" spans="2:86" hidden="1"/>
    <row r="19" spans="2:86" hidden="1">
      <c r="C19" s="376">
        <f>仓储现金流!E79+地下车库现金流!E14+地下商业现金流!E87+地上商业现金流!E402</f>
        <v>52645521</v>
      </c>
      <c r="D19" s="376">
        <f>仓储现金流!F79+地下车库现金流!F14+地下商业现金流!F87+地上商业现金流!F402</f>
        <v>52796962</v>
      </c>
      <c r="E19" s="376">
        <f>仓储现金流!G79+地下车库现金流!G14+地下商业现金流!G87+地上商业现金流!G402</f>
        <v>53030679</v>
      </c>
      <c r="F19" s="376">
        <f>仓储现金流!H79+地下车库现金流!H14+地下商业现金流!H87+地上商业现金流!H402</f>
        <v>53234072</v>
      </c>
      <c r="G19" s="376">
        <f>仓储现金流!I79+地下车库现金流!I14+地下商业现金流!I87+地上商业现金流!I402</f>
        <v>53926782</v>
      </c>
      <c r="H19" s="376">
        <f>仓储现金流!J79+地下车库现金流!J14+地下商业现金流!J87+地上商业现金流!J402</f>
        <v>54099412</v>
      </c>
      <c r="I19" s="376">
        <f>仓储现金流!K79+地下车库现金流!K14+地下商业现金流!K87+地上商业现金流!K402</f>
        <v>54331419</v>
      </c>
      <c r="J19" s="376">
        <f>仓储现金流!L79+地下车库现金流!L14+地下商业现金流!L87+地上商业现金流!L402</f>
        <v>54428801</v>
      </c>
      <c r="K19" s="376">
        <f>仓储现金流!M79+地下车库现金流!M14+地下商业现金流!M87+地上商业现金流!M402</f>
        <v>56976455</v>
      </c>
      <c r="L19" s="376">
        <f>仓储现金流!N79+地下车库现金流!N14+地下商业现金流!N87+地上商业现金流!N402</f>
        <v>56976455</v>
      </c>
      <c r="M19" s="376">
        <f>仓储现金流!O79+地下车库现金流!O14+地下商业现金流!O87+地上商业现金流!O402</f>
        <v>57036003</v>
      </c>
      <c r="N19" s="376">
        <f>仓储现金流!P79+地下车库现金流!P14+地下商业现金流!P87+地上商业现金流!P402</f>
        <v>57036003</v>
      </c>
      <c r="O19" s="376">
        <f>仓储现金流!Q79+地下车库现金流!Q14+地下商业现金流!Q87+地上商业现金流!Q402</f>
        <v>60481500</v>
      </c>
      <c r="P19" s="376">
        <f>仓储现金流!R79+地下车库现金流!R14+地下商业现金流!R87+地上商业现金流!R402</f>
        <v>60489274</v>
      </c>
      <c r="Q19" s="376">
        <f>仓储现金流!S79+地下车库现金流!S14+地下商业现金流!S87+地上商业现金流!S402</f>
        <v>60489274</v>
      </c>
      <c r="R19" s="376">
        <f>仓储现金流!T79+地下车库现金流!T14+地下商业现金流!T87+地上商业现金流!T402</f>
        <v>60489274</v>
      </c>
      <c r="S19" s="376">
        <f>仓储现金流!U79+地下车库现金流!U14+地下商业现金流!U87+地上商业现金流!U402</f>
        <v>64633435</v>
      </c>
      <c r="T19" s="376">
        <f>仓储现金流!V79+地下车库现金流!V14+地下商业现金流!V87+地上商业现金流!V402</f>
        <v>64633435</v>
      </c>
      <c r="U19" s="376">
        <f>仓储现金流!W79+地下车库现金流!W14+地下商业现金流!W87+地上商业现金流!W402</f>
        <v>64679767</v>
      </c>
      <c r="V19" s="376">
        <f>仓储现金流!X79+地下车库现金流!X14+地下商业现金流!X87+地上商业现金流!X402</f>
        <v>64679767</v>
      </c>
      <c r="W19" s="376">
        <f>仓储现金流!Y79+地下车库现金流!Y14+地下商业现金流!Y87+地上商业现金流!Y402</f>
        <v>69484263</v>
      </c>
      <c r="X19" s="376">
        <f>仓储现金流!Z79+地下车库现金流!Z14+地下商业现金流!Z87+地上商业现金流!Z402</f>
        <v>69484263</v>
      </c>
      <c r="Y19" s="376">
        <f>仓储现金流!AA79+地下车库现金流!AA14+地下商业现金流!AA87+地上商业现金流!AA402</f>
        <v>69484263</v>
      </c>
      <c r="Z19" s="376">
        <f>仓储现金流!AB79+地下车库现金流!AB14+地下商业现金流!AB87+地上商业现金流!AB402</f>
        <v>69484263</v>
      </c>
      <c r="AA19" s="376">
        <f>仓储现金流!AC79+地下车库现金流!AC14+地下商业现金流!AC87+地上商业现金流!AC402</f>
        <v>74709228</v>
      </c>
      <c r="AB19" s="376">
        <f>仓储现金流!AD79+地下车库现金流!AD14+地下商业现金流!AD87+地上商业现金流!AD402</f>
        <v>74709228</v>
      </c>
      <c r="AC19" s="376">
        <f>仓储现金流!AE79+地下车库现金流!AE14+地下商业现金流!AE87+地上商业现金流!AE402</f>
        <v>74709228</v>
      </c>
      <c r="AD19" s="376">
        <f>仓储现金流!AF79+地下车库现金流!AF14+地下商业现金流!AF87+地上商业现金流!AF402</f>
        <v>74709228</v>
      </c>
      <c r="AE19" s="376">
        <f>仓储现金流!AG79+地下车库现金流!AG14+地下商业现金流!AG87+地上商业现金流!AG402</f>
        <v>80382308</v>
      </c>
      <c r="AF19" s="376">
        <f>仓储现金流!AH79+地下车库现金流!AH14+地下商业现金流!AH87+地上商业现金流!AH402</f>
        <v>80382308</v>
      </c>
      <c r="AG19" s="376">
        <f>仓储现金流!AI79+地下车库现金流!AI14+地下商业现金流!AI87+地上商业现金流!AI402</f>
        <v>80382308</v>
      </c>
      <c r="AH19" s="376">
        <f>仓储现金流!AJ79+地下车库现金流!AJ14+地下商业现金流!AJ87+地上商业现金流!AJ402</f>
        <v>80382308</v>
      </c>
      <c r="AI19" s="376">
        <f>仓储现金流!AK79+地下车库现金流!AK14+地下商业现金流!AK87+地上商业现金流!AK402</f>
        <v>86563856</v>
      </c>
      <c r="AJ19" s="376">
        <f>仓储现金流!AL79+地下车库现金流!AL14+地下商业现金流!AL87+地上商业现金流!AL402</f>
        <v>86563856</v>
      </c>
      <c r="AK19" s="376">
        <f>仓储现金流!AM79+地下车库现金流!AM14+地下商业现金流!AM87+地上商业现金流!AM402</f>
        <v>86563856</v>
      </c>
      <c r="AL19" s="376">
        <f>仓储现金流!AN79+地下车库现金流!AN14+地下商业现金流!AN87+地上商业现金流!AN402</f>
        <v>86563856</v>
      </c>
      <c r="AM19" s="376">
        <f>仓储现金流!AO79+地下车库现金流!AO14+地下商业现金流!AO87+地上商业现金流!AO402</f>
        <v>93320096</v>
      </c>
      <c r="AN19" s="376">
        <f>仓储现金流!AP79+地下车库现金流!AP14+地下商业现金流!AP87+地上商业现金流!AP402</f>
        <v>93320096</v>
      </c>
      <c r="AO19" s="376">
        <f>仓储现金流!AQ79+地下车库现金流!AQ14+地下商业现金流!AQ87+地上商业现金流!AQ402</f>
        <v>93320096</v>
      </c>
      <c r="AP19" s="376">
        <f>仓储现金流!AR79+地下车库现金流!AR14+地下商业现金流!AR87+地上商业现金流!AR402</f>
        <v>93320096</v>
      </c>
      <c r="AQ19" s="376">
        <f>仓储现金流!AS79+地下车库现金流!AS14+地下商业现金流!AS87+地上商业现金流!AS402</f>
        <v>100579473</v>
      </c>
      <c r="AR19" s="376">
        <f>仓储现金流!AT79+地下车库现金流!AT14+地下商业现金流!AT87+地上商业现金流!AT402</f>
        <v>100579473</v>
      </c>
      <c r="AS19" s="376">
        <f>仓储现金流!AU79+地下车库现金流!AU14+地下商业现金流!AU87+地上商业现金流!AU402</f>
        <v>100579473</v>
      </c>
      <c r="AT19" s="376">
        <f>仓储现金流!AV79+地下车库现金流!AV14+地下商业现金流!AV87+地上商业现金流!AV402</f>
        <v>100579473</v>
      </c>
      <c r="AU19" s="376">
        <f>仓储现金流!AW79+地下车库现金流!AW14+地下商业现金流!AW87+地上商业现金流!AW402</f>
        <v>108550530</v>
      </c>
      <c r="AV19" s="376">
        <f>仓储现金流!AX79+地下车库现金流!AX14+地下商业现金流!AX87+地上商业现金流!AX402</f>
        <v>108550530</v>
      </c>
      <c r="AW19" s="376">
        <f>仓储现金流!AY79+地下车库现金流!AY14+地下商业现金流!AY87+地上商业现金流!AY402</f>
        <v>108550530</v>
      </c>
      <c r="AX19" s="376">
        <f>仓储现金流!AZ79+地下车库现金流!AZ14+地下商业现金流!AZ87+地上商业现金流!AZ402</f>
        <v>108550530</v>
      </c>
      <c r="AY19" s="376">
        <f>仓储现金流!BA79+地下车库现金流!BA14+地下商业现金流!BA87+地上商业现金流!BA402</f>
        <v>117192486</v>
      </c>
      <c r="AZ19" s="376">
        <f>仓储现金流!BB79+地下车库现金流!BB14+地下商业现金流!BB87+地上商业现金流!BB402</f>
        <v>117192486</v>
      </c>
      <c r="BA19" s="376">
        <f>仓储现金流!BC79+地下车库现金流!BC14+地下商业现金流!BC87+地上商业现金流!BC402</f>
        <v>117192486</v>
      </c>
      <c r="BB19" s="376">
        <f>仓储现金流!BD79+地下车库现金流!BD14+地下商业现金流!BD87+地上商业现金流!BD402</f>
        <v>117192486</v>
      </c>
      <c r="BC19" s="376">
        <f>仓储现金流!BE79+地下车库现金流!BE14+地下商业现金流!BE87+地上商业现金流!BE402</f>
        <v>126563722</v>
      </c>
      <c r="BD19" s="376">
        <f>仓储现金流!BF79+地下车库现金流!BF14+地下商业现金流!BF87+地上商业现金流!BF402</f>
        <v>126563722</v>
      </c>
      <c r="BE19" s="376">
        <f>仓储现金流!BG79+地下车库现金流!BG14+地下商业现金流!BG87+地上商业现金流!BG402</f>
        <v>126563722</v>
      </c>
      <c r="BF19" s="376">
        <f>仓储现金流!BH79+地下车库现金流!BH14+地下商业现金流!BH87+地上商业现金流!BH402</f>
        <v>126563722</v>
      </c>
      <c r="BG19" s="376">
        <f>仓储现金流!BI79+地下车库现金流!BI14+地下商业现金流!BI87+地上商业现金流!BI402</f>
        <v>136727831</v>
      </c>
      <c r="BH19" s="376">
        <f>仓储现金流!BJ79+地下车库现金流!BJ14+地下商业现金流!BJ87+地上商业现金流!BJ402</f>
        <v>136727831</v>
      </c>
      <c r="BI19" s="376">
        <f>仓储现金流!BK79+地下车库现金流!BK14+地下商业现金流!BK87+地上商业现金流!BK402</f>
        <v>136727831</v>
      </c>
      <c r="BJ19" s="376">
        <f>仓储现金流!BL79+地下车库现金流!BL14+地下商业现金流!BL87+地上商业现金流!BL402</f>
        <v>136727831</v>
      </c>
      <c r="BK19" s="376">
        <f>仓储现金流!BM79+地下车库现金流!BM14+地下商业现金流!BM87+地上商业现金流!BM402</f>
        <v>147754049</v>
      </c>
      <c r="BL19" s="376">
        <f>仓储现金流!BN79+地下车库现金流!BN14+地下商业现金流!BN87+地上商业现金流!BN402</f>
        <v>147754049</v>
      </c>
      <c r="BM19" s="376">
        <f>仓储现金流!BO79+地下车库现金流!BO14+地下商业现金流!BO87+地上商业现金流!BO402</f>
        <v>147754049</v>
      </c>
      <c r="BN19" s="376">
        <f>仓储现金流!BP79+地下车库现金流!BP14+地下商业现金流!BP87+地上商业现金流!BP402</f>
        <v>147754049</v>
      </c>
      <c r="BO19" s="376">
        <f>仓储现金流!BQ79+地下车库现金流!BQ14+地下商业现金流!BQ87+地上商业现金流!BQ402</f>
        <v>159717805</v>
      </c>
      <c r="BP19" s="376">
        <f>仓储现金流!BR79+地下车库现金流!BR14+地下商业现金流!BR87+地上商业现金流!BR402</f>
        <v>159717805</v>
      </c>
      <c r="BQ19" s="376">
        <f>仓储现金流!BS79+地下车库现金流!BS14+地下商业现金流!BS87+地上商业现金流!BS402</f>
        <v>159717805</v>
      </c>
      <c r="BR19" s="376">
        <f>仓储现金流!BT79+地下车库现金流!BT14+地下商业现金流!BT87+地上商业现金流!BT402</f>
        <v>159717805</v>
      </c>
      <c r="BS19" s="376">
        <f>仓储现金流!BU79+地下车库现金流!BU14+地下商业现金流!BU87+地上商业现金流!BU402</f>
        <v>172701229</v>
      </c>
      <c r="BT19" s="376">
        <f>仓储现金流!BV79+地下车库现金流!BV14+地下商业现金流!BV87+地上商业现金流!BV402</f>
        <v>172701229</v>
      </c>
      <c r="BU19" s="376">
        <f>仓储现金流!BW79+地下车库现金流!BW14+地下商业现金流!BW87+地上商业现金流!BW402</f>
        <v>172701229</v>
      </c>
      <c r="BV19" s="376">
        <f>仓储现金流!BX79+地下车库现金流!BX14+地下商业现金流!BX87+地上商业现金流!BX402</f>
        <v>172701229</v>
      </c>
      <c r="BW19" s="376">
        <f>仓储现金流!BY79+地下车库现金流!BY14+地下商业现金流!BY87+地上商业现金流!BY402</f>
        <v>186793836</v>
      </c>
      <c r="BX19" s="376">
        <f>仓储现金流!BZ79+地下车库现金流!BZ14+地下商业现金流!BZ87+地上商业现金流!BZ402</f>
        <v>186793836</v>
      </c>
      <c r="BY19" s="376">
        <f>仓储现金流!CA79+地下车库现金流!CA14+地下商业现金流!CA87+地上商业现金流!CA402</f>
        <v>186793836</v>
      </c>
      <c r="BZ19" s="376">
        <f>仓储现金流!CB79+地下车库现金流!CB14+地下商业现金流!CB87+地上商业现金流!CB402</f>
        <v>186793836</v>
      </c>
      <c r="CA19" s="376">
        <f>仓储现金流!CC79+地下车库现金流!CC14+地下商业现金流!CC87+地上商业现金流!CC402</f>
        <v>202093082</v>
      </c>
      <c r="CB19" s="376">
        <f>仓储现金流!CD79+地下车库现金流!CD14+地下商业现金流!CD87+地上商业现金流!CD402</f>
        <v>202093082</v>
      </c>
      <c r="CC19" s="376">
        <f>仓储现金流!CE79+地下车库现金流!CE14+地下商业现金流!CE87+地上商业现金流!CE402</f>
        <v>202093082</v>
      </c>
      <c r="CD19" s="376">
        <f>仓储现金流!CF79+地下车库现金流!CF14+地下商业现金流!CF87+地上商业现金流!CF402</f>
        <v>202093082</v>
      </c>
      <c r="CE19" s="376">
        <f>仓储现金流!CG79+地下车库现金流!CG14+地下商业现金流!CG87+地上商业现金流!CG402</f>
        <v>218705204</v>
      </c>
      <c r="CF19" s="376">
        <f>仓储现金流!CH79+地下车库现金流!CH14+地下商业现金流!CH87+地上商业现金流!CH402</f>
        <v>218705204</v>
      </c>
      <c r="CG19" s="376">
        <f>仓储现金流!CI79+地下车库现金流!CI14+地下商业现金流!CI87+地上商业现金流!CI402</f>
        <v>218705204</v>
      </c>
      <c r="CH19" s="376">
        <f>仓储现金流!CJ79+地下车库现金流!CJ14+地下商业现金流!CJ87+地上商业现金流!CJ402</f>
        <v>218705204</v>
      </c>
    </row>
    <row r="20" spans="2:86" hidden="1">
      <c r="C20" s="517">
        <f>C19+D19+E19+F19</f>
        <v>211707234</v>
      </c>
      <c r="D20" s="517"/>
      <c r="E20" s="517"/>
      <c r="F20" s="517"/>
      <c r="G20" s="517">
        <f>G19+H19+I19+J19</f>
        <v>216786414</v>
      </c>
      <c r="H20" s="517"/>
      <c r="I20" s="517"/>
      <c r="J20" s="517"/>
      <c r="K20" s="517">
        <f t="shared" ref="K20" si="33">K19+L19+M19+N19</f>
        <v>228024916</v>
      </c>
      <c r="L20" s="517"/>
      <c r="M20" s="517"/>
      <c r="N20" s="517"/>
      <c r="O20" s="517">
        <f t="shared" ref="O20" si="34">O19+P19+Q19+R19</f>
        <v>241949322</v>
      </c>
      <c r="P20" s="517"/>
      <c r="Q20" s="517"/>
      <c r="R20" s="517"/>
      <c r="S20" s="517">
        <f>S19+T19+U19+V19</f>
        <v>258626404</v>
      </c>
      <c r="T20" s="517"/>
      <c r="U20" s="517"/>
      <c r="V20" s="517"/>
      <c r="W20" s="517">
        <f>W19+X19+Y19+Z19</f>
        <v>277937052</v>
      </c>
      <c r="X20" s="517"/>
      <c r="Y20" s="517"/>
      <c r="Z20" s="517"/>
      <c r="AA20" s="517">
        <f t="shared" ref="AA20" si="35">AA19+AB19+AC19+AD19</f>
        <v>298836912</v>
      </c>
      <c r="AB20" s="517"/>
      <c r="AC20" s="517"/>
      <c r="AD20" s="517"/>
      <c r="AE20" s="517">
        <f t="shared" ref="AE20" si="36">AE19+AF19+AG19+AH19</f>
        <v>321529232</v>
      </c>
      <c r="AF20" s="517"/>
      <c r="AG20" s="517"/>
      <c r="AH20" s="517"/>
      <c r="AI20" s="517">
        <f t="shared" ref="AI20" si="37">AI19+AJ19+AK19+AL19</f>
        <v>346255424</v>
      </c>
      <c r="AJ20" s="517"/>
      <c r="AK20" s="517"/>
      <c r="AL20" s="517"/>
      <c r="AM20" s="517">
        <f t="shared" ref="AM20" si="38">AM19+AN19+AO19+AP19</f>
        <v>373280384</v>
      </c>
      <c r="AN20" s="517"/>
      <c r="AO20" s="517"/>
      <c r="AP20" s="517"/>
      <c r="AQ20" s="517">
        <f t="shared" ref="AQ20" si="39">AQ19+AR19+AS19+AT19</f>
        <v>402317892</v>
      </c>
      <c r="AR20" s="517"/>
      <c r="AS20" s="517"/>
      <c r="AT20" s="517"/>
      <c r="AU20" s="517">
        <f t="shared" ref="AU20" si="40">AU19+AV19+AW19+AX19</f>
        <v>434202120</v>
      </c>
      <c r="AV20" s="517"/>
      <c r="AW20" s="517"/>
      <c r="AX20" s="517"/>
      <c r="AY20" s="517">
        <f t="shared" ref="AY20" si="41">AY19+AZ19+BA19+BB19</f>
        <v>468769944</v>
      </c>
      <c r="AZ20" s="517"/>
      <c r="BA20" s="517"/>
      <c r="BB20" s="517"/>
      <c r="BC20" s="517">
        <f t="shared" ref="BC20" si="42">BC19+BD19+BE19+BF19</f>
        <v>506254888</v>
      </c>
      <c r="BD20" s="517"/>
      <c r="BE20" s="517"/>
      <c r="BF20" s="517"/>
      <c r="BG20" s="517">
        <f t="shared" ref="BG20" si="43">BG19+BH19+BI19+BJ19</f>
        <v>546911324</v>
      </c>
      <c r="BH20" s="517"/>
      <c r="BI20" s="517"/>
      <c r="BJ20" s="517"/>
      <c r="BK20" s="517">
        <f t="shared" ref="BK20" si="44">BK19+BL19+BM19+BN19</f>
        <v>591016196</v>
      </c>
      <c r="BL20" s="517"/>
      <c r="BM20" s="517"/>
      <c r="BN20" s="517"/>
      <c r="BO20" s="517">
        <f t="shared" ref="BO20" si="45">BO19+BP19+BQ19+BR19</f>
        <v>638871220</v>
      </c>
      <c r="BP20" s="517"/>
      <c r="BQ20" s="517"/>
      <c r="BR20" s="517"/>
      <c r="BS20" s="517">
        <f t="shared" ref="BS20" si="46">BS19+BT19+BU19+BV19</f>
        <v>690804916</v>
      </c>
      <c r="BT20" s="517"/>
      <c r="BU20" s="517"/>
      <c r="BV20" s="517"/>
      <c r="BW20" s="517">
        <f t="shared" ref="BW20" si="47">BW19+BX19+BY19+BZ19</f>
        <v>747175344</v>
      </c>
      <c r="BX20" s="517"/>
      <c r="BY20" s="517"/>
      <c r="BZ20" s="517"/>
      <c r="CA20" s="517">
        <f t="shared" ref="CA20" si="48">CA19+CB19+CC19+CD19</f>
        <v>808372328</v>
      </c>
      <c r="CB20" s="517"/>
      <c r="CC20" s="517"/>
      <c r="CD20" s="517"/>
      <c r="CE20" s="517">
        <f>CE19+CF19+CG19+CH19</f>
        <v>874820816</v>
      </c>
      <c r="CF20" s="517"/>
      <c r="CG20" s="517"/>
      <c r="CH20" s="517"/>
    </row>
    <row r="21" spans="2:86" s="469" customFormat="1" hidden="1">
      <c r="C21" s="518">
        <f>G20/C20-1</f>
        <v>2.39915278473668E-2</v>
      </c>
      <c r="D21" s="518"/>
      <c r="E21" s="518"/>
      <c r="F21" s="518"/>
      <c r="G21" s="518">
        <f>K20/G20-1</f>
        <v>5.1841357549278877E-2</v>
      </c>
      <c r="H21" s="518"/>
      <c r="I21" s="518"/>
      <c r="J21" s="518"/>
      <c r="K21" s="518">
        <f>O20/K20-1</f>
        <v>6.1065282883384642E-2</v>
      </c>
      <c r="L21" s="518"/>
      <c r="M21" s="518"/>
      <c r="N21" s="518"/>
      <c r="O21" s="518">
        <f>S20/O20-1</f>
        <v>6.8927996417365467E-2</v>
      </c>
      <c r="P21" s="518"/>
      <c r="Q21" s="518"/>
      <c r="R21" s="518"/>
      <c r="S21" s="518">
        <f>W20/S20-1</f>
        <v>7.4666189149039885E-2</v>
      </c>
      <c r="T21" s="518"/>
      <c r="U21" s="518"/>
      <c r="V21" s="518"/>
      <c r="W21" s="518">
        <f t="shared" ref="W21" si="49">AA20/W20-1</f>
        <v>7.5196379358589471E-2</v>
      </c>
      <c r="X21" s="518"/>
      <c r="Y21" s="518"/>
      <c r="Z21" s="518"/>
      <c r="AA21" s="518">
        <f t="shared" ref="AA21" si="50">AE20/AA20-1</f>
        <v>7.593546542871521E-2</v>
      </c>
      <c r="AB21" s="518"/>
      <c r="AC21" s="518"/>
      <c r="AD21" s="518"/>
      <c r="AE21" s="518">
        <f t="shared" ref="AE21" si="51">AI20/AE20-1</f>
        <v>7.6901847605570062E-2</v>
      </c>
      <c r="AF21" s="518"/>
      <c r="AG21" s="518"/>
      <c r="AH21" s="518"/>
      <c r="AI21" s="518">
        <f t="shared" ref="AI21" si="52">AM20/AI20-1</f>
        <v>7.804920335341814E-2</v>
      </c>
      <c r="AJ21" s="518"/>
      <c r="AK21" s="518"/>
      <c r="AL21" s="518"/>
      <c r="AM21" s="518">
        <f t="shared" ref="AM21" si="53">AQ20/AM20-1</f>
        <v>7.7790072140517363E-2</v>
      </c>
      <c r="AN21" s="518"/>
      <c r="AO21" s="518"/>
      <c r="AP21" s="518"/>
      <c r="AQ21" s="518">
        <f t="shared" ref="AQ21" si="54">AU20/AQ20-1</f>
        <v>7.9251329940851933E-2</v>
      </c>
      <c r="AR21" s="518"/>
      <c r="AS21" s="518"/>
      <c r="AT21" s="518"/>
      <c r="AU21" s="518">
        <f>AY20/AU20-1</f>
        <v>7.9612287475703702E-2</v>
      </c>
      <c r="AV21" s="518"/>
      <c r="AW21" s="518"/>
      <c r="AX21" s="518"/>
      <c r="AY21" s="518">
        <f t="shared" ref="AY21" si="55">BC20/AY20-1</f>
        <v>7.996447826868347E-2</v>
      </c>
      <c r="AZ21" s="518"/>
      <c r="BA21" s="518"/>
      <c r="BB21" s="518"/>
      <c r="BC21" s="518">
        <f t="shared" ref="BC21" si="56">BG20/BC20-1</f>
        <v>8.0308233981930544E-2</v>
      </c>
      <c r="BD21" s="518"/>
      <c r="BE21" s="518"/>
      <c r="BF21" s="518"/>
      <c r="BG21" s="518">
        <f t="shared" ref="BG21" si="57">BK20/BG20-1</f>
        <v>8.0643552372303695E-2</v>
      </c>
      <c r="BH21" s="518"/>
      <c r="BI21" s="518"/>
      <c r="BJ21" s="518"/>
      <c r="BK21" s="518">
        <f>BO20/BK20-1</f>
        <v>8.0970748896363576E-2</v>
      </c>
      <c r="BL21" s="518"/>
      <c r="BM21" s="518"/>
      <c r="BN21" s="518"/>
      <c r="BO21" s="518">
        <f>BS20/BO20-1</f>
        <v>8.1289772295580986E-2</v>
      </c>
      <c r="BP21" s="518"/>
      <c r="BQ21" s="518"/>
      <c r="BR21" s="518"/>
      <c r="BS21" s="518">
        <f>BW20/BS20-1</f>
        <v>8.1601081136486897E-2</v>
      </c>
      <c r="BT21" s="518"/>
      <c r="BU21" s="518"/>
      <c r="BV21" s="518"/>
      <c r="BW21" s="518">
        <f>CA20/BW20-1</f>
        <v>8.1904447853407669E-2</v>
      </c>
      <c r="BX21" s="518"/>
      <c r="BY21" s="518"/>
      <c r="BZ21" s="518"/>
      <c r="CA21" s="518">
        <f>CE20/CA20-1</f>
        <v>8.2200349638885672E-2</v>
      </c>
      <c r="CB21" s="518"/>
      <c r="CC21" s="518"/>
      <c r="CD21" s="518"/>
      <c r="CE21" s="518"/>
      <c r="CF21" s="518"/>
      <c r="CG21" s="518"/>
      <c r="CH21" s="518"/>
    </row>
    <row r="22" spans="2:86" hidden="1">
      <c r="C22" s="376">
        <f>C4-C19</f>
        <v>3919891</v>
      </c>
    </row>
    <row r="31" spans="2:86">
      <c r="C31" s="376">
        <v>1</v>
      </c>
      <c r="D31" s="376">
        <v>2</v>
      </c>
      <c r="E31" s="484">
        <v>3</v>
      </c>
      <c r="F31" s="484">
        <v>4</v>
      </c>
      <c r="G31" s="484">
        <v>5</v>
      </c>
      <c r="H31" s="484">
        <v>6</v>
      </c>
      <c r="I31" s="484">
        <v>7</v>
      </c>
      <c r="J31" s="484">
        <v>8</v>
      </c>
      <c r="K31" s="484">
        <v>9</v>
      </c>
      <c r="L31" s="484">
        <v>10</v>
      </c>
      <c r="M31" s="484">
        <v>11</v>
      </c>
      <c r="N31" s="484">
        <v>12</v>
      </c>
      <c r="O31" s="484">
        <v>13</v>
      </c>
      <c r="P31" s="484">
        <v>14</v>
      </c>
      <c r="Q31" s="484">
        <v>15</v>
      </c>
      <c r="R31" s="484">
        <v>16</v>
      </c>
      <c r="S31" s="484">
        <v>17</v>
      </c>
      <c r="T31" s="484">
        <v>18</v>
      </c>
      <c r="U31" s="484">
        <v>19</v>
      </c>
      <c r="V31" s="484">
        <v>20</v>
      </c>
      <c r="W31" s="484">
        <v>21</v>
      </c>
      <c r="X31" s="484"/>
    </row>
    <row r="32" spans="2:86">
      <c r="B32" s="376" t="s">
        <v>1412</v>
      </c>
      <c r="C32" s="376">
        <f>地上商业现金流!E411</f>
        <v>149523796</v>
      </c>
      <c r="D32" s="484">
        <f>地上商业现金流!I411</f>
        <v>153429617</v>
      </c>
      <c r="E32" s="494">
        <f>地上商业现金流!M411</f>
        <v>161010916</v>
      </c>
      <c r="F32" s="494">
        <f>地上商业现金流!Q411</f>
        <v>170509269</v>
      </c>
      <c r="G32" s="494">
        <f>地上商业现金流!U411</f>
        <v>182067100</v>
      </c>
      <c r="H32" s="494">
        <f>地上商业现金流!Y411</f>
        <v>195500708</v>
      </c>
      <c r="I32" s="494">
        <f>地上商业现金流!AC411</f>
        <v>210086320</v>
      </c>
      <c r="J32" s="494">
        <f>地上商业现金流!AG411</f>
        <v>225942760</v>
      </c>
      <c r="K32" s="494">
        <f>地上商业现金流!AK411</f>
        <v>243285492</v>
      </c>
      <c r="L32" s="494">
        <f>地上商业现金流!AO411</f>
        <v>262316704</v>
      </c>
      <c r="M32" s="494">
        <f>地上商业现金流!AS411</f>
        <v>282803236</v>
      </c>
      <c r="N32" s="494">
        <f>地上商业现金流!AW411</f>
        <v>305395656</v>
      </c>
      <c r="O32" s="494">
        <f>地上商业现金流!BA411</f>
        <v>329957116</v>
      </c>
      <c r="P32" s="494">
        <f>地上商业现金流!BE411</f>
        <v>356663264</v>
      </c>
      <c r="Q32" s="494">
        <f>地上商业现金流!BI411</f>
        <v>385705716</v>
      </c>
      <c r="R32" s="494">
        <f>地上商业现金流!BM411</f>
        <v>417293388</v>
      </c>
      <c r="S32" s="494">
        <f>地上商业现金流!BQ411</f>
        <v>451654156</v>
      </c>
      <c r="T32" s="494">
        <f>地上商业现金流!BU411</f>
        <v>489036468</v>
      </c>
      <c r="U32" s="494">
        <f>地上商业现金流!BY411</f>
        <v>529711464</v>
      </c>
      <c r="V32" s="494">
        <f>地上商业现金流!CC411</f>
        <v>573974720</v>
      </c>
      <c r="W32" s="494">
        <f>地上商业现金流!CG411</f>
        <v>622148768</v>
      </c>
      <c r="X32" s="376">
        <f>SUM(C32:W32)</f>
        <v>6698016634</v>
      </c>
    </row>
    <row r="33" spans="2:24">
      <c r="B33" s="376" t="s">
        <v>1413</v>
      </c>
      <c r="C33" s="376">
        <f>地下商业现金流!E96</f>
        <v>27936339</v>
      </c>
      <c r="D33" s="484">
        <f>地下商业现金流!I96</f>
        <v>28120340</v>
      </c>
      <c r="E33" s="484">
        <f>地下商业现金流!M96</f>
        <v>29369520</v>
      </c>
      <c r="F33" s="484">
        <f>地下商业现金流!Q96</f>
        <v>30819200</v>
      </c>
      <c r="G33" s="484">
        <f>地下商业现金流!U96</f>
        <v>32379540</v>
      </c>
      <c r="H33" s="484">
        <f>地下商业现金流!Y96</f>
        <v>34140100</v>
      </c>
      <c r="I33" s="484">
        <f>地下商业现金流!AC96</f>
        <v>36000416</v>
      </c>
      <c r="J33" s="484">
        <f>地下商业现金流!AG96</f>
        <v>38001928</v>
      </c>
      <c r="K33" s="484">
        <f>地下商业现金流!AK96</f>
        <v>40119524</v>
      </c>
      <c r="L33" s="484">
        <f>地下商业现金流!AO96</f>
        <v>42359932</v>
      </c>
      <c r="M33" s="484">
        <f>地下商业现金流!AS96</f>
        <v>44730288</v>
      </c>
      <c r="N33" s="484">
        <f>地下商业现金流!AW96</f>
        <v>47238132</v>
      </c>
      <c r="O33" s="484">
        <f>地下商业现金流!BA96</f>
        <v>49891412</v>
      </c>
      <c r="P33" s="484">
        <f>地下商业现金流!BE96</f>
        <v>52698592</v>
      </c>
      <c r="Q33" s="484">
        <f>地下商业现金流!BI96</f>
        <v>55668588</v>
      </c>
      <c r="R33" s="484">
        <f>地下商业现金流!BM96</f>
        <v>58810836</v>
      </c>
      <c r="S33" s="484">
        <f>地下商业现金流!BQ96</f>
        <v>62135344</v>
      </c>
      <c r="T33" s="484">
        <f>地下商业现金流!BU96</f>
        <v>65652688</v>
      </c>
      <c r="U33" s="484">
        <f>地下商业现金流!BY96</f>
        <v>69374028</v>
      </c>
      <c r="V33" s="484">
        <f>地下商业现金流!CC96</f>
        <v>73311196</v>
      </c>
      <c r="W33" s="484">
        <f>地下商业现金流!CG96</f>
        <v>77476704</v>
      </c>
      <c r="X33" s="484">
        <f t="shared" ref="X33:X35" si="58">SUM(C33:W33)</f>
        <v>996234647</v>
      </c>
    </row>
    <row r="34" spans="2:24">
      <c r="B34" s="376" t="s">
        <v>1414</v>
      </c>
      <c r="C34" s="376">
        <f>仓储现金流!E87</f>
        <v>629380</v>
      </c>
      <c r="D34" s="484">
        <f>仓储现金流!I87</f>
        <v>628148</v>
      </c>
      <c r="E34" s="484">
        <f>仓储现金流!M87</f>
        <v>663328</v>
      </c>
      <c r="F34" s="484">
        <f>仓储现金流!Q87</f>
        <v>700464</v>
      </c>
      <c r="G34" s="484">
        <f>仓储现金流!U87</f>
        <v>739688</v>
      </c>
      <c r="H34" s="484">
        <f>仓储现金流!Y87</f>
        <v>781124</v>
      </c>
      <c r="I34" s="484">
        <f>仓储现金流!AC87</f>
        <v>824868</v>
      </c>
      <c r="J34" s="484">
        <f>仓储现金流!AG87</f>
        <v>871064</v>
      </c>
      <c r="K34" s="484">
        <f>仓储现金流!AK87</f>
        <v>919860</v>
      </c>
      <c r="L34" s="484">
        <f>仓储现金流!AO87</f>
        <v>971376</v>
      </c>
      <c r="M34" s="484">
        <f>仓储现金流!AS87</f>
        <v>1025776</v>
      </c>
      <c r="N34" s="484">
        <f>仓储现金流!AW87</f>
        <v>1083216</v>
      </c>
      <c r="O34" s="484">
        <f>仓储现金流!BA87</f>
        <v>1143876</v>
      </c>
      <c r="P34" s="484">
        <f>仓储现金流!BE87</f>
        <v>1207936</v>
      </c>
      <c r="Q34" s="484">
        <f>仓储现金流!BI87</f>
        <v>1275572</v>
      </c>
      <c r="R34" s="484">
        <f>仓储现金流!BM87</f>
        <v>1347000</v>
      </c>
      <c r="S34" s="484">
        <f>仓储现金流!BQ87</f>
        <v>1422436</v>
      </c>
      <c r="T34" s="484">
        <f>仓储现金流!BU87</f>
        <v>1502092</v>
      </c>
      <c r="U34" s="484">
        <f>仓储现金流!BY87</f>
        <v>1586220</v>
      </c>
      <c r="V34" s="484">
        <f>仓储现金流!CC87</f>
        <v>1675040</v>
      </c>
      <c r="W34" s="484">
        <f>仓储现金流!CG87</f>
        <v>1768864</v>
      </c>
      <c r="X34" s="484">
        <f t="shared" si="58"/>
        <v>22767328</v>
      </c>
    </row>
    <row r="35" spans="2:24">
      <c r="B35" s="376" t="s">
        <v>1415</v>
      </c>
      <c r="C35" s="376">
        <f>地下车库现金流!E23</f>
        <v>556712</v>
      </c>
      <c r="D35" s="376">
        <f>地下车库现金流!I23</f>
        <v>475872</v>
      </c>
      <c r="E35" s="376">
        <f>地下车库现金流!M23</f>
        <v>478728</v>
      </c>
      <c r="F35" s="376">
        <f>地下车库现金流!Q23</f>
        <v>481616</v>
      </c>
      <c r="G35" s="376">
        <f>地下车库现金流!U23</f>
        <v>484512</v>
      </c>
      <c r="H35" s="376">
        <f>地下车库现金流!Y23</f>
        <v>487424</v>
      </c>
      <c r="I35" s="376">
        <f>地下车库现金流!AC23</f>
        <v>490352</v>
      </c>
      <c r="J35" s="376">
        <f>地下车库现金流!AG23</f>
        <v>493308</v>
      </c>
      <c r="K35" s="376">
        <f>地下车库现金流!AK23</f>
        <v>496268</v>
      </c>
      <c r="L35" s="376">
        <f>地下车库现金流!AO23</f>
        <v>499260</v>
      </c>
      <c r="M35" s="376">
        <f>地下车库现金流!AS23</f>
        <v>502260</v>
      </c>
      <c r="N35" s="376">
        <f>地下车库现金流!AW23</f>
        <v>505284</v>
      </c>
      <c r="O35" s="376">
        <f>地下车库现金流!BA23</f>
        <v>508324</v>
      </c>
      <c r="P35" s="376">
        <f>地下车库现金流!BE23</f>
        <v>511376</v>
      </c>
      <c r="Q35" s="376">
        <f>地下车库现金流!BI23</f>
        <v>514452</v>
      </c>
      <c r="R35" s="376">
        <f>地下车库现金流!BM23</f>
        <v>517552</v>
      </c>
      <c r="S35" s="376">
        <f>地下车库现金流!BQ23</f>
        <v>520660</v>
      </c>
      <c r="T35" s="376">
        <f>地下车库现金流!BU23</f>
        <v>523792</v>
      </c>
      <c r="U35" s="376">
        <f>地下车库现金流!BY23</f>
        <v>526944</v>
      </c>
      <c r="V35" s="376">
        <f>地下车库现金流!CC23</f>
        <v>530116</v>
      </c>
      <c r="W35" s="376">
        <f>地下车库现金流!CG23</f>
        <v>533300</v>
      </c>
      <c r="X35" s="484">
        <f t="shared" si="58"/>
        <v>10638112</v>
      </c>
    </row>
    <row r="36" spans="2:24">
      <c r="C36" s="494">
        <f t="shared" ref="C36:V36" si="59">SUM(C32:C35)</f>
        <v>178646227</v>
      </c>
      <c r="D36" s="494">
        <f t="shared" si="59"/>
        <v>182653977</v>
      </c>
      <c r="E36" s="494">
        <f t="shared" si="59"/>
        <v>191522492</v>
      </c>
      <c r="F36" s="494">
        <f t="shared" si="59"/>
        <v>202510549</v>
      </c>
      <c r="G36" s="494">
        <f t="shared" si="59"/>
        <v>215670840</v>
      </c>
      <c r="H36" s="494">
        <f t="shared" si="59"/>
        <v>230909356</v>
      </c>
      <c r="I36" s="494">
        <f t="shared" si="59"/>
        <v>247401956</v>
      </c>
      <c r="J36" s="494">
        <f t="shared" si="59"/>
        <v>265309060</v>
      </c>
      <c r="K36" s="494">
        <f t="shared" si="59"/>
        <v>284821144</v>
      </c>
      <c r="L36" s="494">
        <f t="shared" si="59"/>
        <v>306147272</v>
      </c>
      <c r="M36" s="494">
        <f t="shared" si="59"/>
        <v>329061560</v>
      </c>
      <c r="N36" s="494">
        <f t="shared" si="59"/>
        <v>354222288</v>
      </c>
      <c r="O36" s="494">
        <f t="shared" si="59"/>
        <v>381500728</v>
      </c>
      <c r="P36" s="494">
        <f t="shared" si="59"/>
        <v>411081168</v>
      </c>
      <c r="Q36" s="494">
        <f t="shared" si="59"/>
        <v>443164328</v>
      </c>
      <c r="R36" s="494">
        <f t="shared" si="59"/>
        <v>477968776</v>
      </c>
      <c r="S36" s="494">
        <f t="shared" si="59"/>
        <v>515732596</v>
      </c>
      <c r="T36" s="494">
        <f t="shared" si="59"/>
        <v>556715040</v>
      </c>
      <c r="U36" s="494">
        <f t="shared" si="59"/>
        <v>601198656</v>
      </c>
      <c r="V36" s="494">
        <f t="shared" si="59"/>
        <v>649491072</v>
      </c>
      <c r="W36" s="376">
        <f>SUM(W32:W35)</f>
        <v>701927636</v>
      </c>
      <c r="X36" s="376">
        <f>SUM(X32:X35)</f>
        <v>7727656721</v>
      </c>
    </row>
  </sheetData>
  <mergeCells count="190">
    <mergeCell ref="BW15:BZ15"/>
    <mergeCell ref="CA15:CD15"/>
    <mergeCell ref="CE15:CH15"/>
    <mergeCell ref="C11:F11"/>
    <mergeCell ref="G11:J11"/>
    <mergeCell ref="K11:N11"/>
    <mergeCell ref="O11:R11"/>
    <mergeCell ref="S11:V11"/>
    <mergeCell ref="W11:Z11"/>
    <mergeCell ref="AA11:AD11"/>
    <mergeCell ref="AE11:AH11"/>
    <mergeCell ref="AI11:AL11"/>
    <mergeCell ref="AM11:AP11"/>
    <mergeCell ref="AQ11:AT11"/>
    <mergeCell ref="AU11:AX11"/>
    <mergeCell ref="AY11:BB11"/>
    <mergeCell ref="BC11:BF11"/>
    <mergeCell ref="BG11:BJ11"/>
    <mergeCell ref="BK11:BN11"/>
    <mergeCell ref="BO11:BR11"/>
    <mergeCell ref="BS11:BV11"/>
    <mergeCell ref="BW11:BZ11"/>
    <mergeCell ref="CA11:CD11"/>
    <mergeCell ref="CE11:CH11"/>
    <mergeCell ref="AM15:AP15"/>
    <mergeCell ref="AQ15:AT15"/>
    <mergeCell ref="AU15:AX15"/>
    <mergeCell ref="AY15:BB15"/>
    <mergeCell ref="BC15:BF15"/>
    <mergeCell ref="BG15:BJ15"/>
    <mergeCell ref="BK15:BN15"/>
    <mergeCell ref="BO15:BR15"/>
    <mergeCell ref="BS15:BV15"/>
    <mergeCell ref="C15:F15"/>
    <mergeCell ref="G15:J15"/>
    <mergeCell ref="K15:N15"/>
    <mergeCell ref="O15:R15"/>
    <mergeCell ref="S15:V15"/>
    <mergeCell ref="W15:Z15"/>
    <mergeCell ref="AA15:AD15"/>
    <mergeCell ref="AE15:AH15"/>
    <mergeCell ref="AI15:AL15"/>
    <mergeCell ref="BW13:BZ13"/>
    <mergeCell ref="CA13:CD13"/>
    <mergeCell ref="CE13:CH13"/>
    <mergeCell ref="A1:CI1"/>
    <mergeCell ref="AY13:BB13"/>
    <mergeCell ref="BC13:BF13"/>
    <mergeCell ref="BG13:BJ13"/>
    <mergeCell ref="BK13:BN13"/>
    <mergeCell ref="BO13:BR13"/>
    <mergeCell ref="BS13:BV13"/>
    <mergeCell ref="AA13:AD13"/>
    <mergeCell ref="AE13:AH13"/>
    <mergeCell ref="AI13:AL13"/>
    <mergeCell ref="AM13:AP13"/>
    <mergeCell ref="AQ13:AT13"/>
    <mergeCell ref="AU13:AX13"/>
    <mergeCell ref="C13:F13"/>
    <mergeCell ref="G13:J13"/>
    <mergeCell ref="K13:N13"/>
    <mergeCell ref="O13:R13"/>
    <mergeCell ref="S13:V13"/>
    <mergeCell ref="W13:Z13"/>
    <mergeCell ref="BK10:BN10"/>
    <mergeCell ref="BO10:BR10"/>
    <mergeCell ref="BS10:BV10"/>
    <mergeCell ref="BW10:BZ10"/>
    <mergeCell ref="CA10:CD10"/>
    <mergeCell ref="CE10:CH10"/>
    <mergeCell ref="AM10:AP10"/>
    <mergeCell ref="AQ10:AT10"/>
    <mergeCell ref="AU10:AX10"/>
    <mergeCell ref="AY10:BB10"/>
    <mergeCell ref="BC10:BF10"/>
    <mergeCell ref="BG10:BJ10"/>
    <mergeCell ref="AU7:AX7"/>
    <mergeCell ref="AY7:BB7"/>
    <mergeCell ref="CE8:CH8"/>
    <mergeCell ref="C10:F10"/>
    <mergeCell ref="G10:J10"/>
    <mergeCell ref="K10:N10"/>
    <mergeCell ref="O10:R10"/>
    <mergeCell ref="S10:V10"/>
    <mergeCell ref="W10:Z10"/>
    <mergeCell ref="AA10:AD10"/>
    <mergeCell ref="AE10:AH10"/>
    <mergeCell ref="AI10:AL10"/>
    <mergeCell ref="BG8:BJ8"/>
    <mergeCell ref="BK8:BN8"/>
    <mergeCell ref="BO8:BR8"/>
    <mergeCell ref="BS8:BV8"/>
    <mergeCell ref="BW8:BZ8"/>
    <mergeCell ref="CA8:CD8"/>
    <mergeCell ref="AI8:AL8"/>
    <mergeCell ref="AM8:AP8"/>
    <mergeCell ref="AQ8:AT8"/>
    <mergeCell ref="AU8:AX8"/>
    <mergeCell ref="AY8:BB8"/>
    <mergeCell ref="BC8:BF8"/>
    <mergeCell ref="AQ2:AT2"/>
    <mergeCell ref="AU2:AX2"/>
    <mergeCell ref="C2:F2"/>
    <mergeCell ref="G2:J2"/>
    <mergeCell ref="CA7:CD7"/>
    <mergeCell ref="CE7:CH7"/>
    <mergeCell ref="C8:F8"/>
    <mergeCell ref="G8:J8"/>
    <mergeCell ref="K8:N8"/>
    <mergeCell ref="O8:R8"/>
    <mergeCell ref="S8:V8"/>
    <mergeCell ref="W8:Z8"/>
    <mergeCell ref="AA8:AD8"/>
    <mergeCell ref="AE8:AH8"/>
    <mergeCell ref="BC7:BF7"/>
    <mergeCell ref="BG7:BJ7"/>
    <mergeCell ref="BK7:BN7"/>
    <mergeCell ref="BO7:BR7"/>
    <mergeCell ref="BS7:BV7"/>
    <mergeCell ref="BW7:BZ7"/>
    <mergeCell ref="AE7:AH7"/>
    <mergeCell ref="AI7:AL7"/>
    <mergeCell ref="AM7:AP7"/>
    <mergeCell ref="AQ7:AT7"/>
    <mergeCell ref="K2:N2"/>
    <mergeCell ref="O2:R2"/>
    <mergeCell ref="S2:V2"/>
    <mergeCell ref="W2:Z2"/>
    <mergeCell ref="BW2:BZ2"/>
    <mergeCell ref="CA2:CD2"/>
    <mergeCell ref="CE2:CH2"/>
    <mergeCell ref="C7:F7"/>
    <mergeCell ref="G7:J7"/>
    <mergeCell ref="K7:N7"/>
    <mergeCell ref="O7:R7"/>
    <mergeCell ref="S7:V7"/>
    <mergeCell ref="W7:Z7"/>
    <mergeCell ref="AA7:AD7"/>
    <mergeCell ref="AY2:BB2"/>
    <mergeCell ref="BC2:BF2"/>
    <mergeCell ref="BG2:BJ2"/>
    <mergeCell ref="BK2:BN2"/>
    <mergeCell ref="BO2:BR2"/>
    <mergeCell ref="BS2:BV2"/>
    <mergeCell ref="AA2:AD2"/>
    <mergeCell ref="AE2:AH2"/>
    <mergeCell ref="AI2:AL2"/>
    <mergeCell ref="AM2:AP2"/>
    <mergeCell ref="C20:F20"/>
    <mergeCell ref="G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BK20:BN20"/>
    <mergeCell ref="BO20:BR20"/>
    <mergeCell ref="BS20:BV20"/>
    <mergeCell ref="BW20:BZ20"/>
    <mergeCell ref="CA20:CD20"/>
    <mergeCell ref="CE20:CH20"/>
    <mergeCell ref="C21:F21"/>
    <mergeCell ref="G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BK21:BN21"/>
    <mergeCell ref="BO21:BR21"/>
    <mergeCell ref="BS21:BV21"/>
    <mergeCell ref="BW21:BZ21"/>
    <mergeCell ref="CA21:CD21"/>
    <mergeCell ref="CE21:CH21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opLeftCell="A4" workbookViewId="0">
      <selection activeCell="L27" sqref="L27"/>
    </sheetView>
  </sheetViews>
  <sheetFormatPr defaultRowHeight="14.25"/>
  <cols>
    <col min="2" max="2" width="9.25" bestFit="1" customWidth="1"/>
  </cols>
  <sheetData>
    <row r="1" spans="1:13">
      <c r="A1" s="716" t="s">
        <v>1129</v>
      </c>
      <c r="B1" s="716">
        <v>2017</v>
      </c>
      <c r="C1" s="716"/>
      <c r="D1" s="716"/>
      <c r="E1" s="716">
        <v>2016</v>
      </c>
      <c r="F1" s="716"/>
      <c r="G1" s="716"/>
      <c r="H1" s="716">
        <v>2015</v>
      </c>
      <c r="I1" s="716"/>
      <c r="J1" s="716"/>
      <c r="K1" s="716" t="s">
        <v>1130</v>
      </c>
      <c r="L1" s="716" t="s">
        <v>1131</v>
      </c>
      <c r="M1" s="187"/>
    </row>
    <row r="2" spans="1:13">
      <c r="A2" s="716"/>
      <c r="B2" s="208" t="s">
        <v>1132</v>
      </c>
      <c r="C2" s="208" t="s">
        <v>1133</v>
      </c>
      <c r="D2" s="208" t="s">
        <v>1134</v>
      </c>
      <c r="E2" s="208" t="s">
        <v>1132</v>
      </c>
      <c r="F2" s="208" t="s">
        <v>1133</v>
      </c>
      <c r="G2" s="208" t="s">
        <v>1134</v>
      </c>
      <c r="H2" s="208" t="s">
        <v>1132</v>
      </c>
      <c r="I2" s="208" t="s">
        <v>1133</v>
      </c>
      <c r="J2" s="208" t="s">
        <v>1134</v>
      </c>
      <c r="K2" s="716"/>
      <c r="L2" s="716"/>
      <c r="M2" s="187"/>
    </row>
    <row r="3" spans="1:13">
      <c r="A3" s="208" t="s">
        <v>1136</v>
      </c>
      <c r="B3" s="208"/>
      <c r="C3" s="208"/>
      <c r="D3" s="201" t="e">
        <f>C3/30/B3</f>
        <v>#DIV/0!</v>
      </c>
      <c r="E3" s="208"/>
      <c r="F3" s="208"/>
      <c r="G3" s="201" t="e">
        <f>F3/30/E3</f>
        <v>#DIV/0!</v>
      </c>
      <c r="H3" s="208"/>
      <c r="I3" s="208"/>
      <c r="J3" s="201" t="e">
        <f>I3/30/H3</f>
        <v>#DIV/0!</v>
      </c>
      <c r="K3" s="202" t="e">
        <f>D3/G3-1</f>
        <v>#DIV/0!</v>
      </c>
      <c r="L3" s="202" t="e">
        <f>G3/J3-1</f>
        <v>#DIV/0!</v>
      </c>
      <c r="M3" s="189" t="e">
        <f>ROUND(AVERAGE(K3:L3),3)</f>
        <v>#DIV/0!</v>
      </c>
    </row>
    <row r="4" spans="1:13">
      <c r="A4" s="208" t="s">
        <v>1137</v>
      </c>
      <c r="B4" s="208"/>
      <c r="C4" s="208"/>
      <c r="D4" s="201" t="e">
        <f t="shared" ref="D4:D16" si="0">C4/30/B4</f>
        <v>#DIV/0!</v>
      </c>
      <c r="E4" s="208"/>
      <c r="F4" s="208"/>
      <c r="G4" s="201" t="e">
        <f t="shared" ref="G4:G16" si="1">F4/30/E4</f>
        <v>#DIV/0!</v>
      </c>
      <c r="H4" s="208"/>
      <c r="I4" s="208"/>
      <c r="J4" s="201" t="e">
        <f t="shared" ref="J4:J16" si="2">I4/30/H4</f>
        <v>#DIV/0!</v>
      </c>
      <c r="K4" s="202" t="e">
        <f t="shared" ref="K4:K16" si="3">D4/G4-1</f>
        <v>#DIV/0!</v>
      </c>
      <c r="L4" s="202" t="e">
        <f t="shared" ref="L4:L16" si="4">G4/J4-1</f>
        <v>#DIV/0!</v>
      </c>
      <c r="M4" s="189" t="e">
        <f t="shared" ref="M4:M7" si="5">ROUND(AVERAGE(K4:L4),3)</f>
        <v>#DIV/0!</v>
      </c>
    </row>
    <row r="5" spans="1:13">
      <c r="A5" s="208" t="s">
        <v>1138</v>
      </c>
      <c r="B5" s="208"/>
      <c r="C5" s="208"/>
      <c r="D5" s="201" t="e">
        <f t="shared" si="0"/>
        <v>#DIV/0!</v>
      </c>
      <c r="E5" s="208"/>
      <c r="F5" s="208"/>
      <c r="G5" s="201" t="e">
        <f>F5/30/E5</f>
        <v>#DIV/0!</v>
      </c>
      <c r="H5" s="208"/>
      <c r="I5" s="208"/>
      <c r="J5" s="201" t="e">
        <f t="shared" si="2"/>
        <v>#DIV/0!</v>
      </c>
      <c r="K5" s="202" t="e">
        <f t="shared" si="3"/>
        <v>#DIV/0!</v>
      </c>
      <c r="L5" s="202" t="e">
        <f>G5/J5-1</f>
        <v>#DIV/0!</v>
      </c>
      <c r="M5" s="189" t="e">
        <f t="shared" si="5"/>
        <v>#DIV/0!</v>
      </c>
    </row>
    <row r="6" spans="1:13">
      <c r="A6" s="208" t="s">
        <v>1139</v>
      </c>
      <c r="B6" s="208"/>
      <c r="C6" s="208"/>
      <c r="D6" s="201" t="e">
        <f t="shared" si="0"/>
        <v>#DIV/0!</v>
      </c>
      <c r="E6" s="208"/>
      <c r="F6" s="208"/>
      <c r="G6" s="201" t="e">
        <f t="shared" si="1"/>
        <v>#DIV/0!</v>
      </c>
      <c r="H6" s="208"/>
      <c r="I6" s="208"/>
      <c r="J6" s="201" t="e">
        <f t="shared" si="2"/>
        <v>#DIV/0!</v>
      </c>
      <c r="K6" s="202" t="e">
        <f t="shared" si="3"/>
        <v>#DIV/0!</v>
      </c>
      <c r="L6" s="202" t="e">
        <f t="shared" si="4"/>
        <v>#DIV/0!</v>
      </c>
      <c r="M6" s="189" t="e">
        <f t="shared" si="5"/>
        <v>#DIV/0!</v>
      </c>
    </row>
    <row r="7" spans="1:13">
      <c r="A7" s="208" t="s">
        <v>1140</v>
      </c>
      <c r="B7" s="208"/>
      <c r="C7" s="208"/>
      <c r="D7" s="201" t="e">
        <f t="shared" si="0"/>
        <v>#DIV/0!</v>
      </c>
      <c r="E7" s="208"/>
      <c r="F7" s="208"/>
      <c r="G7" s="201" t="e">
        <f t="shared" si="1"/>
        <v>#DIV/0!</v>
      </c>
      <c r="H7" s="208"/>
      <c r="I7" s="208"/>
      <c r="J7" s="201" t="e">
        <f t="shared" si="2"/>
        <v>#DIV/0!</v>
      </c>
      <c r="K7" s="202" t="e">
        <f t="shared" si="3"/>
        <v>#DIV/0!</v>
      </c>
      <c r="L7" s="202" t="e">
        <f t="shared" si="4"/>
        <v>#DIV/0!</v>
      </c>
      <c r="M7" s="189" t="e">
        <f t="shared" si="5"/>
        <v>#DIV/0!</v>
      </c>
    </row>
    <row r="8" spans="1:13">
      <c r="A8" s="208" t="s">
        <v>1141</v>
      </c>
      <c r="B8" s="208"/>
      <c r="C8" s="208"/>
      <c r="D8" s="201"/>
      <c r="E8" s="208"/>
      <c r="F8" s="208"/>
      <c r="G8" s="201"/>
      <c r="H8" s="208"/>
      <c r="I8" s="208"/>
      <c r="J8" s="201"/>
      <c r="K8" s="202"/>
      <c r="L8" s="202"/>
      <c r="M8" s="189"/>
    </row>
    <row r="9" spans="1:13">
      <c r="A9" s="208" t="s">
        <v>1142</v>
      </c>
      <c r="B9" s="208"/>
      <c r="C9" s="208"/>
      <c r="D9" s="201" t="e">
        <f t="shared" si="0"/>
        <v>#DIV/0!</v>
      </c>
      <c r="E9" s="208"/>
      <c r="F9" s="208"/>
      <c r="G9" s="201" t="e">
        <f t="shared" si="1"/>
        <v>#DIV/0!</v>
      </c>
      <c r="H9" s="208"/>
      <c r="I9" s="208"/>
      <c r="J9" s="201" t="e">
        <f t="shared" si="2"/>
        <v>#DIV/0!</v>
      </c>
      <c r="K9" s="202" t="e">
        <f t="shared" si="3"/>
        <v>#DIV/0!</v>
      </c>
      <c r="L9" s="202" t="e">
        <f t="shared" si="4"/>
        <v>#DIV/0!</v>
      </c>
      <c r="M9" s="189" t="e">
        <f>ROUND(AVERAGE(K9:L9),3)</f>
        <v>#DIV/0!</v>
      </c>
    </row>
    <row r="10" spans="1:13">
      <c r="A10" s="208" t="s">
        <v>1143</v>
      </c>
      <c r="B10" s="208"/>
      <c r="C10" s="208"/>
      <c r="D10" s="201" t="e">
        <f t="shared" si="0"/>
        <v>#DIV/0!</v>
      </c>
      <c r="E10" s="208"/>
      <c r="F10" s="208"/>
      <c r="G10" s="201" t="e">
        <f t="shared" si="1"/>
        <v>#DIV/0!</v>
      </c>
      <c r="H10" s="208"/>
      <c r="I10" s="208"/>
      <c r="J10" s="201" t="e">
        <f t="shared" si="2"/>
        <v>#DIV/0!</v>
      </c>
      <c r="K10" s="202" t="e">
        <f t="shared" si="3"/>
        <v>#DIV/0!</v>
      </c>
      <c r="L10" s="202" t="e">
        <f t="shared" si="4"/>
        <v>#DIV/0!</v>
      </c>
      <c r="M10" s="189" t="e">
        <f t="shared" ref="M10:M13" si="6">ROUND(AVERAGE(K10:L10),3)</f>
        <v>#DIV/0!</v>
      </c>
    </row>
    <row r="11" spans="1:13">
      <c r="A11" s="208" t="s">
        <v>1144</v>
      </c>
      <c r="B11" s="208"/>
      <c r="C11" s="208"/>
      <c r="D11" s="201" t="e">
        <f t="shared" si="0"/>
        <v>#DIV/0!</v>
      </c>
      <c r="E11" s="208"/>
      <c r="F11" s="208"/>
      <c r="G11" s="201" t="e">
        <f t="shared" si="1"/>
        <v>#DIV/0!</v>
      </c>
      <c r="H11" s="208"/>
      <c r="I11" s="208"/>
      <c r="J11" s="201" t="e">
        <f t="shared" si="2"/>
        <v>#DIV/0!</v>
      </c>
      <c r="K11" s="202" t="e">
        <f>D11/G11-1</f>
        <v>#DIV/0!</v>
      </c>
      <c r="L11" s="202" t="e">
        <f t="shared" si="4"/>
        <v>#DIV/0!</v>
      </c>
      <c r="M11" s="189" t="e">
        <f t="shared" si="6"/>
        <v>#DIV/0!</v>
      </c>
    </row>
    <row r="12" spans="1:13">
      <c r="A12" s="208" t="s">
        <v>1145</v>
      </c>
      <c r="B12" s="208"/>
      <c r="C12" s="208"/>
      <c r="D12" s="201" t="e">
        <f t="shared" si="0"/>
        <v>#DIV/0!</v>
      </c>
      <c r="E12" s="208"/>
      <c r="F12" s="208"/>
      <c r="G12" s="201" t="e">
        <f t="shared" si="1"/>
        <v>#DIV/0!</v>
      </c>
      <c r="H12" s="208"/>
      <c r="I12" s="208"/>
      <c r="J12" s="201" t="e">
        <f t="shared" si="2"/>
        <v>#DIV/0!</v>
      </c>
      <c r="K12" s="202" t="e">
        <f>D12/G12-1</f>
        <v>#DIV/0!</v>
      </c>
      <c r="L12" s="202" t="e">
        <f t="shared" si="4"/>
        <v>#DIV/0!</v>
      </c>
      <c r="M12" s="189" t="e">
        <f t="shared" si="6"/>
        <v>#DIV/0!</v>
      </c>
    </row>
    <row r="13" spans="1:13">
      <c r="A13" s="208" t="s">
        <v>1146</v>
      </c>
      <c r="B13" s="208"/>
      <c r="C13" s="208"/>
      <c r="D13" s="201" t="e">
        <f>C13/30/B13</f>
        <v>#DIV/0!</v>
      </c>
      <c r="E13" s="208"/>
      <c r="F13" s="208"/>
      <c r="G13" s="201" t="e">
        <f>G12</f>
        <v>#DIV/0!</v>
      </c>
      <c r="H13" s="208"/>
      <c r="I13" s="208"/>
      <c r="J13" s="201" t="e">
        <f>J12</f>
        <v>#DIV/0!</v>
      </c>
      <c r="K13" s="202" t="e">
        <f>D13/G13-1</f>
        <v>#DIV/0!</v>
      </c>
      <c r="L13" s="202" t="e">
        <f t="shared" si="4"/>
        <v>#DIV/0!</v>
      </c>
      <c r="M13" s="189" t="e">
        <f t="shared" si="6"/>
        <v>#DIV/0!</v>
      </c>
    </row>
    <row r="14" spans="1:13">
      <c r="A14" s="208" t="s">
        <v>1147</v>
      </c>
      <c r="B14" s="208"/>
      <c r="C14" s="208"/>
      <c r="D14" s="201" t="e">
        <f t="shared" si="0"/>
        <v>#DIV/0!</v>
      </c>
      <c r="E14" s="208"/>
      <c r="F14" s="208"/>
      <c r="G14" s="201" t="e">
        <f t="shared" si="1"/>
        <v>#DIV/0!</v>
      </c>
      <c r="H14" s="208"/>
      <c r="I14" s="208"/>
      <c r="J14" s="201" t="e">
        <f t="shared" si="2"/>
        <v>#DIV/0!</v>
      </c>
      <c r="K14" s="202" t="e">
        <f>D14/G14-1</f>
        <v>#DIV/0!</v>
      </c>
      <c r="L14" s="202" t="e">
        <f t="shared" si="4"/>
        <v>#DIV/0!</v>
      </c>
      <c r="M14" s="189" t="e">
        <f>ROUND(AVERAGE(K14:L14),3)</f>
        <v>#DIV/0!</v>
      </c>
    </row>
    <row r="15" spans="1:13">
      <c r="A15" s="208" t="s">
        <v>1148</v>
      </c>
      <c r="B15" s="208"/>
      <c r="C15" s="208"/>
      <c r="D15" s="201"/>
      <c r="E15" s="208"/>
      <c r="F15" s="208"/>
      <c r="G15" s="201"/>
      <c r="H15" s="208"/>
      <c r="I15" s="208"/>
      <c r="J15" s="201"/>
      <c r="K15" s="202"/>
      <c r="L15" s="202"/>
      <c r="M15" s="187"/>
    </row>
    <row r="16" spans="1:13">
      <c r="A16" s="208" t="s">
        <v>1149</v>
      </c>
      <c r="B16" s="208"/>
      <c r="C16" s="208"/>
      <c r="D16" s="201" t="e">
        <f t="shared" si="0"/>
        <v>#DIV/0!</v>
      </c>
      <c r="E16" s="208"/>
      <c r="F16" s="208"/>
      <c r="G16" s="201" t="e">
        <f t="shared" si="1"/>
        <v>#DIV/0!</v>
      </c>
      <c r="H16" s="208"/>
      <c r="I16" s="208"/>
      <c r="J16" s="201" t="e">
        <f t="shared" si="2"/>
        <v>#DIV/0!</v>
      </c>
      <c r="K16" s="202" t="e">
        <f t="shared" si="3"/>
        <v>#DIV/0!</v>
      </c>
      <c r="L16" s="202" t="e">
        <f t="shared" si="4"/>
        <v>#DIV/0!</v>
      </c>
      <c r="M16" s="189" t="e">
        <f>ROUND(AVERAGE(K16:L16),3)</f>
        <v>#DIV/0!</v>
      </c>
    </row>
    <row r="17" spans="1:13">
      <c r="A17" s="187"/>
      <c r="B17" s="187"/>
      <c r="C17" s="187"/>
      <c r="D17" s="187"/>
      <c r="E17" s="187"/>
      <c r="F17" s="187"/>
      <c r="G17" s="187"/>
      <c r="H17" s="187"/>
      <c r="I17" s="187"/>
      <c r="J17" s="187"/>
      <c r="K17" s="189"/>
      <c r="L17" s="189"/>
      <c r="M17" s="187"/>
    </row>
    <row r="18" spans="1:13">
      <c r="A18" s="187"/>
      <c r="B18" s="187"/>
      <c r="C18" s="187"/>
      <c r="D18" s="187"/>
      <c r="E18" s="187"/>
      <c r="F18" s="187"/>
      <c r="G18" s="187"/>
      <c r="H18" s="187"/>
      <c r="I18" s="187"/>
      <c r="J18" s="187"/>
      <c r="K18" s="189"/>
      <c r="L18" s="189"/>
      <c r="M18" s="187"/>
    </row>
    <row r="19" spans="1:13">
      <c r="A19" s="196" t="s">
        <v>1150</v>
      </c>
      <c r="B19" s="208">
        <f>B3-B23</f>
        <v>-4832.8</v>
      </c>
      <c r="C19" s="203">
        <f>C3-B24</f>
        <v>-483333.33</v>
      </c>
      <c r="D19" s="201">
        <f>C19/30/B19</f>
        <v>3.3337011670253269</v>
      </c>
      <c r="E19" s="208">
        <f>E3-B23</f>
        <v>-4832.8</v>
      </c>
      <c r="F19" s="208">
        <f>F3-B24</f>
        <v>-483333.33</v>
      </c>
      <c r="G19" s="201">
        <f>F19/30/E19</f>
        <v>3.3337011670253269</v>
      </c>
      <c r="H19" s="208">
        <f>H3-B23</f>
        <v>-4832.8</v>
      </c>
      <c r="I19" s="208">
        <f>I3-B24</f>
        <v>-483333.33</v>
      </c>
      <c r="J19" s="201">
        <f>I19/30/H19</f>
        <v>3.3337011670253269</v>
      </c>
      <c r="K19" s="202">
        <f>D19/G19-1</f>
        <v>0</v>
      </c>
      <c r="L19" s="202">
        <f t="shared" ref="L19" si="7">G19/J19-1</f>
        <v>0</v>
      </c>
      <c r="M19" s="189">
        <f>ROUND(AVERAGE(K19:L19),3)</f>
        <v>0</v>
      </c>
    </row>
    <row r="20" spans="1:13">
      <c r="A20" s="187"/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</row>
    <row r="21" spans="1:13">
      <c r="A21" s="187"/>
      <c r="B21" s="187"/>
      <c r="C21" s="187"/>
      <c r="D21" s="187"/>
      <c r="E21" s="713" t="s">
        <v>1249</v>
      </c>
      <c r="F21" s="713"/>
      <c r="G21" s="713"/>
      <c r="H21" s="713"/>
      <c r="I21" s="187"/>
      <c r="J21" s="187"/>
      <c r="K21" s="187"/>
      <c r="L21" s="187"/>
      <c r="M21" s="187"/>
    </row>
    <row r="22" spans="1:13">
      <c r="A22" s="187"/>
      <c r="B22" s="187"/>
      <c r="C22" s="187"/>
      <c r="D22" s="187"/>
      <c r="E22" s="208"/>
      <c r="F22" s="208" t="s">
        <v>1231</v>
      </c>
      <c r="G22" s="208" t="s">
        <v>1245</v>
      </c>
      <c r="H22" s="208" t="s">
        <v>1248</v>
      </c>
      <c r="I22" s="187"/>
      <c r="J22" s="187"/>
      <c r="K22" s="187"/>
      <c r="L22" s="187"/>
      <c r="M22" s="187"/>
    </row>
    <row r="23" spans="1:13">
      <c r="A23" s="208" t="s">
        <v>1151</v>
      </c>
      <c r="B23" s="203">
        <v>4832.8</v>
      </c>
      <c r="C23" s="187"/>
      <c r="D23" s="187"/>
      <c r="E23" s="208" t="s">
        <v>1246</v>
      </c>
      <c r="F23" s="208">
        <v>4065.8</v>
      </c>
      <c r="G23" s="208">
        <v>4000000</v>
      </c>
      <c r="H23" s="208">
        <f>G23/F23/365</f>
        <v>2.6953869126836145</v>
      </c>
      <c r="I23" s="187"/>
      <c r="J23" s="187"/>
      <c r="K23" s="187"/>
      <c r="L23" s="187"/>
      <c r="M23" s="187"/>
    </row>
    <row r="24" spans="1:13">
      <c r="A24" s="208" t="s">
        <v>1152</v>
      </c>
      <c r="B24" s="203">
        <f>[1]楼盘租金明细表!G286</f>
        <v>483333.33</v>
      </c>
      <c r="C24" s="714">
        <f>B24*12</f>
        <v>5799999.96</v>
      </c>
      <c r="D24" s="715"/>
      <c r="E24" s="208" t="s">
        <v>1247</v>
      </c>
      <c r="F24" s="208">
        <v>767</v>
      </c>
      <c r="G24" s="208">
        <v>6400000</v>
      </c>
      <c r="H24" s="208">
        <f>G24/F24/365</f>
        <v>22.86081691700452</v>
      </c>
      <c r="I24" s="187"/>
      <c r="J24" s="715"/>
      <c r="K24" s="715"/>
      <c r="L24" s="187"/>
      <c r="M24" s="187"/>
    </row>
    <row r="25" spans="1:13">
      <c r="A25" s="187"/>
      <c r="B25" s="187">
        <f>B24/B23/30</f>
        <v>3.3337011670253269</v>
      </c>
      <c r="C25" s="187"/>
      <c r="D25" s="187"/>
      <c r="E25" s="208"/>
      <c r="F25" s="208">
        <f>F23+F24</f>
        <v>4832.8</v>
      </c>
      <c r="G25" s="208">
        <f>G23+G24</f>
        <v>10400000</v>
      </c>
      <c r="H25" s="208">
        <f>G25/F25/365</f>
        <v>5.8957851938692905</v>
      </c>
      <c r="I25" s="187"/>
      <c r="J25" s="187"/>
      <c r="K25" s="187"/>
      <c r="L25" s="187"/>
      <c r="M25" s="187"/>
    </row>
    <row r="26" spans="1:13">
      <c r="A26" s="187"/>
      <c r="B26" s="187"/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</row>
    <row r="27" spans="1:13">
      <c r="A27" s="716" t="s">
        <v>1227</v>
      </c>
      <c r="B27" s="716"/>
      <c r="C27" s="716"/>
      <c r="D27" s="716"/>
      <c r="E27" s="716"/>
      <c r="F27" s="187"/>
      <c r="G27" s="716" t="s">
        <v>1228</v>
      </c>
      <c r="H27" s="716"/>
      <c r="I27" s="716"/>
      <c r="J27" s="716"/>
      <c r="K27" s="187"/>
      <c r="L27" s="187"/>
      <c r="M27" s="187"/>
    </row>
    <row r="28" spans="1:13">
      <c r="A28" s="208"/>
      <c r="B28" s="208">
        <v>2017</v>
      </c>
      <c r="C28" s="208">
        <v>2016</v>
      </c>
      <c r="D28" s="208">
        <v>2015</v>
      </c>
      <c r="E28" s="208"/>
      <c r="F28" s="187"/>
      <c r="G28" s="208"/>
      <c r="H28" s="208">
        <v>2017</v>
      </c>
      <c r="I28" s="208">
        <v>2016</v>
      </c>
      <c r="J28" s="208">
        <v>2015</v>
      </c>
      <c r="K28" s="187"/>
      <c r="L28" s="187"/>
      <c r="M28" s="187"/>
    </row>
    <row r="29" spans="1:13">
      <c r="A29" s="208" t="s">
        <v>1155</v>
      </c>
      <c r="B29" s="208">
        <f>SUM(B3:B16)</f>
        <v>0</v>
      </c>
      <c r="C29" s="208">
        <f>SUM(E3:E16)</f>
        <v>0</v>
      </c>
      <c r="D29" s="208">
        <f>SUM(H3:H16)</f>
        <v>0</v>
      </c>
      <c r="E29" s="208"/>
      <c r="F29" s="187"/>
      <c r="G29" s="208" t="s">
        <v>1229</v>
      </c>
      <c r="H29" s="197">
        <f>15016437.228/10000</f>
        <v>1501.6437228</v>
      </c>
      <c r="I29" s="208">
        <f>21915135.02/10000</f>
        <v>2191.5135019999998</v>
      </c>
      <c r="J29" s="208">
        <f>25030578.57/10000</f>
        <v>2503.0578570000002</v>
      </c>
      <c r="K29" s="187"/>
      <c r="L29" s="187"/>
      <c r="M29" s="187"/>
    </row>
    <row r="30" spans="1:13">
      <c r="A30" s="208" t="s">
        <v>1156</v>
      </c>
      <c r="B30" s="208">
        <f>基础资料!H28</f>
        <v>50293.760000000002</v>
      </c>
      <c r="C30" s="208">
        <f>B30</f>
        <v>50293.760000000002</v>
      </c>
      <c r="D30" s="208">
        <f>C30</f>
        <v>50293.760000000002</v>
      </c>
      <c r="E30" s="208"/>
      <c r="F30" s="187"/>
      <c r="G30" s="208" t="s">
        <v>1230</v>
      </c>
      <c r="H30" s="208">
        <f>ROUND(AVERAGE(H29:J29),0)</f>
        <v>2065</v>
      </c>
      <c r="I30" s="208"/>
      <c r="J30" s="208"/>
      <c r="K30" s="187"/>
      <c r="L30" s="187"/>
      <c r="M30" s="187"/>
    </row>
    <row r="31" spans="1:13">
      <c r="A31" s="208" t="s">
        <v>1157</v>
      </c>
      <c r="B31" s="204">
        <f>ROUND(B29/B30,3)</f>
        <v>0</v>
      </c>
      <c r="C31" s="204">
        <f t="shared" ref="C31:D31" si="8">ROUND(C29/C30,3)</f>
        <v>0</v>
      </c>
      <c r="D31" s="204">
        <f t="shared" si="8"/>
        <v>0</v>
      </c>
      <c r="E31" s="204">
        <f>ROUND(AVERAGE(B31:D31),3)</f>
        <v>0</v>
      </c>
      <c r="F31" s="187"/>
      <c r="G31" s="187"/>
      <c r="H31" s="187"/>
      <c r="I31" s="187"/>
      <c r="J31" s="187"/>
      <c r="K31" s="187"/>
      <c r="L31" s="187"/>
      <c r="M31" s="187"/>
    </row>
    <row r="32" spans="1:13">
      <c r="A32" s="187"/>
      <c r="B32" s="187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</row>
    <row r="33" spans="1:13">
      <c r="A33" s="187"/>
      <c r="B33" s="187"/>
      <c r="C33" s="187"/>
      <c r="D33" s="187"/>
      <c r="E33" s="187"/>
      <c r="F33" s="187"/>
      <c r="G33" s="205"/>
      <c r="H33" s="205" t="s">
        <v>1231</v>
      </c>
      <c r="I33" s="205" t="s">
        <v>1232</v>
      </c>
      <c r="J33" s="187"/>
      <c r="K33" s="187"/>
      <c r="L33" s="187"/>
      <c r="M33" s="187"/>
    </row>
    <row r="34" spans="1:13">
      <c r="A34" s="187"/>
      <c r="B34" s="187"/>
      <c r="C34" s="187"/>
      <c r="D34" s="187"/>
      <c r="E34" s="187"/>
      <c r="F34" s="187"/>
      <c r="G34" s="206" t="s">
        <v>593</v>
      </c>
      <c r="H34" s="207">
        <f>地下商业现金流!F82</f>
        <v>6440.47</v>
      </c>
      <c r="I34" s="205">
        <f>ROUND(H34/H36*H29,0)</f>
        <v>195</v>
      </c>
      <c r="J34" s="187"/>
      <c r="K34" s="187"/>
      <c r="L34" s="187"/>
      <c r="M34" s="187"/>
    </row>
    <row r="35" spans="1:13">
      <c r="A35" s="187"/>
      <c r="B35" s="187"/>
      <c r="C35" s="187"/>
      <c r="D35" s="187"/>
      <c r="E35" s="187"/>
      <c r="F35" s="187"/>
      <c r="G35" s="206" t="s">
        <v>626</v>
      </c>
      <c r="H35" s="205">
        <f>地上商业现金流!F397</f>
        <v>43141.430005479444</v>
      </c>
      <c r="I35" s="205">
        <f>ROUND(H29-I34,0)</f>
        <v>1307</v>
      </c>
      <c r="J35" s="187"/>
      <c r="K35" s="187"/>
      <c r="L35" s="187"/>
      <c r="M35" s="187"/>
    </row>
    <row r="36" spans="1:13">
      <c r="A36" s="187"/>
      <c r="B36" s="187"/>
      <c r="C36" s="187"/>
      <c r="D36" s="187"/>
      <c r="E36" s="187"/>
      <c r="F36" s="187"/>
      <c r="G36" s="205" t="s">
        <v>605</v>
      </c>
      <c r="H36" s="205">
        <f>H34+H35</f>
        <v>49581.900005479445</v>
      </c>
      <c r="I36" s="205">
        <f>I34+I35</f>
        <v>1502</v>
      </c>
      <c r="J36" s="187"/>
      <c r="K36" s="187"/>
      <c r="L36" s="187"/>
      <c r="M36" s="187"/>
    </row>
  </sheetData>
  <mergeCells count="11">
    <mergeCell ref="L1:L2"/>
    <mergeCell ref="A1:A2"/>
    <mergeCell ref="B1:D1"/>
    <mergeCell ref="E1:G1"/>
    <mergeCell ref="H1:J1"/>
    <mergeCell ref="K1:K2"/>
    <mergeCell ref="E21:H21"/>
    <mergeCell ref="C24:D24"/>
    <mergeCell ref="J24:K24"/>
    <mergeCell ref="A27:E27"/>
    <mergeCell ref="G27:J27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C471"/>
  <sheetViews>
    <sheetView zoomScale="85" zoomScaleNormal="85" workbookViewId="0">
      <pane xSplit="7" ySplit="18" topLeftCell="CG71" activePane="bottomRight" state="frozen"/>
      <selection pane="topRight" activeCell="I1" sqref="I1"/>
      <selection pane="bottomLeft" activeCell="A21" sqref="A21"/>
      <selection pane="bottomRight" activeCell="F94" sqref="F94"/>
    </sheetView>
  </sheetViews>
  <sheetFormatPr defaultColWidth="9" defaultRowHeight="14.25" outlineLevelCol="1"/>
  <cols>
    <col min="1" max="1" width="5" style="143" customWidth="1"/>
    <col min="2" max="2" width="15" style="144" customWidth="1"/>
    <col min="3" max="3" width="23.625" style="19" customWidth="1"/>
    <col min="4" max="4" width="17" style="145" customWidth="1"/>
    <col min="5" max="5" width="10.625" style="146" customWidth="1" outlineLevel="1"/>
    <col min="6" max="6" width="10.625" style="147" customWidth="1"/>
    <col min="7" max="7" width="10.625" style="148" customWidth="1"/>
    <col min="8" max="8" width="10.625" style="58" customWidth="1"/>
    <col min="9" max="9" width="10.625" style="147" customWidth="1"/>
    <col min="10" max="10" width="10.625" style="70" customWidth="1"/>
    <col min="11" max="93" width="10.625" style="58" customWidth="1"/>
    <col min="94" max="94" width="17.75" style="59" customWidth="1"/>
    <col min="95" max="95" width="9" style="60" customWidth="1"/>
    <col min="96" max="96" width="11.75" style="60" customWidth="1"/>
    <col min="97" max="97" width="8.875" style="60" customWidth="1"/>
    <col min="98" max="98" width="12.375" style="60" customWidth="1"/>
    <col min="99" max="99" width="13" style="60" customWidth="1"/>
    <col min="100" max="100" width="12.375" style="60" customWidth="1"/>
    <col min="101" max="101" width="12.25" style="60" customWidth="1"/>
    <col min="102" max="102" width="12.125" style="60" customWidth="1"/>
    <col min="103" max="103" width="11.625" style="60" customWidth="1"/>
    <col min="104" max="104" width="12" style="60" customWidth="1"/>
    <col min="105" max="105" width="13" style="60" customWidth="1"/>
    <col min="106" max="106" width="11.625" style="60" customWidth="1"/>
    <col min="107" max="108" width="12" style="60" customWidth="1"/>
    <col min="109" max="111" width="11.625" style="60" customWidth="1"/>
    <col min="112" max="112" width="11.125" style="60" customWidth="1"/>
    <col min="113" max="113" width="12" style="60" customWidth="1"/>
    <col min="114" max="114" width="13" style="60" customWidth="1"/>
    <col min="115" max="115" width="13.625" style="60" customWidth="1"/>
    <col min="116" max="116" width="11.875" style="60" customWidth="1"/>
    <col min="117" max="118" width="11.625" style="60" customWidth="1"/>
    <col min="119" max="119" width="12" style="60" customWidth="1"/>
    <col min="120" max="120" width="12.75" style="60" customWidth="1"/>
    <col min="121" max="121" width="11.625" style="60" customWidth="1"/>
    <col min="122" max="122" width="12.125" style="60" customWidth="1"/>
    <col min="123" max="124" width="11.625" style="60" customWidth="1"/>
    <col min="125" max="125" width="12.5" style="60" customWidth="1"/>
    <col min="126" max="300" width="11.625" style="60" customWidth="1"/>
    <col min="301" max="301" width="17.75" style="60" customWidth="1"/>
    <col min="302" max="303" width="9" style="60" customWidth="1"/>
    <col min="304" max="304" width="16.25" style="60" customWidth="1"/>
    <col min="305" max="305" width="24" style="60" customWidth="1"/>
    <col min="306" max="306" width="9" style="60"/>
    <col min="307" max="307" width="11.75" style="60" customWidth="1"/>
    <col min="308" max="308" width="8.875" style="60" customWidth="1"/>
    <col min="309" max="309" width="17.375" style="60" customWidth="1"/>
    <col min="310" max="310" width="13.25" style="60" customWidth="1"/>
    <col min="311" max="311" width="25.75" style="60" customWidth="1"/>
    <col min="312" max="312" width="11.125" style="60" customWidth="1"/>
    <col min="313" max="313" width="10.75" style="60" customWidth="1"/>
    <col min="314" max="314" width="9" style="60" customWidth="1"/>
    <col min="315" max="315" width="9.75" style="60" customWidth="1"/>
    <col min="316" max="316" width="7.5" style="60" customWidth="1"/>
    <col min="317" max="317" width="13.25" style="60" customWidth="1"/>
    <col min="318" max="318" width="11.75" style="60" customWidth="1"/>
    <col min="319" max="319" width="8.875" style="60" customWidth="1"/>
    <col min="320" max="320" width="9.625" style="60" customWidth="1"/>
    <col min="321" max="322" width="11.875" style="60" customWidth="1"/>
    <col min="323" max="323" width="11.5" style="60" customWidth="1"/>
    <col min="324" max="339" width="12.25" style="60" customWidth="1"/>
    <col min="340" max="340" width="13" style="60" customWidth="1"/>
    <col min="341" max="345" width="12.375" style="60" customWidth="1"/>
    <col min="346" max="346" width="13" style="60" customWidth="1"/>
    <col min="347" max="348" width="12.375" style="60" customWidth="1"/>
    <col min="349" max="349" width="13" style="60" customWidth="1"/>
    <col min="350" max="350" width="13.125" style="60" customWidth="1"/>
    <col min="351" max="351" width="13" style="60" customWidth="1"/>
    <col min="352" max="352" width="13.125" style="60" customWidth="1"/>
    <col min="353" max="354" width="12.375" style="60" customWidth="1"/>
    <col min="355" max="355" width="13" style="60" customWidth="1"/>
    <col min="356" max="356" width="12.375" style="60" customWidth="1"/>
    <col min="357" max="357" width="12.25" style="60" customWidth="1"/>
    <col min="358" max="358" width="12.125" style="60" customWidth="1"/>
    <col min="359" max="359" width="11.625" style="60" customWidth="1"/>
    <col min="360" max="360" width="12" style="60" customWidth="1"/>
    <col min="361" max="361" width="13" style="60" customWidth="1"/>
    <col min="362" max="362" width="11.625" style="60" customWidth="1"/>
    <col min="363" max="364" width="12" style="60" customWidth="1"/>
    <col min="365" max="367" width="11.625" style="60" customWidth="1"/>
    <col min="368" max="368" width="11.125" style="60" customWidth="1"/>
    <col min="369" max="369" width="12" style="60" customWidth="1"/>
    <col min="370" max="370" width="13" style="60" customWidth="1"/>
    <col min="371" max="371" width="13.625" style="60" customWidth="1"/>
    <col min="372" max="372" width="11.875" style="60" customWidth="1"/>
    <col min="373" max="374" width="11.625" style="60" customWidth="1"/>
    <col min="375" max="375" width="12" style="60" customWidth="1"/>
    <col min="376" max="376" width="12.75" style="60" customWidth="1"/>
    <col min="377" max="377" width="11.625" style="60" customWidth="1"/>
    <col min="378" max="378" width="12.125" style="60" customWidth="1"/>
    <col min="379" max="380" width="11.625" style="60" customWidth="1"/>
    <col min="381" max="381" width="12.5" style="60" customWidth="1"/>
    <col min="382" max="556" width="11.625" style="60" customWidth="1"/>
    <col min="557" max="557" width="17.75" style="60" customWidth="1"/>
    <col min="558" max="559" width="9" style="60" customWidth="1"/>
    <col min="560" max="560" width="16.25" style="60" customWidth="1"/>
    <col min="561" max="561" width="24" style="60" customWidth="1"/>
    <col min="562" max="562" width="9" style="60"/>
    <col min="563" max="563" width="11.75" style="60" customWidth="1"/>
    <col min="564" max="564" width="8.875" style="60" customWidth="1"/>
    <col min="565" max="565" width="17.375" style="60" customWidth="1"/>
    <col min="566" max="566" width="13.25" style="60" customWidth="1"/>
    <col min="567" max="567" width="25.75" style="60" customWidth="1"/>
    <col min="568" max="568" width="11.125" style="60" customWidth="1"/>
    <col min="569" max="569" width="10.75" style="60" customWidth="1"/>
    <col min="570" max="570" width="9" style="60" customWidth="1"/>
    <col min="571" max="571" width="9.75" style="60" customWidth="1"/>
    <col min="572" max="572" width="7.5" style="60" customWidth="1"/>
    <col min="573" max="573" width="13.25" style="60" customWidth="1"/>
    <col min="574" max="574" width="11.75" style="60" customWidth="1"/>
    <col min="575" max="575" width="8.875" style="60" customWidth="1"/>
    <col min="576" max="576" width="9.625" style="60" customWidth="1"/>
    <col min="577" max="578" width="11.875" style="60" customWidth="1"/>
    <col min="579" max="579" width="11.5" style="60" customWidth="1"/>
    <col min="580" max="595" width="12.25" style="60" customWidth="1"/>
    <col min="596" max="596" width="13" style="60" customWidth="1"/>
    <col min="597" max="601" width="12.375" style="60" customWidth="1"/>
    <col min="602" max="602" width="13" style="60" customWidth="1"/>
    <col min="603" max="604" width="12.375" style="60" customWidth="1"/>
    <col min="605" max="605" width="13" style="60" customWidth="1"/>
    <col min="606" max="606" width="13.125" style="60" customWidth="1"/>
    <col min="607" max="607" width="13" style="60" customWidth="1"/>
    <col min="608" max="608" width="13.125" style="60" customWidth="1"/>
    <col min="609" max="610" width="12.375" style="60" customWidth="1"/>
    <col min="611" max="611" width="13" style="60" customWidth="1"/>
    <col min="612" max="612" width="12.375" style="60" customWidth="1"/>
    <col min="613" max="613" width="12.25" style="60" customWidth="1"/>
    <col min="614" max="614" width="12.125" style="60" customWidth="1"/>
    <col min="615" max="615" width="11.625" style="60" customWidth="1"/>
    <col min="616" max="616" width="12" style="60" customWidth="1"/>
    <col min="617" max="617" width="13" style="60" customWidth="1"/>
    <col min="618" max="618" width="11.625" style="60" customWidth="1"/>
    <col min="619" max="620" width="12" style="60" customWidth="1"/>
    <col min="621" max="623" width="11.625" style="60" customWidth="1"/>
    <col min="624" max="624" width="11.125" style="60" customWidth="1"/>
    <col min="625" max="625" width="12" style="60" customWidth="1"/>
    <col min="626" max="626" width="13" style="60" customWidth="1"/>
    <col min="627" max="627" width="13.625" style="60" customWidth="1"/>
    <col min="628" max="628" width="11.875" style="60" customWidth="1"/>
    <col min="629" max="630" width="11.625" style="60" customWidth="1"/>
    <col min="631" max="631" width="12" style="60" customWidth="1"/>
    <col min="632" max="632" width="12.75" style="60" customWidth="1"/>
    <col min="633" max="633" width="11.625" style="60" customWidth="1"/>
    <col min="634" max="634" width="12.125" style="60" customWidth="1"/>
    <col min="635" max="636" width="11.625" style="60" customWidth="1"/>
    <col min="637" max="637" width="12.5" style="60" customWidth="1"/>
    <col min="638" max="812" width="11.625" style="60" customWidth="1"/>
    <col min="813" max="813" width="17.75" style="60" customWidth="1"/>
    <col min="814" max="815" width="9" style="60" customWidth="1"/>
    <col min="816" max="816" width="16.25" style="60" customWidth="1"/>
    <col min="817" max="817" width="24" style="60" customWidth="1"/>
    <col min="818" max="818" width="9" style="60"/>
    <col min="819" max="819" width="11.75" style="60" customWidth="1"/>
    <col min="820" max="820" width="8.875" style="60" customWidth="1"/>
    <col min="821" max="821" width="17.375" style="60" customWidth="1"/>
    <col min="822" max="822" width="13.25" style="60" customWidth="1"/>
    <col min="823" max="823" width="25.75" style="60" customWidth="1"/>
    <col min="824" max="824" width="11.125" style="60" customWidth="1"/>
    <col min="825" max="825" width="10.75" style="60" customWidth="1"/>
    <col min="826" max="826" width="9" style="60" customWidth="1"/>
    <col min="827" max="827" width="9.75" style="60" customWidth="1"/>
    <col min="828" max="828" width="7.5" style="60" customWidth="1"/>
    <col min="829" max="829" width="13.25" style="60" customWidth="1"/>
    <col min="830" max="830" width="11.75" style="60" customWidth="1"/>
    <col min="831" max="831" width="8.875" style="60" customWidth="1"/>
    <col min="832" max="832" width="9.625" style="60" customWidth="1"/>
    <col min="833" max="834" width="11.875" style="60" customWidth="1"/>
    <col min="835" max="835" width="11.5" style="60" customWidth="1"/>
    <col min="836" max="851" width="12.25" style="60" customWidth="1"/>
    <col min="852" max="852" width="13" style="60" customWidth="1"/>
    <col min="853" max="857" width="12.375" style="60" customWidth="1"/>
    <col min="858" max="858" width="13" style="60" customWidth="1"/>
    <col min="859" max="860" width="12.375" style="60" customWidth="1"/>
    <col min="861" max="861" width="13" style="60" customWidth="1"/>
    <col min="862" max="862" width="13.125" style="60" customWidth="1"/>
    <col min="863" max="863" width="13" style="60" customWidth="1"/>
    <col min="864" max="864" width="13.125" style="60" customWidth="1"/>
    <col min="865" max="866" width="12.375" style="60" customWidth="1"/>
    <col min="867" max="867" width="13" style="60" customWidth="1"/>
    <col min="868" max="868" width="12.375" style="60" customWidth="1"/>
    <col min="869" max="869" width="12.25" style="60" customWidth="1"/>
    <col min="870" max="870" width="12.125" style="60" customWidth="1"/>
    <col min="871" max="871" width="11.625" style="60" customWidth="1"/>
    <col min="872" max="872" width="12" style="60" customWidth="1"/>
    <col min="873" max="873" width="13" style="60" customWidth="1"/>
    <col min="874" max="874" width="11.625" style="60" customWidth="1"/>
    <col min="875" max="876" width="12" style="60" customWidth="1"/>
    <col min="877" max="879" width="11.625" style="60" customWidth="1"/>
    <col min="880" max="880" width="11.125" style="60" customWidth="1"/>
    <col min="881" max="881" width="12" style="60" customWidth="1"/>
    <col min="882" max="882" width="13" style="60" customWidth="1"/>
    <col min="883" max="883" width="13.625" style="60" customWidth="1"/>
    <col min="884" max="884" width="11.875" style="60" customWidth="1"/>
    <col min="885" max="886" width="11.625" style="60" customWidth="1"/>
    <col min="887" max="887" width="12" style="60" customWidth="1"/>
    <col min="888" max="888" width="12.75" style="60" customWidth="1"/>
    <col min="889" max="889" width="11.625" style="60" customWidth="1"/>
    <col min="890" max="890" width="12.125" style="60" customWidth="1"/>
    <col min="891" max="892" width="11.625" style="60" customWidth="1"/>
    <col min="893" max="893" width="12.5" style="60" customWidth="1"/>
    <col min="894" max="1068" width="11.625" style="60" customWidth="1"/>
    <col min="1069" max="1069" width="17.75" style="60" customWidth="1"/>
    <col min="1070" max="1071" width="9" style="60" customWidth="1"/>
    <col min="1072" max="1072" width="16.25" style="60" customWidth="1"/>
    <col min="1073" max="1073" width="24" style="60" customWidth="1"/>
    <col min="1074" max="1074" width="9" style="60"/>
    <col min="1075" max="1075" width="11.75" style="60" customWidth="1"/>
    <col min="1076" max="1076" width="8.875" style="60" customWidth="1"/>
    <col min="1077" max="1077" width="17.375" style="60" customWidth="1"/>
    <col min="1078" max="1078" width="13.25" style="60" customWidth="1"/>
    <col min="1079" max="1079" width="25.75" style="60" customWidth="1"/>
    <col min="1080" max="1080" width="11.125" style="60" customWidth="1"/>
    <col min="1081" max="1081" width="10.75" style="60" customWidth="1"/>
    <col min="1082" max="1082" width="9" style="60" customWidth="1"/>
    <col min="1083" max="1083" width="9.75" style="60" customWidth="1"/>
    <col min="1084" max="1084" width="7.5" style="60" customWidth="1"/>
    <col min="1085" max="1085" width="13.25" style="60" customWidth="1"/>
    <col min="1086" max="1086" width="11.75" style="60" customWidth="1"/>
    <col min="1087" max="1087" width="8.875" style="60" customWidth="1"/>
    <col min="1088" max="1088" width="9.625" style="60" customWidth="1"/>
    <col min="1089" max="1090" width="11.875" style="60" customWidth="1"/>
    <col min="1091" max="1091" width="11.5" style="60" customWidth="1"/>
    <col min="1092" max="1107" width="12.25" style="60" customWidth="1"/>
    <col min="1108" max="1108" width="13" style="60" customWidth="1"/>
    <col min="1109" max="1113" width="12.375" style="60" customWidth="1"/>
    <col min="1114" max="1114" width="13" style="60" customWidth="1"/>
    <col min="1115" max="1116" width="12.375" style="60" customWidth="1"/>
    <col min="1117" max="1117" width="13" style="60" customWidth="1"/>
    <col min="1118" max="1118" width="13.125" style="60" customWidth="1"/>
    <col min="1119" max="1119" width="13" style="60" customWidth="1"/>
    <col min="1120" max="1120" width="13.125" style="60" customWidth="1"/>
    <col min="1121" max="1122" width="12.375" style="60" customWidth="1"/>
    <col min="1123" max="1123" width="13" style="60" customWidth="1"/>
    <col min="1124" max="1124" width="12.375" style="60" customWidth="1"/>
    <col min="1125" max="1125" width="12.25" style="60" customWidth="1"/>
    <col min="1126" max="1126" width="12.125" style="60" customWidth="1"/>
    <col min="1127" max="1127" width="11.625" style="60" customWidth="1"/>
    <col min="1128" max="1128" width="12" style="60" customWidth="1"/>
    <col min="1129" max="1129" width="13" style="60" customWidth="1"/>
    <col min="1130" max="1130" width="11.625" style="60" customWidth="1"/>
    <col min="1131" max="1132" width="12" style="60" customWidth="1"/>
    <col min="1133" max="1135" width="11.625" style="60" customWidth="1"/>
    <col min="1136" max="1136" width="11.125" style="60" customWidth="1"/>
    <col min="1137" max="1137" width="12" style="60" customWidth="1"/>
    <col min="1138" max="1138" width="13" style="60" customWidth="1"/>
    <col min="1139" max="1139" width="13.625" style="60" customWidth="1"/>
    <col min="1140" max="1140" width="11.875" style="60" customWidth="1"/>
    <col min="1141" max="1142" width="11.625" style="60" customWidth="1"/>
    <col min="1143" max="1143" width="12" style="60" customWidth="1"/>
    <col min="1144" max="1144" width="12.75" style="60" customWidth="1"/>
    <col min="1145" max="1145" width="11.625" style="60" customWidth="1"/>
    <col min="1146" max="1146" width="12.125" style="60" customWidth="1"/>
    <col min="1147" max="1148" width="11.625" style="60" customWidth="1"/>
    <col min="1149" max="1149" width="12.5" style="60" customWidth="1"/>
    <col min="1150" max="1324" width="11.625" style="60" customWidth="1"/>
    <col min="1325" max="1325" width="17.75" style="60" customWidth="1"/>
    <col min="1326" max="1327" width="9" style="60" customWidth="1"/>
    <col min="1328" max="1328" width="16.25" style="60" customWidth="1"/>
    <col min="1329" max="1329" width="24" style="60" customWidth="1"/>
    <col min="1330" max="1330" width="9" style="60"/>
    <col min="1331" max="1331" width="11.75" style="60" customWidth="1"/>
    <col min="1332" max="1332" width="8.875" style="60" customWidth="1"/>
    <col min="1333" max="1333" width="17.375" style="60" customWidth="1"/>
    <col min="1334" max="1334" width="13.25" style="60" customWidth="1"/>
    <col min="1335" max="1335" width="25.75" style="60" customWidth="1"/>
    <col min="1336" max="1336" width="11.125" style="60" customWidth="1"/>
    <col min="1337" max="1337" width="10.75" style="60" customWidth="1"/>
    <col min="1338" max="1338" width="9" style="60" customWidth="1"/>
    <col min="1339" max="1339" width="9.75" style="60" customWidth="1"/>
    <col min="1340" max="1340" width="7.5" style="60" customWidth="1"/>
    <col min="1341" max="1341" width="13.25" style="60" customWidth="1"/>
    <col min="1342" max="1342" width="11.75" style="60" customWidth="1"/>
    <col min="1343" max="1343" width="8.875" style="60" customWidth="1"/>
    <col min="1344" max="1344" width="9.625" style="60" customWidth="1"/>
    <col min="1345" max="1346" width="11.875" style="60" customWidth="1"/>
    <col min="1347" max="1347" width="11.5" style="60" customWidth="1"/>
    <col min="1348" max="1363" width="12.25" style="60" customWidth="1"/>
    <col min="1364" max="1364" width="13" style="60" customWidth="1"/>
    <col min="1365" max="1369" width="12.375" style="60" customWidth="1"/>
    <col min="1370" max="1370" width="13" style="60" customWidth="1"/>
    <col min="1371" max="1372" width="12.375" style="60" customWidth="1"/>
    <col min="1373" max="1373" width="13" style="60" customWidth="1"/>
    <col min="1374" max="1374" width="13.125" style="60" customWidth="1"/>
    <col min="1375" max="1375" width="13" style="60" customWidth="1"/>
    <col min="1376" max="1376" width="13.125" style="60" customWidth="1"/>
    <col min="1377" max="1378" width="12.375" style="60" customWidth="1"/>
    <col min="1379" max="1379" width="13" style="60" customWidth="1"/>
    <col min="1380" max="1380" width="12.375" style="60" customWidth="1"/>
    <col min="1381" max="1381" width="12.25" style="60" customWidth="1"/>
    <col min="1382" max="1382" width="12.125" style="60" customWidth="1"/>
    <col min="1383" max="1383" width="11.625" style="60" customWidth="1"/>
    <col min="1384" max="1384" width="12" style="60" customWidth="1"/>
    <col min="1385" max="1385" width="13" style="60" customWidth="1"/>
    <col min="1386" max="1386" width="11.625" style="60" customWidth="1"/>
    <col min="1387" max="1388" width="12" style="60" customWidth="1"/>
    <col min="1389" max="1391" width="11.625" style="60" customWidth="1"/>
    <col min="1392" max="1392" width="11.125" style="60" customWidth="1"/>
    <col min="1393" max="1393" width="12" style="60" customWidth="1"/>
    <col min="1394" max="1394" width="13" style="60" customWidth="1"/>
    <col min="1395" max="1395" width="13.625" style="60" customWidth="1"/>
    <col min="1396" max="1396" width="11.875" style="60" customWidth="1"/>
    <col min="1397" max="1398" width="11.625" style="60" customWidth="1"/>
    <col min="1399" max="1399" width="12" style="60" customWidth="1"/>
    <col min="1400" max="1400" width="12.75" style="60" customWidth="1"/>
    <col min="1401" max="1401" width="11.625" style="60" customWidth="1"/>
    <col min="1402" max="1402" width="12.125" style="60" customWidth="1"/>
    <col min="1403" max="1404" width="11.625" style="60" customWidth="1"/>
    <col min="1405" max="1405" width="12.5" style="60" customWidth="1"/>
    <col min="1406" max="1580" width="11.625" style="60" customWidth="1"/>
    <col min="1581" max="1581" width="17.75" style="60" customWidth="1"/>
    <col min="1582" max="1583" width="9" style="60" customWidth="1"/>
    <col min="1584" max="1584" width="16.25" style="60" customWidth="1"/>
    <col min="1585" max="1585" width="24" style="60" customWidth="1"/>
    <col min="1586" max="1586" width="9" style="60"/>
    <col min="1587" max="1587" width="11.75" style="60" customWidth="1"/>
    <col min="1588" max="1588" width="8.875" style="60" customWidth="1"/>
    <col min="1589" max="1589" width="17.375" style="60" customWidth="1"/>
    <col min="1590" max="1590" width="13.25" style="60" customWidth="1"/>
    <col min="1591" max="1591" width="25.75" style="60" customWidth="1"/>
    <col min="1592" max="1592" width="11.125" style="60" customWidth="1"/>
    <col min="1593" max="1593" width="10.75" style="60" customWidth="1"/>
    <col min="1594" max="1594" width="9" style="60" customWidth="1"/>
    <col min="1595" max="1595" width="9.75" style="60" customWidth="1"/>
    <col min="1596" max="1596" width="7.5" style="60" customWidth="1"/>
    <col min="1597" max="1597" width="13.25" style="60" customWidth="1"/>
    <col min="1598" max="1598" width="11.75" style="60" customWidth="1"/>
    <col min="1599" max="1599" width="8.875" style="60" customWidth="1"/>
    <col min="1600" max="1600" width="9.625" style="60" customWidth="1"/>
    <col min="1601" max="1602" width="11.875" style="60" customWidth="1"/>
    <col min="1603" max="1603" width="11.5" style="60" customWidth="1"/>
    <col min="1604" max="1619" width="12.25" style="60" customWidth="1"/>
    <col min="1620" max="1620" width="13" style="60" customWidth="1"/>
    <col min="1621" max="1625" width="12.375" style="60" customWidth="1"/>
    <col min="1626" max="1626" width="13" style="60" customWidth="1"/>
    <col min="1627" max="1628" width="12.375" style="60" customWidth="1"/>
    <col min="1629" max="1629" width="13" style="60" customWidth="1"/>
    <col min="1630" max="1630" width="13.125" style="60" customWidth="1"/>
    <col min="1631" max="1631" width="13" style="60" customWidth="1"/>
    <col min="1632" max="1632" width="13.125" style="60" customWidth="1"/>
    <col min="1633" max="1634" width="12.375" style="60" customWidth="1"/>
    <col min="1635" max="1635" width="13" style="60" customWidth="1"/>
    <col min="1636" max="1636" width="12.375" style="60" customWidth="1"/>
    <col min="1637" max="1637" width="12.25" style="60" customWidth="1"/>
    <col min="1638" max="1638" width="12.125" style="60" customWidth="1"/>
    <col min="1639" max="1639" width="11.625" style="60" customWidth="1"/>
    <col min="1640" max="1640" width="12" style="60" customWidth="1"/>
    <col min="1641" max="1641" width="13" style="60" customWidth="1"/>
    <col min="1642" max="1642" width="11.625" style="60" customWidth="1"/>
    <col min="1643" max="1644" width="12" style="60" customWidth="1"/>
    <col min="1645" max="1647" width="11.625" style="60" customWidth="1"/>
    <col min="1648" max="1648" width="11.125" style="60" customWidth="1"/>
    <col min="1649" max="1649" width="12" style="60" customWidth="1"/>
    <col min="1650" max="1650" width="13" style="60" customWidth="1"/>
    <col min="1651" max="1651" width="13.625" style="60" customWidth="1"/>
    <col min="1652" max="1652" width="11.875" style="60" customWidth="1"/>
    <col min="1653" max="1654" width="11.625" style="60" customWidth="1"/>
    <col min="1655" max="1655" width="12" style="60" customWidth="1"/>
    <col min="1656" max="1656" width="12.75" style="60" customWidth="1"/>
    <col min="1657" max="1657" width="11.625" style="60" customWidth="1"/>
    <col min="1658" max="1658" width="12.125" style="60" customWidth="1"/>
    <col min="1659" max="1660" width="11.625" style="60" customWidth="1"/>
    <col min="1661" max="1661" width="12.5" style="60" customWidth="1"/>
    <col min="1662" max="1836" width="11.625" style="60" customWidth="1"/>
    <col min="1837" max="1837" width="17.75" style="60" customWidth="1"/>
    <col min="1838" max="1839" width="9" style="60" customWidth="1"/>
    <col min="1840" max="1840" width="16.25" style="60" customWidth="1"/>
    <col min="1841" max="1841" width="24" style="60" customWidth="1"/>
    <col min="1842" max="1842" width="9" style="60"/>
    <col min="1843" max="1843" width="11.75" style="60" customWidth="1"/>
    <col min="1844" max="1844" width="8.875" style="60" customWidth="1"/>
    <col min="1845" max="1845" width="17.375" style="60" customWidth="1"/>
    <col min="1846" max="1846" width="13.25" style="60" customWidth="1"/>
    <col min="1847" max="1847" width="25.75" style="60" customWidth="1"/>
    <col min="1848" max="1848" width="11.125" style="60" customWidth="1"/>
    <col min="1849" max="1849" width="10.75" style="60" customWidth="1"/>
    <col min="1850" max="1850" width="9" style="60" customWidth="1"/>
    <col min="1851" max="1851" width="9.75" style="60" customWidth="1"/>
    <col min="1852" max="1852" width="7.5" style="60" customWidth="1"/>
    <col min="1853" max="1853" width="13.25" style="60" customWidth="1"/>
    <col min="1854" max="1854" width="11.75" style="60" customWidth="1"/>
    <col min="1855" max="1855" width="8.875" style="60" customWidth="1"/>
    <col min="1856" max="1856" width="9.625" style="60" customWidth="1"/>
    <col min="1857" max="1858" width="11.875" style="60" customWidth="1"/>
    <col min="1859" max="1859" width="11.5" style="60" customWidth="1"/>
    <col min="1860" max="1875" width="12.25" style="60" customWidth="1"/>
    <col min="1876" max="1876" width="13" style="60" customWidth="1"/>
    <col min="1877" max="1881" width="12.375" style="60" customWidth="1"/>
    <col min="1882" max="1882" width="13" style="60" customWidth="1"/>
    <col min="1883" max="1884" width="12.375" style="60" customWidth="1"/>
    <col min="1885" max="1885" width="13" style="60" customWidth="1"/>
    <col min="1886" max="1886" width="13.125" style="60" customWidth="1"/>
    <col min="1887" max="1887" width="13" style="60" customWidth="1"/>
    <col min="1888" max="1888" width="13.125" style="60" customWidth="1"/>
    <col min="1889" max="1890" width="12.375" style="60" customWidth="1"/>
    <col min="1891" max="1891" width="13" style="60" customWidth="1"/>
    <col min="1892" max="1892" width="12.375" style="60" customWidth="1"/>
    <col min="1893" max="1893" width="12.25" style="60" customWidth="1"/>
    <col min="1894" max="1894" width="12.125" style="60" customWidth="1"/>
    <col min="1895" max="1895" width="11.625" style="60" customWidth="1"/>
    <col min="1896" max="1896" width="12" style="60" customWidth="1"/>
    <col min="1897" max="1897" width="13" style="60" customWidth="1"/>
    <col min="1898" max="1898" width="11.625" style="60" customWidth="1"/>
    <col min="1899" max="1900" width="12" style="60" customWidth="1"/>
    <col min="1901" max="1903" width="11.625" style="60" customWidth="1"/>
    <col min="1904" max="1904" width="11.125" style="60" customWidth="1"/>
    <col min="1905" max="1905" width="12" style="60" customWidth="1"/>
    <col min="1906" max="1906" width="13" style="60" customWidth="1"/>
    <col min="1907" max="1907" width="13.625" style="60" customWidth="1"/>
    <col min="1908" max="1908" width="11.875" style="60" customWidth="1"/>
    <col min="1909" max="1910" width="11.625" style="60" customWidth="1"/>
    <col min="1911" max="1911" width="12" style="60" customWidth="1"/>
    <col min="1912" max="1912" width="12.75" style="60" customWidth="1"/>
    <col min="1913" max="1913" width="11.625" style="60" customWidth="1"/>
    <col min="1914" max="1914" width="12.125" style="60" customWidth="1"/>
    <col min="1915" max="1916" width="11.625" style="60" customWidth="1"/>
    <col min="1917" max="1917" width="12.5" style="60" customWidth="1"/>
    <col min="1918" max="2092" width="11.625" style="60" customWidth="1"/>
    <col min="2093" max="2093" width="17.75" style="60" customWidth="1"/>
    <col min="2094" max="2095" width="9" style="60" customWidth="1"/>
    <col min="2096" max="2096" width="16.25" style="60" customWidth="1"/>
    <col min="2097" max="2097" width="24" style="60" customWidth="1"/>
    <col min="2098" max="2098" width="9" style="60"/>
    <col min="2099" max="2099" width="11.75" style="60" customWidth="1"/>
    <col min="2100" max="2100" width="8.875" style="60" customWidth="1"/>
    <col min="2101" max="2101" width="17.375" style="60" customWidth="1"/>
    <col min="2102" max="2102" width="13.25" style="60" customWidth="1"/>
    <col min="2103" max="2103" width="25.75" style="60" customWidth="1"/>
    <col min="2104" max="2104" width="11.125" style="60" customWidth="1"/>
    <col min="2105" max="2105" width="10.75" style="60" customWidth="1"/>
    <col min="2106" max="2106" width="9" style="60" customWidth="1"/>
    <col min="2107" max="2107" width="9.75" style="60" customWidth="1"/>
    <col min="2108" max="2108" width="7.5" style="60" customWidth="1"/>
    <col min="2109" max="2109" width="13.25" style="60" customWidth="1"/>
    <col min="2110" max="2110" width="11.75" style="60" customWidth="1"/>
    <col min="2111" max="2111" width="8.875" style="60" customWidth="1"/>
    <col min="2112" max="2112" width="9.625" style="60" customWidth="1"/>
    <col min="2113" max="2114" width="11.875" style="60" customWidth="1"/>
    <col min="2115" max="2115" width="11.5" style="60" customWidth="1"/>
    <col min="2116" max="2131" width="12.25" style="60" customWidth="1"/>
    <col min="2132" max="2132" width="13" style="60" customWidth="1"/>
    <col min="2133" max="2137" width="12.375" style="60" customWidth="1"/>
    <col min="2138" max="2138" width="13" style="60" customWidth="1"/>
    <col min="2139" max="2140" width="12.375" style="60" customWidth="1"/>
    <col min="2141" max="2141" width="13" style="60" customWidth="1"/>
    <col min="2142" max="2142" width="13.125" style="60" customWidth="1"/>
    <col min="2143" max="2143" width="13" style="60" customWidth="1"/>
    <col min="2144" max="2144" width="13.125" style="60" customWidth="1"/>
    <col min="2145" max="2146" width="12.375" style="60" customWidth="1"/>
    <col min="2147" max="2147" width="13" style="60" customWidth="1"/>
    <col min="2148" max="2148" width="12.375" style="60" customWidth="1"/>
    <col min="2149" max="2149" width="12.25" style="60" customWidth="1"/>
    <col min="2150" max="2150" width="12.125" style="60" customWidth="1"/>
    <col min="2151" max="2151" width="11.625" style="60" customWidth="1"/>
    <col min="2152" max="2152" width="12" style="60" customWidth="1"/>
    <col min="2153" max="2153" width="13" style="60" customWidth="1"/>
    <col min="2154" max="2154" width="11.625" style="60" customWidth="1"/>
    <col min="2155" max="2156" width="12" style="60" customWidth="1"/>
    <col min="2157" max="2159" width="11.625" style="60" customWidth="1"/>
    <col min="2160" max="2160" width="11.125" style="60" customWidth="1"/>
    <col min="2161" max="2161" width="12" style="60" customWidth="1"/>
    <col min="2162" max="2162" width="13" style="60" customWidth="1"/>
    <col min="2163" max="2163" width="13.625" style="60" customWidth="1"/>
    <col min="2164" max="2164" width="11.875" style="60" customWidth="1"/>
    <col min="2165" max="2166" width="11.625" style="60" customWidth="1"/>
    <col min="2167" max="2167" width="12" style="60" customWidth="1"/>
    <col min="2168" max="2168" width="12.75" style="60" customWidth="1"/>
    <col min="2169" max="2169" width="11.625" style="60" customWidth="1"/>
    <col min="2170" max="2170" width="12.125" style="60" customWidth="1"/>
    <col min="2171" max="2172" width="11.625" style="60" customWidth="1"/>
    <col min="2173" max="2173" width="12.5" style="60" customWidth="1"/>
    <col min="2174" max="2348" width="11.625" style="60" customWidth="1"/>
    <col min="2349" max="2349" width="17.75" style="60" customWidth="1"/>
    <col min="2350" max="2351" width="9" style="60" customWidth="1"/>
    <col min="2352" max="2352" width="16.25" style="60" customWidth="1"/>
    <col min="2353" max="2353" width="24" style="60" customWidth="1"/>
    <col min="2354" max="2354" width="9" style="60"/>
    <col min="2355" max="2355" width="11.75" style="60" customWidth="1"/>
    <col min="2356" max="2356" width="8.875" style="60" customWidth="1"/>
    <col min="2357" max="2357" width="17.375" style="60" customWidth="1"/>
    <col min="2358" max="2358" width="13.25" style="60" customWidth="1"/>
    <col min="2359" max="2359" width="25.75" style="60" customWidth="1"/>
    <col min="2360" max="2360" width="11.125" style="60" customWidth="1"/>
    <col min="2361" max="2361" width="10.75" style="60" customWidth="1"/>
    <col min="2362" max="2362" width="9" style="60" customWidth="1"/>
    <col min="2363" max="2363" width="9.75" style="60" customWidth="1"/>
    <col min="2364" max="2364" width="7.5" style="60" customWidth="1"/>
    <col min="2365" max="2365" width="13.25" style="60" customWidth="1"/>
    <col min="2366" max="2366" width="11.75" style="60" customWidth="1"/>
    <col min="2367" max="2367" width="8.875" style="60" customWidth="1"/>
    <col min="2368" max="2368" width="9.625" style="60" customWidth="1"/>
    <col min="2369" max="2370" width="11.875" style="60" customWidth="1"/>
    <col min="2371" max="2371" width="11.5" style="60" customWidth="1"/>
    <col min="2372" max="2387" width="12.25" style="60" customWidth="1"/>
    <col min="2388" max="2388" width="13" style="60" customWidth="1"/>
    <col min="2389" max="2393" width="12.375" style="60" customWidth="1"/>
    <col min="2394" max="2394" width="13" style="60" customWidth="1"/>
    <col min="2395" max="2396" width="12.375" style="60" customWidth="1"/>
    <col min="2397" max="2397" width="13" style="60" customWidth="1"/>
    <col min="2398" max="2398" width="13.125" style="60" customWidth="1"/>
    <col min="2399" max="2399" width="13" style="60" customWidth="1"/>
    <col min="2400" max="2400" width="13.125" style="60" customWidth="1"/>
    <col min="2401" max="2402" width="12.375" style="60" customWidth="1"/>
    <col min="2403" max="2403" width="13" style="60" customWidth="1"/>
    <col min="2404" max="2404" width="12.375" style="60" customWidth="1"/>
    <col min="2405" max="2405" width="12.25" style="60" customWidth="1"/>
    <col min="2406" max="2406" width="12.125" style="60" customWidth="1"/>
    <col min="2407" max="2407" width="11.625" style="60" customWidth="1"/>
    <col min="2408" max="2408" width="12" style="60" customWidth="1"/>
    <col min="2409" max="2409" width="13" style="60" customWidth="1"/>
    <col min="2410" max="2410" width="11.625" style="60" customWidth="1"/>
    <col min="2411" max="2412" width="12" style="60" customWidth="1"/>
    <col min="2413" max="2415" width="11.625" style="60" customWidth="1"/>
    <col min="2416" max="2416" width="11.125" style="60" customWidth="1"/>
    <col min="2417" max="2417" width="12" style="60" customWidth="1"/>
    <col min="2418" max="2418" width="13" style="60" customWidth="1"/>
    <col min="2419" max="2419" width="13.625" style="60" customWidth="1"/>
    <col min="2420" max="2420" width="11.875" style="60" customWidth="1"/>
    <col min="2421" max="2422" width="11.625" style="60" customWidth="1"/>
    <col min="2423" max="2423" width="12" style="60" customWidth="1"/>
    <col min="2424" max="2424" width="12.75" style="60" customWidth="1"/>
    <col min="2425" max="2425" width="11.625" style="60" customWidth="1"/>
    <col min="2426" max="2426" width="12.125" style="60" customWidth="1"/>
    <col min="2427" max="2428" width="11.625" style="60" customWidth="1"/>
    <col min="2429" max="2429" width="12.5" style="60" customWidth="1"/>
    <col min="2430" max="2604" width="11.625" style="60" customWidth="1"/>
    <col min="2605" max="2605" width="17.75" style="60" customWidth="1"/>
    <col min="2606" max="2607" width="9" style="60" customWidth="1"/>
    <col min="2608" max="2608" width="16.25" style="60" customWidth="1"/>
    <col min="2609" max="2609" width="24" style="60" customWidth="1"/>
    <col min="2610" max="2610" width="9" style="60"/>
    <col min="2611" max="2611" width="11.75" style="60" customWidth="1"/>
    <col min="2612" max="2612" width="8.875" style="60" customWidth="1"/>
    <col min="2613" max="2613" width="17.375" style="60" customWidth="1"/>
    <col min="2614" max="2614" width="13.25" style="60" customWidth="1"/>
    <col min="2615" max="2615" width="25.75" style="60" customWidth="1"/>
    <col min="2616" max="2616" width="11.125" style="60" customWidth="1"/>
    <col min="2617" max="2617" width="10.75" style="60" customWidth="1"/>
    <col min="2618" max="2618" width="9" style="60" customWidth="1"/>
    <col min="2619" max="2619" width="9.75" style="60" customWidth="1"/>
    <col min="2620" max="2620" width="7.5" style="60" customWidth="1"/>
    <col min="2621" max="2621" width="13.25" style="60" customWidth="1"/>
    <col min="2622" max="2622" width="11.75" style="60" customWidth="1"/>
    <col min="2623" max="2623" width="8.875" style="60" customWidth="1"/>
    <col min="2624" max="2624" width="9.625" style="60" customWidth="1"/>
    <col min="2625" max="2626" width="11.875" style="60" customWidth="1"/>
    <col min="2627" max="2627" width="11.5" style="60" customWidth="1"/>
    <col min="2628" max="2643" width="12.25" style="60" customWidth="1"/>
    <col min="2644" max="2644" width="13" style="60" customWidth="1"/>
    <col min="2645" max="2649" width="12.375" style="60" customWidth="1"/>
    <col min="2650" max="2650" width="13" style="60" customWidth="1"/>
    <col min="2651" max="2652" width="12.375" style="60" customWidth="1"/>
    <col min="2653" max="2653" width="13" style="60" customWidth="1"/>
    <col min="2654" max="2654" width="13.125" style="60" customWidth="1"/>
    <col min="2655" max="2655" width="13" style="60" customWidth="1"/>
    <col min="2656" max="2656" width="13.125" style="60" customWidth="1"/>
    <col min="2657" max="2658" width="12.375" style="60" customWidth="1"/>
    <col min="2659" max="2659" width="13" style="60" customWidth="1"/>
    <col min="2660" max="2660" width="12.375" style="60" customWidth="1"/>
    <col min="2661" max="2661" width="12.25" style="60" customWidth="1"/>
    <col min="2662" max="2662" width="12.125" style="60" customWidth="1"/>
    <col min="2663" max="2663" width="11.625" style="60" customWidth="1"/>
    <col min="2664" max="2664" width="12" style="60" customWidth="1"/>
    <col min="2665" max="2665" width="13" style="60" customWidth="1"/>
    <col min="2666" max="2666" width="11.625" style="60" customWidth="1"/>
    <col min="2667" max="2668" width="12" style="60" customWidth="1"/>
    <col min="2669" max="2671" width="11.625" style="60" customWidth="1"/>
    <col min="2672" max="2672" width="11.125" style="60" customWidth="1"/>
    <col min="2673" max="2673" width="12" style="60" customWidth="1"/>
    <col min="2674" max="2674" width="13" style="60" customWidth="1"/>
    <col min="2675" max="2675" width="13.625" style="60" customWidth="1"/>
    <col min="2676" max="2676" width="11.875" style="60" customWidth="1"/>
    <col min="2677" max="2678" width="11.625" style="60" customWidth="1"/>
    <col min="2679" max="2679" width="12" style="60" customWidth="1"/>
    <col min="2680" max="2680" width="12.75" style="60" customWidth="1"/>
    <col min="2681" max="2681" width="11.625" style="60" customWidth="1"/>
    <col min="2682" max="2682" width="12.125" style="60" customWidth="1"/>
    <col min="2683" max="2684" width="11.625" style="60" customWidth="1"/>
    <col min="2685" max="2685" width="12.5" style="60" customWidth="1"/>
    <col min="2686" max="2860" width="11.625" style="60" customWidth="1"/>
    <col min="2861" max="2861" width="17.75" style="60" customWidth="1"/>
    <col min="2862" max="2863" width="9" style="60" customWidth="1"/>
    <col min="2864" max="2864" width="16.25" style="60" customWidth="1"/>
    <col min="2865" max="2865" width="24" style="60" customWidth="1"/>
    <col min="2866" max="2866" width="9" style="60"/>
    <col min="2867" max="2867" width="11.75" style="60" customWidth="1"/>
    <col min="2868" max="2868" width="8.875" style="60" customWidth="1"/>
    <col min="2869" max="2869" width="17.375" style="60" customWidth="1"/>
    <col min="2870" max="2870" width="13.25" style="60" customWidth="1"/>
    <col min="2871" max="2871" width="25.75" style="60" customWidth="1"/>
    <col min="2872" max="2872" width="11.125" style="60" customWidth="1"/>
    <col min="2873" max="2873" width="10.75" style="60" customWidth="1"/>
    <col min="2874" max="2874" width="9" style="60" customWidth="1"/>
    <col min="2875" max="2875" width="9.75" style="60" customWidth="1"/>
    <col min="2876" max="2876" width="7.5" style="60" customWidth="1"/>
    <col min="2877" max="2877" width="13.25" style="60" customWidth="1"/>
    <col min="2878" max="2878" width="11.75" style="60" customWidth="1"/>
    <col min="2879" max="2879" width="8.875" style="60" customWidth="1"/>
    <col min="2880" max="2880" width="9.625" style="60" customWidth="1"/>
    <col min="2881" max="2882" width="11.875" style="60" customWidth="1"/>
    <col min="2883" max="2883" width="11.5" style="60" customWidth="1"/>
    <col min="2884" max="2899" width="12.25" style="60" customWidth="1"/>
    <col min="2900" max="2900" width="13" style="60" customWidth="1"/>
    <col min="2901" max="2905" width="12.375" style="60" customWidth="1"/>
    <col min="2906" max="2906" width="13" style="60" customWidth="1"/>
    <col min="2907" max="2908" width="12.375" style="60" customWidth="1"/>
    <col min="2909" max="2909" width="13" style="60" customWidth="1"/>
    <col min="2910" max="2910" width="13.125" style="60" customWidth="1"/>
    <col min="2911" max="2911" width="13" style="60" customWidth="1"/>
    <col min="2912" max="2912" width="13.125" style="60" customWidth="1"/>
    <col min="2913" max="2914" width="12.375" style="60" customWidth="1"/>
    <col min="2915" max="2915" width="13" style="60" customWidth="1"/>
    <col min="2916" max="2916" width="12.375" style="60" customWidth="1"/>
    <col min="2917" max="2917" width="12.25" style="60" customWidth="1"/>
    <col min="2918" max="2918" width="12.125" style="60" customWidth="1"/>
    <col min="2919" max="2919" width="11.625" style="60" customWidth="1"/>
    <col min="2920" max="2920" width="12" style="60" customWidth="1"/>
    <col min="2921" max="2921" width="13" style="60" customWidth="1"/>
    <col min="2922" max="2922" width="11.625" style="60" customWidth="1"/>
    <col min="2923" max="2924" width="12" style="60" customWidth="1"/>
    <col min="2925" max="2927" width="11.625" style="60" customWidth="1"/>
    <col min="2928" max="2928" width="11.125" style="60" customWidth="1"/>
    <col min="2929" max="2929" width="12" style="60" customWidth="1"/>
    <col min="2930" max="2930" width="13" style="60" customWidth="1"/>
    <col min="2931" max="2931" width="13.625" style="60" customWidth="1"/>
    <col min="2932" max="2932" width="11.875" style="60" customWidth="1"/>
    <col min="2933" max="2934" width="11.625" style="60" customWidth="1"/>
    <col min="2935" max="2935" width="12" style="60" customWidth="1"/>
    <col min="2936" max="2936" width="12.75" style="60" customWidth="1"/>
    <col min="2937" max="2937" width="11.625" style="60" customWidth="1"/>
    <col min="2938" max="2938" width="12.125" style="60" customWidth="1"/>
    <col min="2939" max="2940" width="11.625" style="60" customWidth="1"/>
    <col min="2941" max="2941" width="12.5" style="60" customWidth="1"/>
    <col min="2942" max="3116" width="11.625" style="60" customWidth="1"/>
    <col min="3117" max="3117" width="17.75" style="60" customWidth="1"/>
    <col min="3118" max="3119" width="9" style="60" customWidth="1"/>
    <col min="3120" max="3120" width="16.25" style="60" customWidth="1"/>
    <col min="3121" max="3121" width="24" style="60" customWidth="1"/>
    <col min="3122" max="3122" width="9" style="60"/>
    <col min="3123" max="3123" width="11.75" style="60" customWidth="1"/>
    <col min="3124" max="3124" width="8.875" style="60" customWidth="1"/>
    <col min="3125" max="3125" width="17.375" style="60" customWidth="1"/>
    <col min="3126" max="3126" width="13.25" style="60" customWidth="1"/>
    <col min="3127" max="3127" width="25.75" style="60" customWidth="1"/>
    <col min="3128" max="3128" width="11.125" style="60" customWidth="1"/>
    <col min="3129" max="3129" width="10.75" style="60" customWidth="1"/>
    <col min="3130" max="3130" width="9" style="60" customWidth="1"/>
    <col min="3131" max="3131" width="9.75" style="60" customWidth="1"/>
    <col min="3132" max="3132" width="7.5" style="60" customWidth="1"/>
    <col min="3133" max="3133" width="13.25" style="60" customWidth="1"/>
    <col min="3134" max="3134" width="11.75" style="60" customWidth="1"/>
    <col min="3135" max="3135" width="8.875" style="60" customWidth="1"/>
    <col min="3136" max="3136" width="9.625" style="60" customWidth="1"/>
    <col min="3137" max="3138" width="11.875" style="60" customWidth="1"/>
    <col min="3139" max="3139" width="11.5" style="60" customWidth="1"/>
    <col min="3140" max="3155" width="12.25" style="60" customWidth="1"/>
    <col min="3156" max="3156" width="13" style="60" customWidth="1"/>
    <col min="3157" max="3161" width="12.375" style="60" customWidth="1"/>
    <col min="3162" max="3162" width="13" style="60" customWidth="1"/>
    <col min="3163" max="3164" width="12.375" style="60" customWidth="1"/>
    <col min="3165" max="3165" width="13" style="60" customWidth="1"/>
    <col min="3166" max="3166" width="13.125" style="60" customWidth="1"/>
    <col min="3167" max="3167" width="13" style="60" customWidth="1"/>
    <col min="3168" max="3168" width="13.125" style="60" customWidth="1"/>
    <col min="3169" max="3170" width="12.375" style="60" customWidth="1"/>
    <col min="3171" max="3171" width="13" style="60" customWidth="1"/>
    <col min="3172" max="3172" width="12.375" style="60" customWidth="1"/>
    <col min="3173" max="3173" width="12.25" style="60" customWidth="1"/>
    <col min="3174" max="3174" width="12.125" style="60" customWidth="1"/>
    <col min="3175" max="3175" width="11.625" style="60" customWidth="1"/>
    <col min="3176" max="3176" width="12" style="60" customWidth="1"/>
    <col min="3177" max="3177" width="13" style="60" customWidth="1"/>
    <col min="3178" max="3178" width="11.625" style="60" customWidth="1"/>
    <col min="3179" max="3180" width="12" style="60" customWidth="1"/>
    <col min="3181" max="3183" width="11.625" style="60" customWidth="1"/>
    <col min="3184" max="3184" width="11.125" style="60" customWidth="1"/>
    <col min="3185" max="3185" width="12" style="60" customWidth="1"/>
    <col min="3186" max="3186" width="13" style="60" customWidth="1"/>
    <col min="3187" max="3187" width="13.625" style="60" customWidth="1"/>
    <col min="3188" max="3188" width="11.875" style="60" customWidth="1"/>
    <col min="3189" max="3190" width="11.625" style="60" customWidth="1"/>
    <col min="3191" max="3191" width="12" style="60" customWidth="1"/>
    <col min="3192" max="3192" width="12.75" style="60" customWidth="1"/>
    <col min="3193" max="3193" width="11.625" style="60" customWidth="1"/>
    <col min="3194" max="3194" width="12.125" style="60" customWidth="1"/>
    <col min="3195" max="3196" width="11.625" style="60" customWidth="1"/>
    <col min="3197" max="3197" width="12.5" style="60" customWidth="1"/>
    <col min="3198" max="3372" width="11.625" style="60" customWidth="1"/>
    <col min="3373" max="3373" width="17.75" style="60" customWidth="1"/>
    <col min="3374" max="3375" width="9" style="60" customWidth="1"/>
    <col min="3376" max="3376" width="16.25" style="60" customWidth="1"/>
    <col min="3377" max="3377" width="24" style="60" customWidth="1"/>
    <col min="3378" max="3378" width="9" style="60"/>
    <col min="3379" max="3379" width="11.75" style="60" customWidth="1"/>
    <col min="3380" max="3380" width="8.875" style="60" customWidth="1"/>
    <col min="3381" max="3381" width="17.375" style="60" customWidth="1"/>
    <col min="3382" max="3382" width="13.25" style="60" customWidth="1"/>
    <col min="3383" max="3383" width="25.75" style="60" customWidth="1"/>
    <col min="3384" max="3384" width="11.125" style="60" customWidth="1"/>
    <col min="3385" max="3385" width="10.75" style="60" customWidth="1"/>
    <col min="3386" max="3386" width="9" style="60" customWidth="1"/>
    <col min="3387" max="3387" width="9.75" style="60" customWidth="1"/>
    <col min="3388" max="3388" width="7.5" style="60" customWidth="1"/>
    <col min="3389" max="3389" width="13.25" style="60" customWidth="1"/>
    <col min="3390" max="3390" width="11.75" style="60" customWidth="1"/>
    <col min="3391" max="3391" width="8.875" style="60" customWidth="1"/>
    <col min="3392" max="3392" width="9.625" style="60" customWidth="1"/>
    <col min="3393" max="3394" width="11.875" style="60" customWidth="1"/>
    <col min="3395" max="3395" width="11.5" style="60" customWidth="1"/>
    <col min="3396" max="3411" width="12.25" style="60" customWidth="1"/>
    <col min="3412" max="3412" width="13" style="60" customWidth="1"/>
    <col min="3413" max="3417" width="12.375" style="60" customWidth="1"/>
    <col min="3418" max="3418" width="13" style="60" customWidth="1"/>
    <col min="3419" max="3420" width="12.375" style="60" customWidth="1"/>
    <col min="3421" max="3421" width="13" style="60" customWidth="1"/>
    <col min="3422" max="3422" width="13.125" style="60" customWidth="1"/>
    <col min="3423" max="3423" width="13" style="60" customWidth="1"/>
    <col min="3424" max="3424" width="13.125" style="60" customWidth="1"/>
    <col min="3425" max="3426" width="12.375" style="60" customWidth="1"/>
    <col min="3427" max="3427" width="13" style="60" customWidth="1"/>
    <col min="3428" max="3428" width="12.375" style="60" customWidth="1"/>
    <col min="3429" max="3429" width="12.25" style="60" customWidth="1"/>
    <col min="3430" max="3430" width="12.125" style="60" customWidth="1"/>
    <col min="3431" max="3431" width="11.625" style="60" customWidth="1"/>
    <col min="3432" max="3432" width="12" style="60" customWidth="1"/>
    <col min="3433" max="3433" width="13" style="60" customWidth="1"/>
    <col min="3434" max="3434" width="11.625" style="60" customWidth="1"/>
    <col min="3435" max="3436" width="12" style="60" customWidth="1"/>
    <col min="3437" max="3439" width="11.625" style="60" customWidth="1"/>
    <col min="3440" max="3440" width="11.125" style="60" customWidth="1"/>
    <col min="3441" max="3441" width="12" style="60" customWidth="1"/>
    <col min="3442" max="3442" width="13" style="60" customWidth="1"/>
    <col min="3443" max="3443" width="13.625" style="60" customWidth="1"/>
    <col min="3444" max="3444" width="11.875" style="60" customWidth="1"/>
    <col min="3445" max="3446" width="11.625" style="60" customWidth="1"/>
    <col min="3447" max="3447" width="12" style="60" customWidth="1"/>
    <col min="3448" max="3448" width="12.75" style="60" customWidth="1"/>
    <col min="3449" max="3449" width="11.625" style="60" customWidth="1"/>
    <col min="3450" max="3450" width="12.125" style="60" customWidth="1"/>
    <col min="3451" max="3452" width="11.625" style="60" customWidth="1"/>
    <col min="3453" max="3453" width="12.5" style="60" customWidth="1"/>
    <col min="3454" max="3628" width="11.625" style="60" customWidth="1"/>
    <col min="3629" max="3629" width="17.75" style="60" customWidth="1"/>
    <col min="3630" max="3631" width="9" style="60" customWidth="1"/>
    <col min="3632" max="3632" width="16.25" style="60" customWidth="1"/>
    <col min="3633" max="3633" width="24" style="60" customWidth="1"/>
    <col min="3634" max="3634" width="9" style="60"/>
    <col min="3635" max="3635" width="11.75" style="60" customWidth="1"/>
    <col min="3636" max="3636" width="8.875" style="60" customWidth="1"/>
    <col min="3637" max="3637" width="17.375" style="60" customWidth="1"/>
    <col min="3638" max="3638" width="13.25" style="60" customWidth="1"/>
    <col min="3639" max="3639" width="25.75" style="60" customWidth="1"/>
    <col min="3640" max="3640" width="11.125" style="60" customWidth="1"/>
    <col min="3641" max="3641" width="10.75" style="60" customWidth="1"/>
    <col min="3642" max="3642" width="9" style="60" customWidth="1"/>
    <col min="3643" max="3643" width="9.75" style="60" customWidth="1"/>
    <col min="3644" max="3644" width="7.5" style="60" customWidth="1"/>
    <col min="3645" max="3645" width="13.25" style="60" customWidth="1"/>
    <col min="3646" max="3646" width="11.75" style="60" customWidth="1"/>
    <col min="3647" max="3647" width="8.875" style="60" customWidth="1"/>
    <col min="3648" max="3648" width="9.625" style="60" customWidth="1"/>
    <col min="3649" max="3650" width="11.875" style="60" customWidth="1"/>
    <col min="3651" max="3651" width="11.5" style="60" customWidth="1"/>
    <col min="3652" max="3667" width="12.25" style="60" customWidth="1"/>
    <col min="3668" max="3668" width="13" style="60" customWidth="1"/>
    <col min="3669" max="3673" width="12.375" style="60" customWidth="1"/>
    <col min="3674" max="3674" width="13" style="60" customWidth="1"/>
    <col min="3675" max="3676" width="12.375" style="60" customWidth="1"/>
    <col min="3677" max="3677" width="13" style="60" customWidth="1"/>
    <col min="3678" max="3678" width="13.125" style="60" customWidth="1"/>
    <col min="3679" max="3679" width="13" style="60" customWidth="1"/>
    <col min="3680" max="3680" width="13.125" style="60" customWidth="1"/>
    <col min="3681" max="3682" width="12.375" style="60" customWidth="1"/>
    <col min="3683" max="3683" width="13" style="60" customWidth="1"/>
    <col min="3684" max="3684" width="12.375" style="60" customWidth="1"/>
    <col min="3685" max="3685" width="12.25" style="60" customWidth="1"/>
    <col min="3686" max="3686" width="12.125" style="60" customWidth="1"/>
    <col min="3687" max="3687" width="11.625" style="60" customWidth="1"/>
    <col min="3688" max="3688" width="12" style="60" customWidth="1"/>
    <col min="3689" max="3689" width="13" style="60" customWidth="1"/>
    <col min="3690" max="3690" width="11.625" style="60" customWidth="1"/>
    <col min="3691" max="3692" width="12" style="60" customWidth="1"/>
    <col min="3693" max="3695" width="11.625" style="60" customWidth="1"/>
    <col min="3696" max="3696" width="11.125" style="60" customWidth="1"/>
    <col min="3697" max="3697" width="12" style="60" customWidth="1"/>
    <col min="3698" max="3698" width="13" style="60" customWidth="1"/>
    <col min="3699" max="3699" width="13.625" style="60" customWidth="1"/>
    <col min="3700" max="3700" width="11.875" style="60" customWidth="1"/>
    <col min="3701" max="3702" width="11.625" style="60" customWidth="1"/>
    <col min="3703" max="3703" width="12" style="60" customWidth="1"/>
    <col min="3704" max="3704" width="12.75" style="60" customWidth="1"/>
    <col min="3705" max="3705" width="11.625" style="60" customWidth="1"/>
    <col min="3706" max="3706" width="12.125" style="60" customWidth="1"/>
    <col min="3707" max="3708" width="11.625" style="60" customWidth="1"/>
    <col min="3709" max="3709" width="12.5" style="60" customWidth="1"/>
    <col min="3710" max="3884" width="11.625" style="60" customWidth="1"/>
    <col min="3885" max="3885" width="17.75" style="60" customWidth="1"/>
    <col min="3886" max="3887" width="9" style="60" customWidth="1"/>
    <col min="3888" max="3888" width="16.25" style="60" customWidth="1"/>
    <col min="3889" max="3889" width="24" style="60" customWidth="1"/>
    <col min="3890" max="3890" width="9" style="60"/>
    <col min="3891" max="3891" width="11.75" style="60" customWidth="1"/>
    <col min="3892" max="3892" width="8.875" style="60" customWidth="1"/>
    <col min="3893" max="3893" width="17.375" style="60" customWidth="1"/>
    <col min="3894" max="3894" width="13.25" style="60" customWidth="1"/>
    <col min="3895" max="3895" width="25.75" style="60" customWidth="1"/>
    <col min="3896" max="3896" width="11.125" style="60" customWidth="1"/>
    <col min="3897" max="3897" width="10.75" style="60" customWidth="1"/>
    <col min="3898" max="3898" width="9" style="60" customWidth="1"/>
    <col min="3899" max="3899" width="9.75" style="60" customWidth="1"/>
    <col min="3900" max="3900" width="7.5" style="60" customWidth="1"/>
    <col min="3901" max="3901" width="13.25" style="60" customWidth="1"/>
    <col min="3902" max="3902" width="11.75" style="60" customWidth="1"/>
    <col min="3903" max="3903" width="8.875" style="60" customWidth="1"/>
    <col min="3904" max="3904" width="9.625" style="60" customWidth="1"/>
    <col min="3905" max="3906" width="11.875" style="60" customWidth="1"/>
    <col min="3907" max="3907" width="11.5" style="60" customWidth="1"/>
    <col min="3908" max="3923" width="12.25" style="60" customWidth="1"/>
    <col min="3924" max="3924" width="13" style="60" customWidth="1"/>
    <col min="3925" max="3929" width="12.375" style="60" customWidth="1"/>
    <col min="3930" max="3930" width="13" style="60" customWidth="1"/>
    <col min="3931" max="3932" width="12.375" style="60" customWidth="1"/>
    <col min="3933" max="3933" width="13" style="60" customWidth="1"/>
    <col min="3934" max="3934" width="13.125" style="60" customWidth="1"/>
    <col min="3935" max="3935" width="13" style="60" customWidth="1"/>
    <col min="3936" max="3936" width="13.125" style="60" customWidth="1"/>
    <col min="3937" max="3938" width="12.375" style="60" customWidth="1"/>
    <col min="3939" max="3939" width="13" style="60" customWidth="1"/>
    <col min="3940" max="3940" width="12.375" style="60" customWidth="1"/>
    <col min="3941" max="3941" width="12.25" style="60" customWidth="1"/>
    <col min="3942" max="3942" width="12.125" style="60" customWidth="1"/>
    <col min="3943" max="3943" width="11.625" style="60" customWidth="1"/>
    <col min="3944" max="3944" width="12" style="60" customWidth="1"/>
    <col min="3945" max="3945" width="13" style="60" customWidth="1"/>
    <col min="3946" max="3946" width="11.625" style="60" customWidth="1"/>
    <col min="3947" max="3948" width="12" style="60" customWidth="1"/>
    <col min="3949" max="3951" width="11.625" style="60" customWidth="1"/>
    <col min="3952" max="3952" width="11.125" style="60" customWidth="1"/>
    <col min="3953" max="3953" width="12" style="60" customWidth="1"/>
    <col min="3954" max="3954" width="13" style="60" customWidth="1"/>
    <col min="3955" max="3955" width="13.625" style="60" customWidth="1"/>
    <col min="3956" max="3956" width="11.875" style="60" customWidth="1"/>
    <col min="3957" max="3958" width="11.625" style="60" customWidth="1"/>
    <col min="3959" max="3959" width="12" style="60" customWidth="1"/>
    <col min="3960" max="3960" width="12.75" style="60" customWidth="1"/>
    <col min="3961" max="3961" width="11.625" style="60" customWidth="1"/>
    <col min="3962" max="3962" width="12.125" style="60" customWidth="1"/>
    <col min="3963" max="3964" width="11.625" style="60" customWidth="1"/>
    <col min="3965" max="3965" width="12.5" style="60" customWidth="1"/>
    <col min="3966" max="4140" width="11.625" style="60" customWidth="1"/>
    <col min="4141" max="4141" width="17.75" style="60" customWidth="1"/>
    <col min="4142" max="4143" width="9" style="60" customWidth="1"/>
    <col min="4144" max="4144" width="16.25" style="60" customWidth="1"/>
    <col min="4145" max="4145" width="24" style="60" customWidth="1"/>
    <col min="4146" max="4146" width="9" style="60"/>
    <col min="4147" max="4147" width="11.75" style="60" customWidth="1"/>
    <col min="4148" max="4148" width="8.875" style="60" customWidth="1"/>
    <col min="4149" max="4149" width="17.375" style="60" customWidth="1"/>
    <col min="4150" max="4150" width="13.25" style="60" customWidth="1"/>
    <col min="4151" max="4151" width="25.75" style="60" customWidth="1"/>
    <col min="4152" max="4152" width="11.125" style="60" customWidth="1"/>
    <col min="4153" max="4153" width="10.75" style="60" customWidth="1"/>
    <col min="4154" max="4154" width="9" style="60" customWidth="1"/>
    <col min="4155" max="4155" width="9.75" style="60" customWidth="1"/>
    <col min="4156" max="4156" width="7.5" style="60" customWidth="1"/>
    <col min="4157" max="4157" width="13.25" style="60" customWidth="1"/>
    <col min="4158" max="4158" width="11.75" style="60" customWidth="1"/>
    <col min="4159" max="4159" width="8.875" style="60" customWidth="1"/>
    <col min="4160" max="4160" width="9.625" style="60" customWidth="1"/>
    <col min="4161" max="4162" width="11.875" style="60" customWidth="1"/>
    <col min="4163" max="4163" width="11.5" style="60" customWidth="1"/>
    <col min="4164" max="4179" width="12.25" style="60" customWidth="1"/>
    <col min="4180" max="4180" width="13" style="60" customWidth="1"/>
    <col min="4181" max="4185" width="12.375" style="60" customWidth="1"/>
    <col min="4186" max="4186" width="13" style="60" customWidth="1"/>
    <col min="4187" max="4188" width="12.375" style="60" customWidth="1"/>
    <col min="4189" max="4189" width="13" style="60" customWidth="1"/>
    <col min="4190" max="4190" width="13.125" style="60" customWidth="1"/>
    <col min="4191" max="4191" width="13" style="60" customWidth="1"/>
    <col min="4192" max="4192" width="13.125" style="60" customWidth="1"/>
    <col min="4193" max="4194" width="12.375" style="60" customWidth="1"/>
    <col min="4195" max="4195" width="13" style="60" customWidth="1"/>
    <col min="4196" max="4196" width="12.375" style="60" customWidth="1"/>
    <col min="4197" max="4197" width="12.25" style="60" customWidth="1"/>
    <col min="4198" max="4198" width="12.125" style="60" customWidth="1"/>
    <col min="4199" max="4199" width="11.625" style="60" customWidth="1"/>
    <col min="4200" max="4200" width="12" style="60" customWidth="1"/>
    <col min="4201" max="4201" width="13" style="60" customWidth="1"/>
    <col min="4202" max="4202" width="11.625" style="60" customWidth="1"/>
    <col min="4203" max="4204" width="12" style="60" customWidth="1"/>
    <col min="4205" max="4207" width="11.625" style="60" customWidth="1"/>
    <col min="4208" max="4208" width="11.125" style="60" customWidth="1"/>
    <col min="4209" max="4209" width="12" style="60" customWidth="1"/>
    <col min="4210" max="4210" width="13" style="60" customWidth="1"/>
    <col min="4211" max="4211" width="13.625" style="60" customWidth="1"/>
    <col min="4212" max="4212" width="11.875" style="60" customWidth="1"/>
    <col min="4213" max="4214" width="11.625" style="60" customWidth="1"/>
    <col min="4215" max="4215" width="12" style="60" customWidth="1"/>
    <col min="4216" max="4216" width="12.75" style="60" customWidth="1"/>
    <col min="4217" max="4217" width="11.625" style="60" customWidth="1"/>
    <col min="4218" max="4218" width="12.125" style="60" customWidth="1"/>
    <col min="4219" max="4220" width="11.625" style="60" customWidth="1"/>
    <col min="4221" max="4221" width="12.5" style="60" customWidth="1"/>
    <col min="4222" max="4396" width="11.625" style="60" customWidth="1"/>
    <col min="4397" max="4397" width="17.75" style="60" customWidth="1"/>
    <col min="4398" max="4399" width="9" style="60" customWidth="1"/>
    <col min="4400" max="4400" width="16.25" style="60" customWidth="1"/>
    <col min="4401" max="4401" width="24" style="60" customWidth="1"/>
    <col min="4402" max="4402" width="9" style="60"/>
    <col min="4403" max="4403" width="11.75" style="60" customWidth="1"/>
    <col min="4404" max="4404" width="8.875" style="60" customWidth="1"/>
    <col min="4405" max="4405" width="17.375" style="60" customWidth="1"/>
    <col min="4406" max="4406" width="13.25" style="60" customWidth="1"/>
    <col min="4407" max="4407" width="25.75" style="60" customWidth="1"/>
    <col min="4408" max="4408" width="11.125" style="60" customWidth="1"/>
    <col min="4409" max="4409" width="10.75" style="60" customWidth="1"/>
    <col min="4410" max="4410" width="9" style="60" customWidth="1"/>
    <col min="4411" max="4411" width="9.75" style="60" customWidth="1"/>
    <col min="4412" max="4412" width="7.5" style="60" customWidth="1"/>
    <col min="4413" max="4413" width="13.25" style="60" customWidth="1"/>
    <col min="4414" max="4414" width="11.75" style="60" customWidth="1"/>
    <col min="4415" max="4415" width="8.875" style="60" customWidth="1"/>
    <col min="4416" max="4416" width="9.625" style="60" customWidth="1"/>
    <col min="4417" max="4418" width="11.875" style="60" customWidth="1"/>
    <col min="4419" max="4419" width="11.5" style="60" customWidth="1"/>
    <col min="4420" max="4435" width="12.25" style="60" customWidth="1"/>
    <col min="4436" max="4436" width="13" style="60" customWidth="1"/>
    <col min="4437" max="4441" width="12.375" style="60" customWidth="1"/>
    <col min="4442" max="4442" width="13" style="60" customWidth="1"/>
    <col min="4443" max="4444" width="12.375" style="60" customWidth="1"/>
    <col min="4445" max="4445" width="13" style="60" customWidth="1"/>
    <col min="4446" max="4446" width="13.125" style="60" customWidth="1"/>
    <col min="4447" max="4447" width="13" style="60" customWidth="1"/>
    <col min="4448" max="4448" width="13.125" style="60" customWidth="1"/>
    <col min="4449" max="4450" width="12.375" style="60" customWidth="1"/>
    <col min="4451" max="4451" width="13" style="60" customWidth="1"/>
    <col min="4452" max="4452" width="12.375" style="60" customWidth="1"/>
    <col min="4453" max="4453" width="12.25" style="60" customWidth="1"/>
    <col min="4454" max="4454" width="12.125" style="60" customWidth="1"/>
    <col min="4455" max="4455" width="11.625" style="60" customWidth="1"/>
    <col min="4456" max="4456" width="12" style="60" customWidth="1"/>
    <col min="4457" max="4457" width="13" style="60" customWidth="1"/>
    <col min="4458" max="4458" width="11.625" style="60" customWidth="1"/>
    <col min="4459" max="4460" width="12" style="60" customWidth="1"/>
    <col min="4461" max="4463" width="11.625" style="60" customWidth="1"/>
    <col min="4464" max="4464" width="11.125" style="60" customWidth="1"/>
    <col min="4465" max="4465" width="12" style="60" customWidth="1"/>
    <col min="4466" max="4466" width="13" style="60" customWidth="1"/>
    <col min="4467" max="4467" width="13.625" style="60" customWidth="1"/>
    <col min="4468" max="4468" width="11.875" style="60" customWidth="1"/>
    <col min="4469" max="4470" width="11.625" style="60" customWidth="1"/>
    <col min="4471" max="4471" width="12" style="60" customWidth="1"/>
    <col min="4472" max="4472" width="12.75" style="60" customWidth="1"/>
    <col min="4473" max="4473" width="11.625" style="60" customWidth="1"/>
    <col min="4474" max="4474" width="12.125" style="60" customWidth="1"/>
    <col min="4475" max="4476" width="11.625" style="60" customWidth="1"/>
    <col min="4477" max="4477" width="12.5" style="60" customWidth="1"/>
    <col min="4478" max="4652" width="11.625" style="60" customWidth="1"/>
    <col min="4653" max="4653" width="17.75" style="60" customWidth="1"/>
    <col min="4654" max="4655" width="9" style="60" customWidth="1"/>
    <col min="4656" max="4656" width="16.25" style="60" customWidth="1"/>
    <col min="4657" max="4657" width="24" style="60" customWidth="1"/>
    <col min="4658" max="4658" width="9" style="60"/>
    <col min="4659" max="4659" width="11.75" style="60" customWidth="1"/>
    <col min="4660" max="4660" width="8.875" style="60" customWidth="1"/>
    <col min="4661" max="4661" width="17.375" style="60" customWidth="1"/>
    <col min="4662" max="4662" width="13.25" style="60" customWidth="1"/>
    <col min="4663" max="4663" width="25.75" style="60" customWidth="1"/>
    <col min="4664" max="4664" width="11.125" style="60" customWidth="1"/>
    <col min="4665" max="4665" width="10.75" style="60" customWidth="1"/>
    <col min="4666" max="4666" width="9" style="60" customWidth="1"/>
    <col min="4667" max="4667" width="9.75" style="60" customWidth="1"/>
    <col min="4668" max="4668" width="7.5" style="60" customWidth="1"/>
    <col min="4669" max="4669" width="13.25" style="60" customWidth="1"/>
    <col min="4670" max="4670" width="11.75" style="60" customWidth="1"/>
    <col min="4671" max="4671" width="8.875" style="60" customWidth="1"/>
    <col min="4672" max="4672" width="9.625" style="60" customWidth="1"/>
    <col min="4673" max="4674" width="11.875" style="60" customWidth="1"/>
    <col min="4675" max="4675" width="11.5" style="60" customWidth="1"/>
    <col min="4676" max="4691" width="12.25" style="60" customWidth="1"/>
    <col min="4692" max="4692" width="13" style="60" customWidth="1"/>
    <col min="4693" max="4697" width="12.375" style="60" customWidth="1"/>
    <col min="4698" max="4698" width="13" style="60" customWidth="1"/>
    <col min="4699" max="4700" width="12.375" style="60" customWidth="1"/>
    <col min="4701" max="4701" width="13" style="60" customWidth="1"/>
    <col min="4702" max="4702" width="13.125" style="60" customWidth="1"/>
    <col min="4703" max="4703" width="13" style="60" customWidth="1"/>
    <col min="4704" max="4704" width="13.125" style="60" customWidth="1"/>
    <col min="4705" max="4706" width="12.375" style="60" customWidth="1"/>
    <col min="4707" max="4707" width="13" style="60" customWidth="1"/>
    <col min="4708" max="4708" width="12.375" style="60" customWidth="1"/>
    <col min="4709" max="4709" width="12.25" style="60" customWidth="1"/>
    <col min="4710" max="4710" width="12.125" style="60" customWidth="1"/>
    <col min="4711" max="4711" width="11.625" style="60" customWidth="1"/>
    <col min="4712" max="4712" width="12" style="60" customWidth="1"/>
    <col min="4713" max="4713" width="13" style="60" customWidth="1"/>
    <col min="4714" max="4714" width="11.625" style="60" customWidth="1"/>
    <col min="4715" max="4716" width="12" style="60" customWidth="1"/>
    <col min="4717" max="4719" width="11.625" style="60" customWidth="1"/>
    <col min="4720" max="4720" width="11.125" style="60" customWidth="1"/>
    <col min="4721" max="4721" width="12" style="60" customWidth="1"/>
    <col min="4722" max="4722" width="13" style="60" customWidth="1"/>
    <col min="4723" max="4723" width="13.625" style="60" customWidth="1"/>
    <col min="4724" max="4724" width="11.875" style="60" customWidth="1"/>
    <col min="4725" max="4726" width="11.625" style="60" customWidth="1"/>
    <col min="4727" max="4727" width="12" style="60" customWidth="1"/>
    <col min="4728" max="4728" width="12.75" style="60" customWidth="1"/>
    <col min="4729" max="4729" width="11.625" style="60" customWidth="1"/>
    <col min="4730" max="4730" width="12.125" style="60" customWidth="1"/>
    <col min="4731" max="4732" width="11.625" style="60" customWidth="1"/>
    <col min="4733" max="4733" width="12.5" style="60" customWidth="1"/>
    <col min="4734" max="4908" width="11.625" style="60" customWidth="1"/>
    <col min="4909" max="4909" width="17.75" style="60" customWidth="1"/>
    <col min="4910" max="4911" width="9" style="60" customWidth="1"/>
    <col min="4912" max="4912" width="16.25" style="60" customWidth="1"/>
    <col min="4913" max="4913" width="24" style="60" customWidth="1"/>
    <col min="4914" max="4914" width="9" style="60"/>
    <col min="4915" max="4915" width="11.75" style="60" customWidth="1"/>
    <col min="4916" max="4916" width="8.875" style="60" customWidth="1"/>
    <col min="4917" max="4917" width="17.375" style="60" customWidth="1"/>
    <col min="4918" max="4918" width="13.25" style="60" customWidth="1"/>
    <col min="4919" max="4919" width="25.75" style="60" customWidth="1"/>
    <col min="4920" max="4920" width="11.125" style="60" customWidth="1"/>
    <col min="4921" max="4921" width="10.75" style="60" customWidth="1"/>
    <col min="4922" max="4922" width="9" style="60" customWidth="1"/>
    <col min="4923" max="4923" width="9.75" style="60" customWidth="1"/>
    <col min="4924" max="4924" width="7.5" style="60" customWidth="1"/>
    <col min="4925" max="4925" width="13.25" style="60" customWidth="1"/>
    <col min="4926" max="4926" width="11.75" style="60" customWidth="1"/>
    <col min="4927" max="4927" width="8.875" style="60" customWidth="1"/>
    <col min="4928" max="4928" width="9.625" style="60" customWidth="1"/>
    <col min="4929" max="4930" width="11.875" style="60" customWidth="1"/>
    <col min="4931" max="4931" width="11.5" style="60" customWidth="1"/>
    <col min="4932" max="4947" width="12.25" style="60" customWidth="1"/>
    <col min="4948" max="4948" width="13" style="60" customWidth="1"/>
    <col min="4949" max="4953" width="12.375" style="60" customWidth="1"/>
    <col min="4954" max="4954" width="13" style="60" customWidth="1"/>
    <col min="4955" max="4956" width="12.375" style="60" customWidth="1"/>
    <col min="4957" max="4957" width="13" style="60" customWidth="1"/>
    <col min="4958" max="4958" width="13.125" style="60" customWidth="1"/>
    <col min="4959" max="4959" width="13" style="60" customWidth="1"/>
    <col min="4960" max="4960" width="13.125" style="60" customWidth="1"/>
    <col min="4961" max="4962" width="12.375" style="60" customWidth="1"/>
    <col min="4963" max="4963" width="13" style="60" customWidth="1"/>
    <col min="4964" max="4964" width="12.375" style="60" customWidth="1"/>
    <col min="4965" max="4965" width="12.25" style="60" customWidth="1"/>
    <col min="4966" max="4966" width="12.125" style="60" customWidth="1"/>
    <col min="4967" max="4967" width="11.625" style="60" customWidth="1"/>
    <col min="4968" max="4968" width="12" style="60" customWidth="1"/>
    <col min="4969" max="4969" width="13" style="60" customWidth="1"/>
    <col min="4970" max="4970" width="11.625" style="60" customWidth="1"/>
    <col min="4971" max="4972" width="12" style="60" customWidth="1"/>
    <col min="4973" max="4975" width="11.625" style="60" customWidth="1"/>
    <col min="4976" max="4976" width="11.125" style="60" customWidth="1"/>
    <col min="4977" max="4977" width="12" style="60" customWidth="1"/>
    <col min="4978" max="4978" width="13" style="60" customWidth="1"/>
    <col min="4979" max="4979" width="13.625" style="60" customWidth="1"/>
    <col min="4980" max="4980" width="11.875" style="60" customWidth="1"/>
    <col min="4981" max="4982" width="11.625" style="60" customWidth="1"/>
    <col min="4983" max="4983" width="12" style="60" customWidth="1"/>
    <col min="4984" max="4984" width="12.75" style="60" customWidth="1"/>
    <col min="4985" max="4985" width="11.625" style="60" customWidth="1"/>
    <col min="4986" max="4986" width="12.125" style="60" customWidth="1"/>
    <col min="4987" max="4988" width="11.625" style="60" customWidth="1"/>
    <col min="4989" max="4989" width="12.5" style="60" customWidth="1"/>
    <col min="4990" max="5164" width="11.625" style="60" customWidth="1"/>
    <col min="5165" max="5165" width="17.75" style="60" customWidth="1"/>
    <col min="5166" max="5167" width="9" style="60" customWidth="1"/>
    <col min="5168" max="5168" width="16.25" style="60" customWidth="1"/>
    <col min="5169" max="5169" width="24" style="60" customWidth="1"/>
    <col min="5170" max="5170" width="9" style="60"/>
    <col min="5171" max="5171" width="11.75" style="60" customWidth="1"/>
    <col min="5172" max="5172" width="8.875" style="60" customWidth="1"/>
    <col min="5173" max="5173" width="17.375" style="60" customWidth="1"/>
    <col min="5174" max="5174" width="13.25" style="60" customWidth="1"/>
    <col min="5175" max="5175" width="25.75" style="60" customWidth="1"/>
    <col min="5176" max="5176" width="11.125" style="60" customWidth="1"/>
    <col min="5177" max="5177" width="10.75" style="60" customWidth="1"/>
    <col min="5178" max="5178" width="9" style="60" customWidth="1"/>
    <col min="5179" max="5179" width="9.75" style="60" customWidth="1"/>
    <col min="5180" max="5180" width="7.5" style="60" customWidth="1"/>
    <col min="5181" max="5181" width="13.25" style="60" customWidth="1"/>
    <col min="5182" max="5182" width="11.75" style="60" customWidth="1"/>
    <col min="5183" max="5183" width="8.875" style="60" customWidth="1"/>
    <col min="5184" max="5184" width="9.625" style="60" customWidth="1"/>
    <col min="5185" max="5186" width="11.875" style="60" customWidth="1"/>
    <col min="5187" max="5187" width="11.5" style="60" customWidth="1"/>
    <col min="5188" max="5203" width="12.25" style="60" customWidth="1"/>
    <col min="5204" max="5204" width="13" style="60" customWidth="1"/>
    <col min="5205" max="5209" width="12.375" style="60" customWidth="1"/>
    <col min="5210" max="5210" width="13" style="60" customWidth="1"/>
    <col min="5211" max="5212" width="12.375" style="60" customWidth="1"/>
    <col min="5213" max="5213" width="13" style="60" customWidth="1"/>
    <col min="5214" max="5214" width="13.125" style="60" customWidth="1"/>
    <col min="5215" max="5215" width="13" style="60" customWidth="1"/>
    <col min="5216" max="5216" width="13.125" style="60" customWidth="1"/>
    <col min="5217" max="5218" width="12.375" style="60" customWidth="1"/>
    <col min="5219" max="5219" width="13" style="60" customWidth="1"/>
    <col min="5220" max="5220" width="12.375" style="60" customWidth="1"/>
    <col min="5221" max="5221" width="12.25" style="60" customWidth="1"/>
    <col min="5222" max="5222" width="12.125" style="60" customWidth="1"/>
    <col min="5223" max="5223" width="11.625" style="60" customWidth="1"/>
    <col min="5224" max="5224" width="12" style="60" customWidth="1"/>
    <col min="5225" max="5225" width="13" style="60" customWidth="1"/>
    <col min="5226" max="5226" width="11.625" style="60" customWidth="1"/>
    <col min="5227" max="5228" width="12" style="60" customWidth="1"/>
    <col min="5229" max="5231" width="11.625" style="60" customWidth="1"/>
    <col min="5232" max="5232" width="11.125" style="60" customWidth="1"/>
    <col min="5233" max="5233" width="12" style="60" customWidth="1"/>
    <col min="5234" max="5234" width="13" style="60" customWidth="1"/>
    <col min="5235" max="5235" width="13.625" style="60" customWidth="1"/>
    <col min="5236" max="5236" width="11.875" style="60" customWidth="1"/>
    <col min="5237" max="5238" width="11.625" style="60" customWidth="1"/>
    <col min="5239" max="5239" width="12" style="60" customWidth="1"/>
    <col min="5240" max="5240" width="12.75" style="60" customWidth="1"/>
    <col min="5241" max="5241" width="11.625" style="60" customWidth="1"/>
    <col min="5242" max="5242" width="12.125" style="60" customWidth="1"/>
    <col min="5243" max="5244" width="11.625" style="60" customWidth="1"/>
    <col min="5245" max="5245" width="12.5" style="60" customWidth="1"/>
    <col min="5246" max="5420" width="11.625" style="60" customWidth="1"/>
    <col min="5421" max="5421" width="17.75" style="60" customWidth="1"/>
    <col min="5422" max="5423" width="9" style="60" customWidth="1"/>
    <col min="5424" max="5424" width="16.25" style="60" customWidth="1"/>
    <col min="5425" max="5425" width="24" style="60" customWidth="1"/>
    <col min="5426" max="5426" width="9" style="60"/>
    <col min="5427" max="5427" width="11.75" style="60" customWidth="1"/>
    <col min="5428" max="5428" width="8.875" style="60" customWidth="1"/>
    <col min="5429" max="5429" width="17.375" style="60" customWidth="1"/>
    <col min="5430" max="5430" width="13.25" style="60" customWidth="1"/>
    <col min="5431" max="5431" width="25.75" style="60" customWidth="1"/>
    <col min="5432" max="5432" width="11.125" style="60" customWidth="1"/>
    <col min="5433" max="5433" width="10.75" style="60" customWidth="1"/>
    <col min="5434" max="5434" width="9" style="60" customWidth="1"/>
    <col min="5435" max="5435" width="9.75" style="60" customWidth="1"/>
    <col min="5436" max="5436" width="7.5" style="60" customWidth="1"/>
    <col min="5437" max="5437" width="13.25" style="60" customWidth="1"/>
    <col min="5438" max="5438" width="11.75" style="60" customWidth="1"/>
    <col min="5439" max="5439" width="8.875" style="60" customWidth="1"/>
    <col min="5440" max="5440" width="9.625" style="60" customWidth="1"/>
    <col min="5441" max="5442" width="11.875" style="60" customWidth="1"/>
    <col min="5443" max="5443" width="11.5" style="60" customWidth="1"/>
    <col min="5444" max="5459" width="12.25" style="60" customWidth="1"/>
    <col min="5460" max="5460" width="13" style="60" customWidth="1"/>
    <col min="5461" max="5465" width="12.375" style="60" customWidth="1"/>
    <col min="5466" max="5466" width="13" style="60" customWidth="1"/>
    <col min="5467" max="5468" width="12.375" style="60" customWidth="1"/>
    <col min="5469" max="5469" width="13" style="60" customWidth="1"/>
    <col min="5470" max="5470" width="13.125" style="60" customWidth="1"/>
    <col min="5471" max="5471" width="13" style="60" customWidth="1"/>
    <col min="5472" max="5472" width="13.125" style="60" customWidth="1"/>
    <col min="5473" max="5474" width="12.375" style="60" customWidth="1"/>
    <col min="5475" max="5475" width="13" style="60" customWidth="1"/>
    <col min="5476" max="5476" width="12.375" style="60" customWidth="1"/>
    <col min="5477" max="5477" width="12.25" style="60" customWidth="1"/>
    <col min="5478" max="5478" width="12.125" style="60" customWidth="1"/>
    <col min="5479" max="5479" width="11.625" style="60" customWidth="1"/>
    <col min="5480" max="5480" width="12" style="60" customWidth="1"/>
    <col min="5481" max="5481" width="13" style="60" customWidth="1"/>
    <col min="5482" max="5482" width="11.625" style="60" customWidth="1"/>
    <col min="5483" max="5484" width="12" style="60" customWidth="1"/>
    <col min="5485" max="5487" width="11.625" style="60" customWidth="1"/>
    <col min="5488" max="5488" width="11.125" style="60" customWidth="1"/>
    <col min="5489" max="5489" width="12" style="60" customWidth="1"/>
    <col min="5490" max="5490" width="13" style="60" customWidth="1"/>
    <col min="5491" max="5491" width="13.625" style="60" customWidth="1"/>
    <col min="5492" max="5492" width="11.875" style="60" customWidth="1"/>
    <col min="5493" max="5494" width="11.625" style="60" customWidth="1"/>
    <col min="5495" max="5495" width="12" style="60" customWidth="1"/>
    <col min="5496" max="5496" width="12.75" style="60" customWidth="1"/>
    <col min="5497" max="5497" width="11.625" style="60" customWidth="1"/>
    <col min="5498" max="5498" width="12.125" style="60" customWidth="1"/>
    <col min="5499" max="5500" width="11.625" style="60" customWidth="1"/>
    <col min="5501" max="5501" width="12.5" style="60" customWidth="1"/>
    <col min="5502" max="5676" width="11.625" style="60" customWidth="1"/>
    <col min="5677" max="5677" width="17.75" style="60" customWidth="1"/>
    <col min="5678" max="5679" width="9" style="60" customWidth="1"/>
    <col min="5680" max="5680" width="16.25" style="60" customWidth="1"/>
    <col min="5681" max="5681" width="24" style="60" customWidth="1"/>
    <col min="5682" max="5682" width="9" style="60"/>
    <col min="5683" max="5683" width="11.75" style="60" customWidth="1"/>
    <col min="5684" max="5684" width="8.875" style="60" customWidth="1"/>
    <col min="5685" max="5685" width="17.375" style="60" customWidth="1"/>
    <col min="5686" max="5686" width="13.25" style="60" customWidth="1"/>
    <col min="5687" max="5687" width="25.75" style="60" customWidth="1"/>
    <col min="5688" max="5688" width="11.125" style="60" customWidth="1"/>
    <col min="5689" max="5689" width="10.75" style="60" customWidth="1"/>
    <col min="5690" max="5690" width="9" style="60" customWidth="1"/>
    <col min="5691" max="5691" width="9.75" style="60" customWidth="1"/>
    <col min="5692" max="5692" width="7.5" style="60" customWidth="1"/>
    <col min="5693" max="5693" width="13.25" style="60" customWidth="1"/>
    <col min="5694" max="5694" width="11.75" style="60" customWidth="1"/>
    <col min="5695" max="5695" width="8.875" style="60" customWidth="1"/>
    <col min="5696" max="5696" width="9.625" style="60" customWidth="1"/>
    <col min="5697" max="5698" width="11.875" style="60" customWidth="1"/>
    <col min="5699" max="5699" width="11.5" style="60" customWidth="1"/>
    <col min="5700" max="5715" width="12.25" style="60" customWidth="1"/>
    <col min="5716" max="5716" width="13" style="60" customWidth="1"/>
    <col min="5717" max="5721" width="12.375" style="60" customWidth="1"/>
    <col min="5722" max="5722" width="13" style="60" customWidth="1"/>
    <col min="5723" max="5724" width="12.375" style="60" customWidth="1"/>
    <col min="5725" max="5725" width="13" style="60" customWidth="1"/>
    <col min="5726" max="5726" width="13.125" style="60" customWidth="1"/>
    <col min="5727" max="5727" width="13" style="60" customWidth="1"/>
    <col min="5728" max="5728" width="13.125" style="60" customWidth="1"/>
    <col min="5729" max="5730" width="12.375" style="60" customWidth="1"/>
    <col min="5731" max="5731" width="13" style="60" customWidth="1"/>
    <col min="5732" max="5732" width="12.375" style="60" customWidth="1"/>
    <col min="5733" max="5733" width="12.25" style="60" customWidth="1"/>
    <col min="5734" max="5734" width="12.125" style="60" customWidth="1"/>
    <col min="5735" max="5735" width="11.625" style="60" customWidth="1"/>
    <col min="5736" max="5736" width="12" style="60" customWidth="1"/>
    <col min="5737" max="5737" width="13" style="60" customWidth="1"/>
    <col min="5738" max="5738" width="11.625" style="60" customWidth="1"/>
    <col min="5739" max="5740" width="12" style="60" customWidth="1"/>
    <col min="5741" max="5743" width="11.625" style="60" customWidth="1"/>
    <col min="5744" max="5744" width="11.125" style="60" customWidth="1"/>
    <col min="5745" max="5745" width="12" style="60" customWidth="1"/>
    <col min="5746" max="5746" width="13" style="60" customWidth="1"/>
    <col min="5747" max="5747" width="13.625" style="60" customWidth="1"/>
    <col min="5748" max="5748" width="11.875" style="60" customWidth="1"/>
    <col min="5749" max="5750" width="11.625" style="60" customWidth="1"/>
    <col min="5751" max="5751" width="12" style="60" customWidth="1"/>
    <col min="5752" max="5752" width="12.75" style="60" customWidth="1"/>
    <col min="5753" max="5753" width="11.625" style="60" customWidth="1"/>
    <col min="5754" max="5754" width="12.125" style="60" customWidth="1"/>
    <col min="5755" max="5756" width="11.625" style="60" customWidth="1"/>
    <col min="5757" max="5757" width="12.5" style="60" customWidth="1"/>
    <col min="5758" max="5932" width="11.625" style="60" customWidth="1"/>
    <col min="5933" max="5933" width="17.75" style="60" customWidth="1"/>
    <col min="5934" max="5935" width="9" style="60" customWidth="1"/>
    <col min="5936" max="5936" width="16.25" style="60" customWidth="1"/>
    <col min="5937" max="5937" width="24" style="60" customWidth="1"/>
    <col min="5938" max="5938" width="9" style="60"/>
    <col min="5939" max="5939" width="11.75" style="60" customWidth="1"/>
    <col min="5940" max="5940" width="8.875" style="60" customWidth="1"/>
    <col min="5941" max="5941" width="17.375" style="60" customWidth="1"/>
    <col min="5942" max="5942" width="13.25" style="60" customWidth="1"/>
    <col min="5943" max="5943" width="25.75" style="60" customWidth="1"/>
    <col min="5944" max="5944" width="11.125" style="60" customWidth="1"/>
    <col min="5945" max="5945" width="10.75" style="60" customWidth="1"/>
    <col min="5946" max="5946" width="9" style="60" customWidth="1"/>
    <col min="5947" max="5947" width="9.75" style="60" customWidth="1"/>
    <col min="5948" max="5948" width="7.5" style="60" customWidth="1"/>
    <col min="5949" max="5949" width="13.25" style="60" customWidth="1"/>
    <col min="5950" max="5950" width="11.75" style="60" customWidth="1"/>
    <col min="5951" max="5951" width="8.875" style="60" customWidth="1"/>
    <col min="5952" max="5952" width="9.625" style="60" customWidth="1"/>
    <col min="5953" max="5954" width="11.875" style="60" customWidth="1"/>
    <col min="5955" max="5955" width="11.5" style="60" customWidth="1"/>
    <col min="5956" max="5971" width="12.25" style="60" customWidth="1"/>
    <col min="5972" max="5972" width="13" style="60" customWidth="1"/>
    <col min="5973" max="5977" width="12.375" style="60" customWidth="1"/>
    <col min="5978" max="5978" width="13" style="60" customWidth="1"/>
    <col min="5979" max="5980" width="12.375" style="60" customWidth="1"/>
    <col min="5981" max="5981" width="13" style="60" customWidth="1"/>
    <col min="5982" max="5982" width="13.125" style="60" customWidth="1"/>
    <col min="5983" max="5983" width="13" style="60" customWidth="1"/>
    <col min="5984" max="5984" width="13.125" style="60" customWidth="1"/>
    <col min="5985" max="5986" width="12.375" style="60" customWidth="1"/>
    <col min="5987" max="5987" width="13" style="60" customWidth="1"/>
    <col min="5988" max="5988" width="12.375" style="60" customWidth="1"/>
    <col min="5989" max="5989" width="12.25" style="60" customWidth="1"/>
    <col min="5990" max="5990" width="12.125" style="60" customWidth="1"/>
    <col min="5991" max="5991" width="11.625" style="60" customWidth="1"/>
    <col min="5992" max="5992" width="12" style="60" customWidth="1"/>
    <col min="5993" max="5993" width="13" style="60" customWidth="1"/>
    <col min="5994" max="5994" width="11.625" style="60" customWidth="1"/>
    <col min="5995" max="5996" width="12" style="60" customWidth="1"/>
    <col min="5997" max="5999" width="11.625" style="60" customWidth="1"/>
    <col min="6000" max="6000" width="11.125" style="60" customWidth="1"/>
    <col min="6001" max="6001" width="12" style="60" customWidth="1"/>
    <col min="6002" max="6002" width="13" style="60" customWidth="1"/>
    <col min="6003" max="6003" width="13.625" style="60" customWidth="1"/>
    <col min="6004" max="6004" width="11.875" style="60" customWidth="1"/>
    <col min="6005" max="6006" width="11.625" style="60" customWidth="1"/>
    <col min="6007" max="6007" width="12" style="60" customWidth="1"/>
    <col min="6008" max="6008" width="12.75" style="60" customWidth="1"/>
    <col min="6009" max="6009" width="11.625" style="60" customWidth="1"/>
    <col min="6010" max="6010" width="12.125" style="60" customWidth="1"/>
    <col min="6011" max="6012" width="11.625" style="60" customWidth="1"/>
    <col min="6013" max="6013" width="12.5" style="60" customWidth="1"/>
    <col min="6014" max="6188" width="11.625" style="60" customWidth="1"/>
    <col min="6189" max="6189" width="17.75" style="60" customWidth="1"/>
    <col min="6190" max="6191" width="9" style="60" customWidth="1"/>
    <col min="6192" max="6192" width="16.25" style="60" customWidth="1"/>
    <col min="6193" max="6193" width="24" style="60" customWidth="1"/>
    <col min="6194" max="6194" width="9" style="60"/>
    <col min="6195" max="6195" width="11.75" style="60" customWidth="1"/>
    <col min="6196" max="6196" width="8.875" style="60" customWidth="1"/>
    <col min="6197" max="6197" width="17.375" style="60" customWidth="1"/>
    <col min="6198" max="6198" width="13.25" style="60" customWidth="1"/>
    <col min="6199" max="6199" width="25.75" style="60" customWidth="1"/>
    <col min="6200" max="6200" width="11.125" style="60" customWidth="1"/>
    <col min="6201" max="6201" width="10.75" style="60" customWidth="1"/>
    <col min="6202" max="6202" width="9" style="60" customWidth="1"/>
    <col min="6203" max="6203" width="9.75" style="60" customWidth="1"/>
    <col min="6204" max="6204" width="7.5" style="60" customWidth="1"/>
    <col min="6205" max="6205" width="13.25" style="60" customWidth="1"/>
    <col min="6206" max="6206" width="11.75" style="60" customWidth="1"/>
    <col min="6207" max="6207" width="8.875" style="60" customWidth="1"/>
    <col min="6208" max="6208" width="9.625" style="60" customWidth="1"/>
    <col min="6209" max="6210" width="11.875" style="60" customWidth="1"/>
    <col min="6211" max="6211" width="11.5" style="60" customWidth="1"/>
    <col min="6212" max="6227" width="12.25" style="60" customWidth="1"/>
    <col min="6228" max="6228" width="13" style="60" customWidth="1"/>
    <col min="6229" max="6233" width="12.375" style="60" customWidth="1"/>
    <col min="6234" max="6234" width="13" style="60" customWidth="1"/>
    <col min="6235" max="6236" width="12.375" style="60" customWidth="1"/>
    <col min="6237" max="6237" width="13" style="60" customWidth="1"/>
    <col min="6238" max="6238" width="13.125" style="60" customWidth="1"/>
    <col min="6239" max="6239" width="13" style="60" customWidth="1"/>
    <col min="6240" max="6240" width="13.125" style="60" customWidth="1"/>
    <col min="6241" max="6242" width="12.375" style="60" customWidth="1"/>
    <col min="6243" max="6243" width="13" style="60" customWidth="1"/>
    <col min="6244" max="6244" width="12.375" style="60" customWidth="1"/>
    <col min="6245" max="6245" width="12.25" style="60" customWidth="1"/>
    <col min="6246" max="6246" width="12.125" style="60" customWidth="1"/>
    <col min="6247" max="6247" width="11.625" style="60" customWidth="1"/>
    <col min="6248" max="6248" width="12" style="60" customWidth="1"/>
    <col min="6249" max="6249" width="13" style="60" customWidth="1"/>
    <col min="6250" max="6250" width="11.625" style="60" customWidth="1"/>
    <col min="6251" max="6252" width="12" style="60" customWidth="1"/>
    <col min="6253" max="6255" width="11.625" style="60" customWidth="1"/>
    <col min="6256" max="6256" width="11.125" style="60" customWidth="1"/>
    <col min="6257" max="6257" width="12" style="60" customWidth="1"/>
    <col min="6258" max="6258" width="13" style="60" customWidth="1"/>
    <col min="6259" max="6259" width="13.625" style="60" customWidth="1"/>
    <col min="6260" max="6260" width="11.875" style="60" customWidth="1"/>
    <col min="6261" max="6262" width="11.625" style="60" customWidth="1"/>
    <col min="6263" max="6263" width="12" style="60" customWidth="1"/>
    <col min="6264" max="6264" width="12.75" style="60" customWidth="1"/>
    <col min="6265" max="6265" width="11.625" style="60" customWidth="1"/>
    <col min="6266" max="6266" width="12.125" style="60" customWidth="1"/>
    <col min="6267" max="6268" width="11.625" style="60" customWidth="1"/>
    <col min="6269" max="6269" width="12.5" style="60" customWidth="1"/>
    <col min="6270" max="6444" width="11.625" style="60" customWidth="1"/>
    <col min="6445" max="6445" width="17.75" style="60" customWidth="1"/>
    <col min="6446" max="6447" width="9" style="60" customWidth="1"/>
    <col min="6448" max="6448" width="16.25" style="60" customWidth="1"/>
    <col min="6449" max="6449" width="24" style="60" customWidth="1"/>
    <col min="6450" max="6450" width="9" style="60"/>
    <col min="6451" max="6451" width="11.75" style="60" customWidth="1"/>
    <col min="6452" max="6452" width="8.875" style="60" customWidth="1"/>
    <col min="6453" max="6453" width="17.375" style="60" customWidth="1"/>
    <col min="6454" max="6454" width="13.25" style="60" customWidth="1"/>
    <col min="6455" max="6455" width="25.75" style="60" customWidth="1"/>
    <col min="6456" max="6456" width="11.125" style="60" customWidth="1"/>
    <col min="6457" max="6457" width="10.75" style="60" customWidth="1"/>
    <col min="6458" max="6458" width="9" style="60" customWidth="1"/>
    <col min="6459" max="6459" width="9.75" style="60" customWidth="1"/>
    <col min="6460" max="6460" width="7.5" style="60" customWidth="1"/>
    <col min="6461" max="6461" width="13.25" style="60" customWidth="1"/>
    <col min="6462" max="6462" width="11.75" style="60" customWidth="1"/>
    <col min="6463" max="6463" width="8.875" style="60" customWidth="1"/>
    <col min="6464" max="6464" width="9.625" style="60" customWidth="1"/>
    <col min="6465" max="6466" width="11.875" style="60" customWidth="1"/>
    <col min="6467" max="6467" width="11.5" style="60" customWidth="1"/>
    <col min="6468" max="6483" width="12.25" style="60" customWidth="1"/>
    <col min="6484" max="6484" width="13" style="60" customWidth="1"/>
    <col min="6485" max="6489" width="12.375" style="60" customWidth="1"/>
    <col min="6490" max="6490" width="13" style="60" customWidth="1"/>
    <col min="6491" max="6492" width="12.375" style="60" customWidth="1"/>
    <col min="6493" max="6493" width="13" style="60" customWidth="1"/>
    <col min="6494" max="6494" width="13.125" style="60" customWidth="1"/>
    <col min="6495" max="6495" width="13" style="60" customWidth="1"/>
    <col min="6496" max="6496" width="13.125" style="60" customWidth="1"/>
    <col min="6497" max="6498" width="12.375" style="60" customWidth="1"/>
    <col min="6499" max="6499" width="13" style="60" customWidth="1"/>
    <col min="6500" max="6500" width="12.375" style="60" customWidth="1"/>
    <col min="6501" max="6501" width="12.25" style="60" customWidth="1"/>
    <col min="6502" max="6502" width="12.125" style="60" customWidth="1"/>
    <col min="6503" max="6503" width="11.625" style="60" customWidth="1"/>
    <col min="6504" max="6504" width="12" style="60" customWidth="1"/>
    <col min="6505" max="6505" width="13" style="60" customWidth="1"/>
    <col min="6506" max="6506" width="11.625" style="60" customWidth="1"/>
    <col min="6507" max="6508" width="12" style="60" customWidth="1"/>
    <col min="6509" max="6511" width="11.625" style="60" customWidth="1"/>
    <col min="6512" max="6512" width="11.125" style="60" customWidth="1"/>
    <col min="6513" max="6513" width="12" style="60" customWidth="1"/>
    <col min="6514" max="6514" width="13" style="60" customWidth="1"/>
    <col min="6515" max="6515" width="13.625" style="60" customWidth="1"/>
    <col min="6516" max="6516" width="11.875" style="60" customWidth="1"/>
    <col min="6517" max="6518" width="11.625" style="60" customWidth="1"/>
    <col min="6519" max="6519" width="12" style="60" customWidth="1"/>
    <col min="6520" max="6520" width="12.75" style="60" customWidth="1"/>
    <col min="6521" max="6521" width="11.625" style="60" customWidth="1"/>
    <col min="6522" max="6522" width="12.125" style="60" customWidth="1"/>
    <col min="6523" max="6524" width="11.625" style="60" customWidth="1"/>
    <col min="6525" max="6525" width="12.5" style="60" customWidth="1"/>
    <col min="6526" max="6700" width="11.625" style="60" customWidth="1"/>
    <col min="6701" max="6701" width="17.75" style="60" customWidth="1"/>
    <col min="6702" max="6703" width="9" style="60" customWidth="1"/>
    <col min="6704" max="6704" width="16.25" style="60" customWidth="1"/>
    <col min="6705" max="6705" width="24" style="60" customWidth="1"/>
    <col min="6706" max="6706" width="9" style="60"/>
    <col min="6707" max="6707" width="11.75" style="60" customWidth="1"/>
    <col min="6708" max="6708" width="8.875" style="60" customWidth="1"/>
    <col min="6709" max="6709" width="17.375" style="60" customWidth="1"/>
    <col min="6710" max="6710" width="13.25" style="60" customWidth="1"/>
    <col min="6711" max="6711" width="25.75" style="60" customWidth="1"/>
    <col min="6712" max="6712" width="11.125" style="60" customWidth="1"/>
    <col min="6713" max="6713" width="10.75" style="60" customWidth="1"/>
    <col min="6714" max="6714" width="9" style="60" customWidth="1"/>
    <col min="6715" max="6715" width="9.75" style="60" customWidth="1"/>
    <col min="6716" max="6716" width="7.5" style="60" customWidth="1"/>
    <col min="6717" max="6717" width="13.25" style="60" customWidth="1"/>
    <col min="6718" max="6718" width="11.75" style="60" customWidth="1"/>
    <col min="6719" max="6719" width="8.875" style="60" customWidth="1"/>
    <col min="6720" max="6720" width="9.625" style="60" customWidth="1"/>
    <col min="6721" max="6722" width="11.875" style="60" customWidth="1"/>
    <col min="6723" max="6723" width="11.5" style="60" customWidth="1"/>
    <col min="6724" max="6739" width="12.25" style="60" customWidth="1"/>
    <col min="6740" max="6740" width="13" style="60" customWidth="1"/>
    <col min="6741" max="6745" width="12.375" style="60" customWidth="1"/>
    <col min="6746" max="6746" width="13" style="60" customWidth="1"/>
    <col min="6747" max="6748" width="12.375" style="60" customWidth="1"/>
    <col min="6749" max="6749" width="13" style="60" customWidth="1"/>
    <col min="6750" max="6750" width="13.125" style="60" customWidth="1"/>
    <col min="6751" max="6751" width="13" style="60" customWidth="1"/>
    <col min="6752" max="6752" width="13.125" style="60" customWidth="1"/>
    <col min="6753" max="6754" width="12.375" style="60" customWidth="1"/>
    <col min="6755" max="6755" width="13" style="60" customWidth="1"/>
    <col min="6756" max="6756" width="12.375" style="60" customWidth="1"/>
    <col min="6757" max="6757" width="12.25" style="60" customWidth="1"/>
    <col min="6758" max="6758" width="12.125" style="60" customWidth="1"/>
    <col min="6759" max="6759" width="11.625" style="60" customWidth="1"/>
    <col min="6760" max="6760" width="12" style="60" customWidth="1"/>
    <col min="6761" max="6761" width="13" style="60" customWidth="1"/>
    <col min="6762" max="6762" width="11.625" style="60" customWidth="1"/>
    <col min="6763" max="6764" width="12" style="60" customWidth="1"/>
    <col min="6765" max="6767" width="11.625" style="60" customWidth="1"/>
    <col min="6768" max="6768" width="11.125" style="60" customWidth="1"/>
    <col min="6769" max="6769" width="12" style="60" customWidth="1"/>
    <col min="6770" max="6770" width="13" style="60" customWidth="1"/>
    <col min="6771" max="6771" width="13.625" style="60" customWidth="1"/>
    <col min="6772" max="6772" width="11.875" style="60" customWidth="1"/>
    <col min="6773" max="6774" width="11.625" style="60" customWidth="1"/>
    <col min="6775" max="6775" width="12" style="60" customWidth="1"/>
    <col min="6776" max="6776" width="12.75" style="60" customWidth="1"/>
    <col min="6777" max="6777" width="11.625" style="60" customWidth="1"/>
    <col min="6778" max="6778" width="12.125" style="60" customWidth="1"/>
    <col min="6779" max="6780" width="11.625" style="60" customWidth="1"/>
    <col min="6781" max="6781" width="12.5" style="60" customWidth="1"/>
    <col min="6782" max="6956" width="11.625" style="60" customWidth="1"/>
    <col min="6957" max="6957" width="17.75" style="60" customWidth="1"/>
    <col min="6958" max="6959" width="9" style="60" customWidth="1"/>
    <col min="6960" max="6960" width="16.25" style="60" customWidth="1"/>
    <col min="6961" max="6961" width="24" style="60" customWidth="1"/>
    <col min="6962" max="6962" width="9" style="60"/>
    <col min="6963" max="6963" width="11.75" style="60" customWidth="1"/>
    <col min="6964" max="6964" width="8.875" style="60" customWidth="1"/>
    <col min="6965" max="6965" width="17.375" style="60" customWidth="1"/>
    <col min="6966" max="6966" width="13.25" style="60" customWidth="1"/>
    <col min="6967" max="6967" width="25.75" style="60" customWidth="1"/>
    <col min="6968" max="6968" width="11.125" style="60" customWidth="1"/>
    <col min="6969" max="6969" width="10.75" style="60" customWidth="1"/>
    <col min="6970" max="6970" width="9" style="60" customWidth="1"/>
    <col min="6971" max="6971" width="9.75" style="60" customWidth="1"/>
    <col min="6972" max="6972" width="7.5" style="60" customWidth="1"/>
    <col min="6973" max="6973" width="13.25" style="60" customWidth="1"/>
    <col min="6974" max="6974" width="11.75" style="60" customWidth="1"/>
    <col min="6975" max="6975" width="8.875" style="60" customWidth="1"/>
    <col min="6976" max="6976" width="9.625" style="60" customWidth="1"/>
    <col min="6977" max="6978" width="11.875" style="60" customWidth="1"/>
    <col min="6979" max="6979" width="11.5" style="60" customWidth="1"/>
    <col min="6980" max="6995" width="12.25" style="60" customWidth="1"/>
    <col min="6996" max="6996" width="13" style="60" customWidth="1"/>
    <col min="6997" max="7001" width="12.375" style="60" customWidth="1"/>
    <col min="7002" max="7002" width="13" style="60" customWidth="1"/>
    <col min="7003" max="7004" width="12.375" style="60" customWidth="1"/>
    <col min="7005" max="7005" width="13" style="60" customWidth="1"/>
    <col min="7006" max="7006" width="13.125" style="60" customWidth="1"/>
    <col min="7007" max="7007" width="13" style="60" customWidth="1"/>
    <col min="7008" max="7008" width="13.125" style="60" customWidth="1"/>
    <col min="7009" max="7010" width="12.375" style="60" customWidth="1"/>
    <col min="7011" max="7011" width="13" style="60" customWidth="1"/>
    <col min="7012" max="7012" width="12.375" style="60" customWidth="1"/>
    <col min="7013" max="7013" width="12.25" style="60" customWidth="1"/>
    <col min="7014" max="7014" width="12.125" style="60" customWidth="1"/>
    <col min="7015" max="7015" width="11.625" style="60" customWidth="1"/>
    <col min="7016" max="7016" width="12" style="60" customWidth="1"/>
    <col min="7017" max="7017" width="13" style="60" customWidth="1"/>
    <col min="7018" max="7018" width="11.625" style="60" customWidth="1"/>
    <col min="7019" max="7020" width="12" style="60" customWidth="1"/>
    <col min="7021" max="7023" width="11.625" style="60" customWidth="1"/>
    <col min="7024" max="7024" width="11.125" style="60" customWidth="1"/>
    <col min="7025" max="7025" width="12" style="60" customWidth="1"/>
    <col min="7026" max="7026" width="13" style="60" customWidth="1"/>
    <col min="7027" max="7027" width="13.625" style="60" customWidth="1"/>
    <col min="7028" max="7028" width="11.875" style="60" customWidth="1"/>
    <col min="7029" max="7030" width="11.625" style="60" customWidth="1"/>
    <col min="7031" max="7031" width="12" style="60" customWidth="1"/>
    <col min="7032" max="7032" width="12.75" style="60" customWidth="1"/>
    <col min="7033" max="7033" width="11.625" style="60" customWidth="1"/>
    <col min="7034" max="7034" width="12.125" style="60" customWidth="1"/>
    <col min="7035" max="7036" width="11.625" style="60" customWidth="1"/>
    <col min="7037" max="7037" width="12.5" style="60" customWidth="1"/>
    <col min="7038" max="7212" width="11.625" style="60" customWidth="1"/>
    <col min="7213" max="7213" width="17.75" style="60" customWidth="1"/>
    <col min="7214" max="7215" width="9" style="60" customWidth="1"/>
    <col min="7216" max="7216" width="16.25" style="60" customWidth="1"/>
    <col min="7217" max="7217" width="24" style="60" customWidth="1"/>
    <col min="7218" max="7218" width="9" style="60"/>
    <col min="7219" max="7219" width="11.75" style="60" customWidth="1"/>
    <col min="7220" max="7220" width="8.875" style="60" customWidth="1"/>
    <col min="7221" max="7221" width="17.375" style="60" customWidth="1"/>
    <col min="7222" max="7222" width="13.25" style="60" customWidth="1"/>
    <col min="7223" max="7223" width="25.75" style="60" customWidth="1"/>
    <col min="7224" max="7224" width="11.125" style="60" customWidth="1"/>
    <col min="7225" max="7225" width="10.75" style="60" customWidth="1"/>
    <col min="7226" max="7226" width="9" style="60" customWidth="1"/>
    <col min="7227" max="7227" width="9.75" style="60" customWidth="1"/>
    <col min="7228" max="7228" width="7.5" style="60" customWidth="1"/>
    <col min="7229" max="7229" width="13.25" style="60" customWidth="1"/>
    <col min="7230" max="7230" width="11.75" style="60" customWidth="1"/>
    <col min="7231" max="7231" width="8.875" style="60" customWidth="1"/>
    <col min="7232" max="7232" width="9.625" style="60" customWidth="1"/>
    <col min="7233" max="7234" width="11.875" style="60" customWidth="1"/>
    <col min="7235" max="7235" width="11.5" style="60" customWidth="1"/>
    <col min="7236" max="7251" width="12.25" style="60" customWidth="1"/>
    <col min="7252" max="7252" width="13" style="60" customWidth="1"/>
    <col min="7253" max="7257" width="12.375" style="60" customWidth="1"/>
    <col min="7258" max="7258" width="13" style="60" customWidth="1"/>
    <col min="7259" max="7260" width="12.375" style="60" customWidth="1"/>
    <col min="7261" max="7261" width="13" style="60" customWidth="1"/>
    <col min="7262" max="7262" width="13.125" style="60" customWidth="1"/>
    <col min="7263" max="7263" width="13" style="60" customWidth="1"/>
    <col min="7264" max="7264" width="13.125" style="60" customWidth="1"/>
    <col min="7265" max="7266" width="12.375" style="60" customWidth="1"/>
    <col min="7267" max="7267" width="13" style="60" customWidth="1"/>
    <col min="7268" max="7268" width="12.375" style="60" customWidth="1"/>
    <col min="7269" max="7269" width="12.25" style="60" customWidth="1"/>
    <col min="7270" max="7270" width="12.125" style="60" customWidth="1"/>
    <col min="7271" max="7271" width="11.625" style="60" customWidth="1"/>
    <col min="7272" max="7272" width="12" style="60" customWidth="1"/>
    <col min="7273" max="7273" width="13" style="60" customWidth="1"/>
    <col min="7274" max="7274" width="11.625" style="60" customWidth="1"/>
    <col min="7275" max="7276" width="12" style="60" customWidth="1"/>
    <col min="7277" max="7279" width="11.625" style="60" customWidth="1"/>
    <col min="7280" max="7280" width="11.125" style="60" customWidth="1"/>
    <col min="7281" max="7281" width="12" style="60" customWidth="1"/>
    <col min="7282" max="7282" width="13" style="60" customWidth="1"/>
    <col min="7283" max="7283" width="13.625" style="60" customWidth="1"/>
    <col min="7284" max="7284" width="11.875" style="60" customWidth="1"/>
    <col min="7285" max="7286" width="11.625" style="60" customWidth="1"/>
    <col min="7287" max="7287" width="12" style="60" customWidth="1"/>
    <col min="7288" max="7288" width="12.75" style="60" customWidth="1"/>
    <col min="7289" max="7289" width="11.625" style="60" customWidth="1"/>
    <col min="7290" max="7290" width="12.125" style="60" customWidth="1"/>
    <col min="7291" max="7292" width="11.625" style="60" customWidth="1"/>
    <col min="7293" max="7293" width="12.5" style="60" customWidth="1"/>
    <col min="7294" max="7468" width="11.625" style="60" customWidth="1"/>
    <col min="7469" max="7469" width="17.75" style="60" customWidth="1"/>
    <col min="7470" max="7471" width="9" style="60" customWidth="1"/>
    <col min="7472" max="7472" width="16.25" style="60" customWidth="1"/>
    <col min="7473" max="7473" width="24" style="60" customWidth="1"/>
    <col min="7474" max="7474" width="9" style="60"/>
    <col min="7475" max="7475" width="11.75" style="60" customWidth="1"/>
    <col min="7476" max="7476" width="8.875" style="60" customWidth="1"/>
    <col min="7477" max="7477" width="17.375" style="60" customWidth="1"/>
    <col min="7478" max="7478" width="13.25" style="60" customWidth="1"/>
    <col min="7479" max="7479" width="25.75" style="60" customWidth="1"/>
    <col min="7480" max="7480" width="11.125" style="60" customWidth="1"/>
    <col min="7481" max="7481" width="10.75" style="60" customWidth="1"/>
    <col min="7482" max="7482" width="9" style="60" customWidth="1"/>
    <col min="7483" max="7483" width="9.75" style="60" customWidth="1"/>
    <col min="7484" max="7484" width="7.5" style="60" customWidth="1"/>
    <col min="7485" max="7485" width="13.25" style="60" customWidth="1"/>
    <col min="7486" max="7486" width="11.75" style="60" customWidth="1"/>
    <col min="7487" max="7487" width="8.875" style="60" customWidth="1"/>
    <col min="7488" max="7488" width="9.625" style="60" customWidth="1"/>
    <col min="7489" max="7490" width="11.875" style="60" customWidth="1"/>
    <col min="7491" max="7491" width="11.5" style="60" customWidth="1"/>
    <col min="7492" max="7507" width="12.25" style="60" customWidth="1"/>
    <col min="7508" max="7508" width="13" style="60" customWidth="1"/>
    <col min="7509" max="7513" width="12.375" style="60" customWidth="1"/>
    <col min="7514" max="7514" width="13" style="60" customWidth="1"/>
    <col min="7515" max="7516" width="12.375" style="60" customWidth="1"/>
    <col min="7517" max="7517" width="13" style="60" customWidth="1"/>
    <col min="7518" max="7518" width="13.125" style="60" customWidth="1"/>
    <col min="7519" max="7519" width="13" style="60" customWidth="1"/>
    <col min="7520" max="7520" width="13.125" style="60" customWidth="1"/>
    <col min="7521" max="7522" width="12.375" style="60" customWidth="1"/>
    <col min="7523" max="7523" width="13" style="60" customWidth="1"/>
    <col min="7524" max="7524" width="12.375" style="60" customWidth="1"/>
    <col min="7525" max="7525" width="12.25" style="60" customWidth="1"/>
    <col min="7526" max="7526" width="12.125" style="60" customWidth="1"/>
    <col min="7527" max="7527" width="11.625" style="60" customWidth="1"/>
    <col min="7528" max="7528" width="12" style="60" customWidth="1"/>
    <col min="7529" max="7529" width="13" style="60" customWidth="1"/>
    <col min="7530" max="7530" width="11.625" style="60" customWidth="1"/>
    <col min="7531" max="7532" width="12" style="60" customWidth="1"/>
    <col min="7533" max="7535" width="11.625" style="60" customWidth="1"/>
    <col min="7536" max="7536" width="11.125" style="60" customWidth="1"/>
    <col min="7537" max="7537" width="12" style="60" customWidth="1"/>
    <col min="7538" max="7538" width="13" style="60" customWidth="1"/>
    <col min="7539" max="7539" width="13.625" style="60" customWidth="1"/>
    <col min="7540" max="7540" width="11.875" style="60" customWidth="1"/>
    <col min="7541" max="7542" width="11.625" style="60" customWidth="1"/>
    <col min="7543" max="7543" width="12" style="60" customWidth="1"/>
    <col min="7544" max="7544" width="12.75" style="60" customWidth="1"/>
    <col min="7545" max="7545" width="11.625" style="60" customWidth="1"/>
    <col min="7546" max="7546" width="12.125" style="60" customWidth="1"/>
    <col min="7547" max="7548" width="11.625" style="60" customWidth="1"/>
    <col min="7549" max="7549" width="12.5" style="60" customWidth="1"/>
    <col min="7550" max="7724" width="11.625" style="60" customWidth="1"/>
    <col min="7725" max="7725" width="17.75" style="60" customWidth="1"/>
    <col min="7726" max="7727" width="9" style="60" customWidth="1"/>
    <col min="7728" max="7728" width="16.25" style="60" customWidth="1"/>
    <col min="7729" max="7729" width="24" style="60" customWidth="1"/>
    <col min="7730" max="7730" width="9" style="60"/>
    <col min="7731" max="7731" width="11.75" style="60" customWidth="1"/>
    <col min="7732" max="7732" width="8.875" style="60" customWidth="1"/>
    <col min="7733" max="7733" width="17.375" style="60" customWidth="1"/>
    <col min="7734" max="7734" width="13.25" style="60" customWidth="1"/>
    <col min="7735" max="7735" width="25.75" style="60" customWidth="1"/>
    <col min="7736" max="7736" width="11.125" style="60" customWidth="1"/>
    <col min="7737" max="7737" width="10.75" style="60" customWidth="1"/>
    <col min="7738" max="7738" width="9" style="60" customWidth="1"/>
    <col min="7739" max="7739" width="9.75" style="60" customWidth="1"/>
    <col min="7740" max="7740" width="7.5" style="60" customWidth="1"/>
    <col min="7741" max="7741" width="13.25" style="60" customWidth="1"/>
    <col min="7742" max="7742" width="11.75" style="60" customWidth="1"/>
    <col min="7743" max="7743" width="8.875" style="60" customWidth="1"/>
    <col min="7744" max="7744" width="9.625" style="60" customWidth="1"/>
    <col min="7745" max="7746" width="11.875" style="60" customWidth="1"/>
    <col min="7747" max="7747" width="11.5" style="60" customWidth="1"/>
    <col min="7748" max="7763" width="12.25" style="60" customWidth="1"/>
    <col min="7764" max="7764" width="13" style="60" customWidth="1"/>
    <col min="7765" max="7769" width="12.375" style="60" customWidth="1"/>
    <col min="7770" max="7770" width="13" style="60" customWidth="1"/>
    <col min="7771" max="7772" width="12.375" style="60" customWidth="1"/>
    <col min="7773" max="7773" width="13" style="60" customWidth="1"/>
    <col min="7774" max="7774" width="13.125" style="60" customWidth="1"/>
    <col min="7775" max="7775" width="13" style="60" customWidth="1"/>
    <col min="7776" max="7776" width="13.125" style="60" customWidth="1"/>
    <col min="7777" max="7778" width="12.375" style="60" customWidth="1"/>
    <col min="7779" max="7779" width="13" style="60" customWidth="1"/>
    <col min="7780" max="7780" width="12.375" style="60" customWidth="1"/>
    <col min="7781" max="7781" width="12.25" style="60" customWidth="1"/>
    <col min="7782" max="7782" width="12.125" style="60" customWidth="1"/>
    <col min="7783" max="7783" width="11.625" style="60" customWidth="1"/>
    <col min="7784" max="7784" width="12" style="60" customWidth="1"/>
    <col min="7785" max="7785" width="13" style="60" customWidth="1"/>
    <col min="7786" max="7786" width="11.625" style="60" customWidth="1"/>
    <col min="7787" max="7788" width="12" style="60" customWidth="1"/>
    <col min="7789" max="7791" width="11.625" style="60" customWidth="1"/>
    <col min="7792" max="7792" width="11.125" style="60" customWidth="1"/>
    <col min="7793" max="7793" width="12" style="60" customWidth="1"/>
    <col min="7794" max="7794" width="13" style="60" customWidth="1"/>
    <col min="7795" max="7795" width="13.625" style="60" customWidth="1"/>
    <col min="7796" max="7796" width="11.875" style="60" customWidth="1"/>
    <col min="7797" max="7798" width="11.625" style="60" customWidth="1"/>
    <col min="7799" max="7799" width="12" style="60" customWidth="1"/>
    <col min="7800" max="7800" width="12.75" style="60" customWidth="1"/>
    <col min="7801" max="7801" width="11.625" style="60" customWidth="1"/>
    <col min="7802" max="7802" width="12.125" style="60" customWidth="1"/>
    <col min="7803" max="7804" width="11.625" style="60" customWidth="1"/>
    <col min="7805" max="7805" width="12.5" style="60" customWidth="1"/>
    <col min="7806" max="7980" width="11.625" style="60" customWidth="1"/>
    <col min="7981" max="7981" width="17.75" style="60" customWidth="1"/>
    <col min="7982" max="7983" width="9" style="60" customWidth="1"/>
    <col min="7984" max="7984" width="16.25" style="60" customWidth="1"/>
    <col min="7985" max="7985" width="24" style="60" customWidth="1"/>
    <col min="7986" max="7986" width="9" style="60"/>
    <col min="7987" max="7987" width="11.75" style="60" customWidth="1"/>
    <col min="7988" max="7988" width="8.875" style="60" customWidth="1"/>
    <col min="7989" max="7989" width="17.375" style="60" customWidth="1"/>
    <col min="7990" max="7990" width="13.25" style="60" customWidth="1"/>
    <col min="7991" max="7991" width="25.75" style="60" customWidth="1"/>
    <col min="7992" max="7992" width="11.125" style="60" customWidth="1"/>
    <col min="7993" max="7993" width="10.75" style="60" customWidth="1"/>
    <col min="7994" max="7994" width="9" style="60" customWidth="1"/>
    <col min="7995" max="7995" width="9.75" style="60" customWidth="1"/>
    <col min="7996" max="7996" width="7.5" style="60" customWidth="1"/>
    <col min="7997" max="7997" width="13.25" style="60" customWidth="1"/>
    <col min="7998" max="7998" width="11.75" style="60" customWidth="1"/>
    <col min="7999" max="7999" width="8.875" style="60" customWidth="1"/>
    <col min="8000" max="8000" width="9.625" style="60" customWidth="1"/>
    <col min="8001" max="8002" width="11.875" style="60" customWidth="1"/>
    <col min="8003" max="8003" width="11.5" style="60" customWidth="1"/>
    <col min="8004" max="8019" width="12.25" style="60" customWidth="1"/>
    <col min="8020" max="8020" width="13" style="60" customWidth="1"/>
    <col min="8021" max="8025" width="12.375" style="60" customWidth="1"/>
    <col min="8026" max="8026" width="13" style="60" customWidth="1"/>
    <col min="8027" max="8028" width="12.375" style="60" customWidth="1"/>
    <col min="8029" max="8029" width="13" style="60" customWidth="1"/>
    <col min="8030" max="8030" width="13.125" style="60" customWidth="1"/>
    <col min="8031" max="8031" width="13" style="60" customWidth="1"/>
    <col min="8032" max="8032" width="13.125" style="60" customWidth="1"/>
    <col min="8033" max="8034" width="12.375" style="60" customWidth="1"/>
    <col min="8035" max="8035" width="13" style="60" customWidth="1"/>
    <col min="8036" max="8036" width="12.375" style="60" customWidth="1"/>
    <col min="8037" max="8037" width="12.25" style="60" customWidth="1"/>
    <col min="8038" max="8038" width="12.125" style="60" customWidth="1"/>
    <col min="8039" max="8039" width="11.625" style="60" customWidth="1"/>
    <col min="8040" max="8040" width="12" style="60" customWidth="1"/>
    <col min="8041" max="8041" width="13" style="60" customWidth="1"/>
    <col min="8042" max="8042" width="11.625" style="60" customWidth="1"/>
    <col min="8043" max="8044" width="12" style="60" customWidth="1"/>
    <col min="8045" max="8047" width="11.625" style="60" customWidth="1"/>
    <col min="8048" max="8048" width="11.125" style="60" customWidth="1"/>
    <col min="8049" max="8049" width="12" style="60" customWidth="1"/>
    <col min="8050" max="8050" width="13" style="60" customWidth="1"/>
    <col min="8051" max="8051" width="13.625" style="60" customWidth="1"/>
    <col min="8052" max="8052" width="11.875" style="60" customWidth="1"/>
    <col min="8053" max="8054" width="11.625" style="60" customWidth="1"/>
    <col min="8055" max="8055" width="12" style="60" customWidth="1"/>
    <col min="8056" max="8056" width="12.75" style="60" customWidth="1"/>
    <col min="8057" max="8057" width="11.625" style="60" customWidth="1"/>
    <col min="8058" max="8058" width="12.125" style="60" customWidth="1"/>
    <col min="8059" max="8060" width="11.625" style="60" customWidth="1"/>
    <col min="8061" max="8061" width="12.5" style="60" customWidth="1"/>
    <col min="8062" max="8236" width="11.625" style="60" customWidth="1"/>
    <col min="8237" max="8237" width="17.75" style="60" customWidth="1"/>
    <col min="8238" max="8239" width="9" style="60" customWidth="1"/>
    <col min="8240" max="8240" width="16.25" style="60" customWidth="1"/>
    <col min="8241" max="8241" width="24" style="60" customWidth="1"/>
    <col min="8242" max="8242" width="9" style="60"/>
    <col min="8243" max="8243" width="11.75" style="60" customWidth="1"/>
    <col min="8244" max="8244" width="8.875" style="60" customWidth="1"/>
    <col min="8245" max="8245" width="17.375" style="60" customWidth="1"/>
    <col min="8246" max="8246" width="13.25" style="60" customWidth="1"/>
    <col min="8247" max="8247" width="25.75" style="60" customWidth="1"/>
    <col min="8248" max="8248" width="11.125" style="60" customWidth="1"/>
    <col min="8249" max="8249" width="10.75" style="60" customWidth="1"/>
    <col min="8250" max="8250" width="9" style="60" customWidth="1"/>
    <col min="8251" max="8251" width="9.75" style="60" customWidth="1"/>
    <col min="8252" max="8252" width="7.5" style="60" customWidth="1"/>
    <col min="8253" max="8253" width="13.25" style="60" customWidth="1"/>
    <col min="8254" max="8254" width="11.75" style="60" customWidth="1"/>
    <col min="8255" max="8255" width="8.875" style="60" customWidth="1"/>
    <col min="8256" max="8256" width="9.625" style="60" customWidth="1"/>
    <col min="8257" max="8258" width="11.875" style="60" customWidth="1"/>
    <col min="8259" max="8259" width="11.5" style="60" customWidth="1"/>
    <col min="8260" max="8275" width="12.25" style="60" customWidth="1"/>
    <col min="8276" max="8276" width="13" style="60" customWidth="1"/>
    <col min="8277" max="8281" width="12.375" style="60" customWidth="1"/>
    <col min="8282" max="8282" width="13" style="60" customWidth="1"/>
    <col min="8283" max="8284" width="12.375" style="60" customWidth="1"/>
    <col min="8285" max="8285" width="13" style="60" customWidth="1"/>
    <col min="8286" max="8286" width="13.125" style="60" customWidth="1"/>
    <col min="8287" max="8287" width="13" style="60" customWidth="1"/>
    <col min="8288" max="8288" width="13.125" style="60" customWidth="1"/>
    <col min="8289" max="8290" width="12.375" style="60" customWidth="1"/>
    <col min="8291" max="8291" width="13" style="60" customWidth="1"/>
    <col min="8292" max="8292" width="12.375" style="60" customWidth="1"/>
    <col min="8293" max="8293" width="12.25" style="60" customWidth="1"/>
    <col min="8294" max="8294" width="12.125" style="60" customWidth="1"/>
    <col min="8295" max="8295" width="11.625" style="60" customWidth="1"/>
    <col min="8296" max="8296" width="12" style="60" customWidth="1"/>
    <col min="8297" max="8297" width="13" style="60" customWidth="1"/>
    <col min="8298" max="8298" width="11.625" style="60" customWidth="1"/>
    <col min="8299" max="8300" width="12" style="60" customWidth="1"/>
    <col min="8301" max="8303" width="11.625" style="60" customWidth="1"/>
    <col min="8304" max="8304" width="11.125" style="60" customWidth="1"/>
    <col min="8305" max="8305" width="12" style="60" customWidth="1"/>
    <col min="8306" max="8306" width="13" style="60" customWidth="1"/>
    <col min="8307" max="8307" width="13.625" style="60" customWidth="1"/>
    <col min="8308" max="8308" width="11.875" style="60" customWidth="1"/>
    <col min="8309" max="8310" width="11.625" style="60" customWidth="1"/>
    <col min="8311" max="8311" width="12" style="60" customWidth="1"/>
    <col min="8312" max="8312" width="12.75" style="60" customWidth="1"/>
    <col min="8313" max="8313" width="11.625" style="60" customWidth="1"/>
    <col min="8314" max="8314" width="12.125" style="60" customWidth="1"/>
    <col min="8315" max="8316" width="11.625" style="60" customWidth="1"/>
    <col min="8317" max="8317" width="12.5" style="60" customWidth="1"/>
    <col min="8318" max="8492" width="11.625" style="60" customWidth="1"/>
    <col min="8493" max="8493" width="17.75" style="60" customWidth="1"/>
    <col min="8494" max="8495" width="9" style="60" customWidth="1"/>
    <col min="8496" max="8496" width="16.25" style="60" customWidth="1"/>
    <col min="8497" max="8497" width="24" style="60" customWidth="1"/>
    <col min="8498" max="8498" width="9" style="60"/>
    <col min="8499" max="8499" width="11.75" style="60" customWidth="1"/>
    <col min="8500" max="8500" width="8.875" style="60" customWidth="1"/>
    <col min="8501" max="8501" width="17.375" style="60" customWidth="1"/>
    <col min="8502" max="8502" width="13.25" style="60" customWidth="1"/>
    <col min="8503" max="8503" width="25.75" style="60" customWidth="1"/>
    <col min="8504" max="8504" width="11.125" style="60" customWidth="1"/>
    <col min="8505" max="8505" width="10.75" style="60" customWidth="1"/>
    <col min="8506" max="8506" width="9" style="60" customWidth="1"/>
    <col min="8507" max="8507" width="9.75" style="60" customWidth="1"/>
    <col min="8508" max="8508" width="7.5" style="60" customWidth="1"/>
    <col min="8509" max="8509" width="13.25" style="60" customWidth="1"/>
    <col min="8510" max="8510" width="11.75" style="60" customWidth="1"/>
    <col min="8511" max="8511" width="8.875" style="60" customWidth="1"/>
    <col min="8512" max="8512" width="9.625" style="60" customWidth="1"/>
    <col min="8513" max="8514" width="11.875" style="60" customWidth="1"/>
    <col min="8515" max="8515" width="11.5" style="60" customWidth="1"/>
    <col min="8516" max="8531" width="12.25" style="60" customWidth="1"/>
    <col min="8532" max="8532" width="13" style="60" customWidth="1"/>
    <col min="8533" max="8537" width="12.375" style="60" customWidth="1"/>
    <col min="8538" max="8538" width="13" style="60" customWidth="1"/>
    <col min="8539" max="8540" width="12.375" style="60" customWidth="1"/>
    <col min="8541" max="8541" width="13" style="60" customWidth="1"/>
    <col min="8542" max="8542" width="13.125" style="60" customWidth="1"/>
    <col min="8543" max="8543" width="13" style="60" customWidth="1"/>
    <col min="8544" max="8544" width="13.125" style="60" customWidth="1"/>
    <col min="8545" max="8546" width="12.375" style="60" customWidth="1"/>
    <col min="8547" max="8547" width="13" style="60" customWidth="1"/>
    <col min="8548" max="8548" width="12.375" style="60" customWidth="1"/>
    <col min="8549" max="8549" width="12.25" style="60" customWidth="1"/>
    <col min="8550" max="8550" width="12.125" style="60" customWidth="1"/>
    <col min="8551" max="8551" width="11.625" style="60" customWidth="1"/>
    <col min="8552" max="8552" width="12" style="60" customWidth="1"/>
    <col min="8553" max="8553" width="13" style="60" customWidth="1"/>
    <col min="8554" max="8554" width="11.625" style="60" customWidth="1"/>
    <col min="8555" max="8556" width="12" style="60" customWidth="1"/>
    <col min="8557" max="8559" width="11.625" style="60" customWidth="1"/>
    <col min="8560" max="8560" width="11.125" style="60" customWidth="1"/>
    <col min="8561" max="8561" width="12" style="60" customWidth="1"/>
    <col min="8562" max="8562" width="13" style="60" customWidth="1"/>
    <col min="8563" max="8563" width="13.625" style="60" customWidth="1"/>
    <col min="8564" max="8564" width="11.875" style="60" customWidth="1"/>
    <col min="8565" max="8566" width="11.625" style="60" customWidth="1"/>
    <col min="8567" max="8567" width="12" style="60" customWidth="1"/>
    <col min="8568" max="8568" width="12.75" style="60" customWidth="1"/>
    <col min="8569" max="8569" width="11.625" style="60" customWidth="1"/>
    <col min="8570" max="8570" width="12.125" style="60" customWidth="1"/>
    <col min="8571" max="8572" width="11.625" style="60" customWidth="1"/>
    <col min="8573" max="8573" width="12.5" style="60" customWidth="1"/>
    <col min="8574" max="8748" width="11.625" style="60" customWidth="1"/>
    <col min="8749" max="8749" width="17.75" style="60" customWidth="1"/>
    <col min="8750" max="8751" width="9" style="60" customWidth="1"/>
    <col min="8752" max="8752" width="16.25" style="60" customWidth="1"/>
    <col min="8753" max="8753" width="24" style="60" customWidth="1"/>
    <col min="8754" max="8754" width="9" style="60"/>
    <col min="8755" max="8755" width="11.75" style="60" customWidth="1"/>
    <col min="8756" max="8756" width="8.875" style="60" customWidth="1"/>
    <col min="8757" max="8757" width="17.375" style="60" customWidth="1"/>
    <col min="8758" max="8758" width="13.25" style="60" customWidth="1"/>
    <col min="8759" max="8759" width="25.75" style="60" customWidth="1"/>
    <col min="8760" max="8760" width="11.125" style="60" customWidth="1"/>
    <col min="8761" max="8761" width="10.75" style="60" customWidth="1"/>
    <col min="8762" max="8762" width="9" style="60" customWidth="1"/>
    <col min="8763" max="8763" width="9.75" style="60" customWidth="1"/>
    <col min="8764" max="8764" width="7.5" style="60" customWidth="1"/>
    <col min="8765" max="8765" width="13.25" style="60" customWidth="1"/>
    <col min="8766" max="8766" width="11.75" style="60" customWidth="1"/>
    <col min="8767" max="8767" width="8.875" style="60" customWidth="1"/>
    <col min="8768" max="8768" width="9.625" style="60" customWidth="1"/>
    <col min="8769" max="8770" width="11.875" style="60" customWidth="1"/>
    <col min="8771" max="8771" width="11.5" style="60" customWidth="1"/>
    <col min="8772" max="8787" width="12.25" style="60" customWidth="1"/>
    <col min="8788" max="8788" width="13" style="60" customWidth="1"/>
    <col min="8789" max="8793" width="12.375" style="60" customWidth="1"/>
    <col min="8794" max="8794" width="13" style="60" customWidth="1"/>
    <col min="8795" max="8796" width="12.375" style="60" customWidth="1"/>
    <col min="8797" max="8797" width="13" style="60" customWidth="1"/>
    <col min="8798" max="8798" width="13.125" style="60" customWidth="1"/>
    <col min="8799" max="8799" width="13" style="60" customWidth="1"/>
    <col min="8800" max="8800" width="13.125" style="60" customWidth="1"/>
    <col min="8801" max="8802" width="12.375" style="60" customWidth="1"/>
    <col min="8803" max="8803" width="13" style="60" customWidth="1"/>
    <col min="8804" max="8804" width="12.375" style="60" customWidth="1"/>
    <col min="8805" max="8805" width="12.25" style="60" customWidth="1"/>
    <col min="8806" max="8806" width="12.125" style="60" customWidth="1"/>
    <col min="8807" max="8807" width="11.625" style="60" customWidth="1"/>
    <col min="8808" max="8808" width="12" style="60" customWidth="1"/>
    <col min="8809" max="8809" width="13" style="60" customWidth="1"/>
    <col min="8810" max="8810" width="11.625" style="60" customWidth="1"/>
    <col min="8811" max="8812" width="12" style="60" customWidth="1"/>
    <col min="8813" max="8815" width="11.625" style="60" customWidth="1"/>
    <col min="8816" max="8816" width="11.125" style="60" customWidth="1"/>
    <col min="8817" max="8817" width="12" style="60" customWidth="1"/>
    <col min="8818" max="8818" width="13" style="60" customWidth="1"/>
    <col min="8819" max="8819" width="13.625" style="60" customWidth="1"/>
    <col min="8820" max="8820" width="11.875" style="60" customWidth="1"/>
    <col min="8821" max="8822" width="11.625" style="60" customWidth="1"/>
    <col min="8823" max="8823" width="12" style="60" customWidth="1"/>
    <col min="8824" max="8824" width="12.75" style="60" customWidth="1"/>
    <col min="8825" max="8825" width="11.625" style="60" customWidth="1"/>
    <col min="8826" max="8826" width="12.125" style="60" customWidth="1"/>
    <col min="8827" max="8828" width="11.625" style="60" customWidth="1"/>
    <col min="8829" max="8829" width="12.5" style="60" customWidth="1"/>
    <col min="8830" max="9004" width="11.625" style="60" customWidth="1"/>
    <col min="9005" max="9005" width="17.75" style="60" customWidth="1"/>
    <col min="9006" max="9007" width="9" style="60" customWidth="1"/>
    <col min="9008" max="9008" width="16.25" style="60" customWidth="1"/>
    <col min="9009" max="9009" width="24" style="60" customWidth="1"/>
    <col min="9010" max="9010" width="9" style="60"/>
    <col min="9011" max="9011" width="11.75" style="60" customWidth="1"/>
    <col min="9012" max="9012" width="8.875" style="60" customWidth="1"/>
    <col min="9013" max="9013" width="17.375" style="60" customWidth="1"/>
    <col min="9014" max="9014" width="13.25" style="60" customWidth="1"/>
    <col min="9015" max="9015" width="25.75" style="60" customWidth="1"/>
    <col min="9016" max="9016" width="11.125" style="60" customWidth="1"/>
    <col min="9017" max="9017" width="10.75" style="60" customWidth="1"/>
    <col min="9018" max="9018" width="9" style="60" customWidth="1"/>
    <col min="9019" max="9019" width="9.75" style="60" customWidth="1"/>
    <col min="9020" max="9020" width="7.5" style="60" customWidth="1"/>
    <col min="9021" max="9021" width="13.25" style="60" customWidth="1"/>
    <col min="9022" max="9022" width="11.75" style="60" customWidth="1"/>
    <col min="9023" max="9023" width="8.875" style="60" customWidth="1"/>
    <col min="9024" max="9024" width="9.625" style="60" customWidth="1"/>
    <col min="9025" max="9026" width="11.875" style="60" customWidth="1"/>
    <col min="9027" max="9027" width="11.5" style="60" customWidth="1"/>
    <col min="9028" max="9043" width="12.25" style="60" customWidth="1"/>
    <col min="9044" max="9044" width="13" style="60" customWidth="1"/>
    <col min="9045" max="9049" width="12.375" style="60" customWidth="1"/>
    <col min="9050" max="9050" width="13" style="60" customWidth="1"/>
    <col min="9051" max="9052" width="12.375" style="60" customWidth="1"/>
    <col min="9053" max="9053" width="13" style="60" customWidth="1"/>
    <col min="9054" max="9054" width="13.125" style="60" customWidth="1"/>
    <col min="9055" max="9055" width="13" style="60" customWidth="1"/>
    <col min="9056" max="9056" width="13.125" style="60" customWidth="1"/>
    <col min="9057" max="9058" width="12.375" style="60" customWidth="1"/>
    <col min="9059" max="9059" width="13" style="60" customWidth="1"/>
    <col min="9060" max="9060" width="12.375" style="60" customWidth="1"/>
    <col min="9061" max="9061" width="12.25" style="60" customWidth="1"/>
    <col min="9062" max="9062" width="12.125" style="60" customWidth="1"/>
    <col min="9063" max="9063" width="11.625" style="60" customWidth="1"/>
    <col min="9064" max="9064" width="12" style="60" customWidth="1"/>
    <col min="9065" max="9065" width="13" style="60" customWidth="1"/>
    <col min="9066" max="9066" width="11.625" style="60" customWidth="1"/>
    <col min="9067" max="9068" width="12" style="60" customWidth="1"/>
    <col min="9069" max="9071" width="11.625" style="60" customWidth="1"/>
    <col min="9072" max="9072" width="11.125" style="60" customWidth="1"/>
    <col min="9073" max="9073" width="12" style="60" customWidth="1"/>
    <col min="9074" max="9074" width="13" style="60" customWidth="1"/>
    <col min="9075" max="9075" width="13.625" style="60" customWidth="1"/>
    <col min="9076" max="9076" width="11.875" style="60" customWidth="1"/>
    <col min="9077" max="9078" width="11.625" style="60" customWidth="1"/>
    <col min="9079" max="9079" width="12" style="60" customWidth="1"/>
    <col min="9080" max="9080" width="12.75" style="60" customWidth="1"/>
    <col min="9081" max="9081" width="11.625" style="60" customWidth="1"/>
    <col min="9082" max="9082" width="12.125" style="60" customWidth="1"/>
    <col min="9083" max="9084" width="11.625" style="60" customWidth="1"/>
    <col min="9085" max="9085" width="12.5" style="60" customWidth="1"/>
    <col min="9086" max="9260" width="11.625" style="60" customWidth="1"/>
    <col min="9261" max="9261" width="17.75" style="60" customWidth="1"/>
    <col min="9262" max="9263" width="9" style="60" customWidth="1"/>
    <col min="9264" max="9264" width="16.25" style="60" customWidth="1"/>
    <col min="9265" max="9265" width="24" style="60" customWidth="1"/>
    <col min="9266" max="9266" width="9" style="60"/>
    <col min="9267" max="9267" width="11.75" style="60" customWidth="1"/>
    <col min="9268" max="9268" width="8.875" style="60" customWidth="1"/>
    <col min="9269" max="9269" width="17.375" style="60" customWidth="1"/>
    <col min="9270" max="9270" width="13.25" style="60" customWidth="1"/>
    <col min="9271" max="9271" width="25.75" style="60" customWidth="1"/>
    <col min="9272" max="9272" width="11.125" style="60" customWidth="1"/>
    <col min="9273" max="9273" width="10.75" style="60" customWidth="1"/>
    <col min="9274" max="9274" width="9" style="60" customWidth="1"/>
    <col min="9275" max="9275" width="9.75" style="60" customWidth="1"/>
    <col min="9276" max="9276" width="7.5" style="60" customWidth="1"/>
    <col min="9277" max="9277" width="13.25" style="60" customWidth="1"/>
    <col min="9278" max="9278" width="11.75" style="60" customWidth="1"/>
    <col min="9279" max="9279" width="8.875" style="60" customWidth="1"/>
    <col min="9280" max="9280" width="9.625" style="60" customWidth="1"/>
    <col min="9281" max="9282" width="11.875" style="60" customWidth="1"/>
    <col min="9283" max="9283" width="11.5" style="60" customWidth="1"/>
    <col min="9284" max="9299" width="12.25" style="60" customWidth="1"/>
    <col min="9300" max="9300" width="13" style="60" customWidth="1"/>
    <col min="9301" max="9305" width="12.375" style="60" customWidth="1"/>
    <col min="9306" max="9306" width="13" style="60" customWidth="1"/>
    <col min="9307" max="9308" width="12.375" style="60" customWidth="1"/>
    <col min="9309" max="9309" width="13" style="60" customWidth="1"/>
    <col min="9310" max="9310" width="13.125" style="60" customWidth="1"/>
    <col min="9311" max="9311" width="13" style="60" customWidth="1"/>
    <col min="9312" max="9312" width="13.125" style="60" customWidth="1"/>
    <col min="9313" max="9314" width="12.375" style="60" customWidth="1"/>
    <col min="9315" max="9315" width="13" style="60" customWidth="1"/>
    <col min="9316" max="9316" width="12.375" style="60" customWidth="1"/>
    <col min="9317" max="9317" width="12.25" style="60" customWidth="1"/>
    <col min="9318" max="9318" width="12.125" style="60" customWidth="1"/>
    <col min="9319" max="9319" width="11.625" style="60" customWidth="1"/>
    <col min="9320" max="9320" width="12" style="60" customWidth="1"/>
    <col min="9321" max="9321" width="13" style="60" customWidth="1"/>
    <col min="9322" max="9322" width="11.625" style="60" customWidth="1"/>
    <col min="9323" max="9324" width="12" style="60" customWidth="1"/>
    <col min="9325" max="9327" width="11.625" style="60" customWidth="1"/>
    <col min="9328" max="9328" width="11.125" style="60" customWidth="1"/>
    <col min="9329" max="9329" width="12" style="60" customWidth="1"/>
    <col min="9330" max="9330" width="13" style="60" customWidth="1"/>
    <col min="9331" max="9331" width="13.625" style="60" customWidth="1"/>
    <col min="9332" max="9332" width="11.875" style="60" customWidth="1"/>
    <col min="9333" max="9334" width="11.625" style="60" customWidth="1"/>
    <col min="9335" max="9335" width="12" style="60" customWidth="1"/>
    <col min="9336" max="9336" width="12.75" style="60" customWidth="1"/>
    <col min="9337" max="9337" width="11.625" style="60" customWidth="1"/>
    <col min="9338" max="9338" width="12.125" style="60" customWidth="1"/>
    <col min="9339" max="9340" width="11.625" style="60" customWidth="1"/>
    <col min="9341" max="9341" width="12.5" style="60" customWidth="1"/>
    <col min="9342" max="9516" width="11.625" style="60" customWidth="1"/>
    <col min="9517" max="9517" width="17.75" style="60" customWidth="1"/>
    <col min="9518" max="9519" width="9" style="60" customWidth="1"/>
    <col min="9520" max="9520" width="16.25" style="60" customWidth="1"/>
    <col min="9521" max="9521" width="24" style="60" customWidth="1"/>
    <col min="9522" max="9522" width="9" style="60"/>
    <col min="9523" max="9523" width="11.75" style="60" customWidth="1"/>
    <col min="9524" max="9524" width="8.875" style="60" customWidth="1"/>
    <col min="9525" max="9525" width="17.375" style="60" customWidth="1"/>
    <col min="9526" max="9526" width="13.25" style="60" customWidth="1"/>
    <col min="9527" max="9527" width="25.75" style="60" customWidth="1"/>
    <col min="9528" max="9528" width="11.125" style="60" customWidth="1"/>
    <col min="9529" max="9529" width="10.75" style="60" customWidth="1"/>
    <col min="9530" max="9530" width="9" style="60" customWidth="1"/>
    <col min="9531" max="9531" width="9.75" style="60" customWidth="1"/>
    <col min="9532" max="9532" width="7.5" style="60" customWidth="1"/>
    <col min="9533" max="9533" width="13.25" style="60" customWidth="1"/>
    <col min="9534" max="9534" width="11.75" style="60" customWidth="1"/>
    <col min="9535" max="9535" width="8.875" style="60" customWidth="1"/>
    <col min="9536" max="9536" width="9.625" style="60" customWidth="1"/>
    <col min="9537" max="9538" width="11.875" style="60" customWidth="1"/>
    <col min="9539" max="9539" width="11.5" style="60" customWidth="1"/>
    <col min="9540" max="9555" width="12.25" style="60" customWidth="1"/>
    <col min="9556" max="9556" width="13" style="60" customWidth="1"/>
    <col min="9557" max="9561" width="12.375" style="60" customWidth="1"/>
    <col min="9562" max="9562" width="13" style="60" customWidth="1"/>
    <col min="9563" max="9564" width="12.375" style="60" customWidth="1"/>
    <col min="9565" max="9565" width="13" style="60" customWidth="1"/>
    <col min="9566" max="9566" width="13.125" style="60" customWidth="1"/>
    <col min="9567" max="9567" width="13" style="60" customWidth="1"/>
    <col min="9568" max="9568" width="13.125" style="60" customWidth="1"/>
    <col min="9569" max="9570" width="12.375" style="60" customWidth="1"/>
    <col min="9571" max="9571" width="13" style="60" customWidth="1"/>
    <col min="9572" max="9572" width="12.375" style="60" customWidth="1"/>
    <col min="9573" max="9573" width="12.25" style="60" customWidth="1"/>
    <col min="9574" max="9574" width="12.125" style="60" customWidth="1"/>
    <col min="9575" max="9575" width="11.625" style="60" customWidth="1"/>
    <col min="9576" max="9576" width="12" style="60" customWidth="1"/>
    <col min="9577" max="9577" width="13" style="60" customWidth="1"/>
    <col min="9578" max="9578" width="11.625" style="60" customWidth="1"/>
    <col min="9579" max="9580" width="12" style="60" customWidth="1"/>
    <col min="9581" max="9583" width="11.625" style="60" customWidth="1"/>
    <col min="9584" max="9584" width="11.125" style="60" customWidth="1"/>
    <col min="9585" max="9585" width="12" style="60" customWidth="1"/>
    <col min="9586" max="9586" width="13" style="60" customWidth="1"/>
    <col min="9587" max="9587" width="13.625" style="60" customWidth="1"/>
    <col min="9588" max="9588" width="11.875" style="60" customWidth="1"/>
    <col min="9589" max="9590" width="11.625" style="60" customWidth="1"/>
    <col min="9591" max="9591" width="12" style="60" customWidth="1"/>
    <col min="9592" max="9592" width="12.75" style="60" customWidth="1"/>
    <col min="9593" max="9593" width="11.625" style="60" customWidth="1"/>
    <col min="9594" max="9594" width="12.125" style="60" customWidth="1"/>
    <col min="9595" max="9596" width="11.625" style="60" customWidth="1"/>
    <col min="9597" max="9597" width="12.5" style="60" customWidth="1"/>
    <col min="9598" max="9772" width="11.625" style="60" customWidth="1"/>
    <col min="9773" max="9773" width="17.75" style="60" customWidth="1"/>
    <col min="9774" max="9775" width="9" style="60" customWidth="1"/>
    <col min="9776" max="9776" width="16.25" style="60" customWidth="1"/>
    <col min="9777" max="9777" width="24" style="60" customWidth="1"/>
    <col min="9778" max="9778" width="9" style="60"/>
    <col min="9779" max="9779" width="11.75" style="60" customWidth="1"/>
    <col min="9780" max="9780" width="8.875" style="60" customWidth="1"/>
    <col min="9781" max="9781" width="17.375" style="60" customWidth="1"/>
    <col min="9782" max="9782" width="13.25" style="60" customWidth="1"/>
    <col min="9783" max="9783" width="25.75" style="60" customWidth="1"/>
    <col min="9784" max="9784" width="11.125" style="60" customWidth="1"/>
    <col min="9785" max="9785" width="10.75" style="60" customWidth="1"/>
    <col min="9786" max="9786" width="9" style="60" customWidth="1"/>
    <col min="9787" max="9787" width="9.75" style="60" customWidth="1"/>
    <col min="9788" max="9788" width="7.5" style="60" customWidth="1"/>
    <col min="9789" max="9789" width="13.25" style="60" customWidth="1"/>
    <col min="9790" max="9790" width="11.75" style="60" customWidth="1"/>
    <col min="9791" max="9791" width="8.875" style="60" customWidth="1"/>
    <col min="9792" max="9792" width="9.625" style="60" customWidth="1"/>
    <col min="9793" max="9794" width="11.875" style="60" customWidth="1"/>
    <col min="9795" max="9795" width="11.5" style="60" customWidth="1"/>
    <col min="9796" max="9811" width="12.25" style="60" customWidth="1"/>
    <col min="9812" max="9812" width="13" style="60" customWidth="1"/>
    <col min="9813" max="9817" width="12.375" style="60" customWidth="1"/>
    <col min="9818" max="9818" width="13" style="60" customWidth="1"/>
    <col min="9819" max="9820" width="12.375" style="60" customWidth="1"/>
    <col min="9821" max="9821" width="13" style="60" customWidth="1"/>
    <col min="9822" max="9822" width="13.125" style="60" customWidth="1"/>
    <col min="9823" max="9823" width="13" style="60" customWidth="1"/>
    <col min="9824" max="9824" width="13.125" style="60" customWidth="1"/>
    <col min="9825" max="9826" width="12.375" style="60" customWidth="1"/>
    <col min="9827" max="9827" width="13" style="60" customWidth="1"/>
    <col min="9828" max="9828" width="12.375" style="60" customWidth="1"/>
    <col min="9829" max="9829" width="12.25" style="60" customWidth="1"/>
    <col min="9830" max="9830" width="12.125" style="60" customWidth="1"/>
    <col min="9831" max="9831" width="11.625" style="60" customWidth="1"/>
    <col min="9832" max="9832" width="12" style="60" customWidth="1"/>
    <col min="9833" max="9833" width="13" style="60" customWidth="1"/>
    <col min="9834" max="9834" width="11.625" style="60" customWidth="1"/>
    <col min="9835" max="9836" width="12" style="60" customWidth="1"/>
    <col min="9837" max="9839" width="11.625" style="60" customWidth="1"/>
    <col min="9840" max="9840" width="11.125" style="60" customWidth="1"/>
    <col min="9841" max="9841" width="12" style="60" customWidth="1"/>
    <col min="9842" max="9842" width="13" style="60" customWidth="1"/>
    <col min="9843" max="9843" width="13.625" style="60" customWidth="1"/>
    <col min="9844" max="9844" width="11.875" style="60" customWidth="1"/>
    <col min="9845" max="9846" width="11.625" style="60" customWidth="1"/>
    <col min="9847" max="9847" width="12" style="60" customWidth="1"/>
    <col min="9848" max="9848" width="12.75" style="60" customWidth="1"/>
    <col min="9849" max="9849" width="11.625" style="60" customWidth="1"/>
    <col min="9850" max="9850" width="12.125" style="60" customWidth="1"/>
    <col min="9851" max="9852" width="11.625" style="60" customWidth="1"/>
    <col min="9853" max="9853" width="12.5" style="60" customWidth="1"/>
    <col min="9854" max="10028" width="11.625" style="60" customWidth="1"/>
    <col min="10029" max="10029" width="17.75" style="60" customWidth="1"/>
    <col min="10030" max="10031" width="9" style="60" customWidth="1"/>
    <col min="10032" max="10032" width="16.25" style="60" customWidth="1"/>
    <col min="10033" max="10033" width="24" style="60" customWidth="1"/>
    <col min="10034" max="10034" width="9" style="60"/>
    <col min="10035" max="10035" width="11.75" style="60" customWidth="1"/>
    <col min="10036" max="10036" width="8.875" style="60" customWidth="1"/>
    <col min="10037" max="10037" width="17.375" style="60" customWidth="1"/>
    <col min="10038" max="10038" width="13.25" style="60" customWidth="1"/>
    <col min="10039" max="10039" width="25.75" style="60" customWidth="1"/>
    <col min="10040" max="10040" width="11.125" style="60" customWidth="1"/>
    <col min="10041" max="10041" width="10.75" style="60" customWidth="1"/>
    <col min="10042" max="10042" width="9" style="60" customWidth="1"/>
    <col min="10043" max="10043" width="9.75" style="60" customWidth="1"/>
    <col min="10044" max="10044" width="7.5" style="60" customWidth="1"/>
    <col min="10045" max="10045" width="13.25" style="60" customWidth="1"/>
    <col min="10046" max="10046" width="11.75" style="60" customWidth="1"/>
    <col min="10047" max="10047" width="8.875" style="60" customWidth="1"/>
    <col min="10048" max="10048" width="9.625" style="60" customWidth="1"/>
    <col min="10049" max="10050" width="11.875" style="60" customWidth="1"/>
    <col min="10051" max="10051" width="11.5" style="60" customWidth="1"/>
    <col min="10052" max="10067" width="12.25" style="60" customWidth="1"/>
    <col min="10068" max="10068" width="13" style="60" customWidth="1"/>
    <col min="10069" max="10073" width="12.375" style="60" customWidth="1"/>
    <col min="10074" max="10074" width="13" style="60" customWidth="1"/>
    <col min="10075" max="10076" width="12.375" style="60" customWidth="1"/>
    <col min="10077" max="10077" width="13" style="60" customWidth="1"/>
    <col min="10078" max="10078" width="13.125" style="60" customWidth="1"/>
    <col min="10079" max="10079" width="13" style="60" customWidth="1"/>
    <col min="10080" max="10080" width="13.125" style="60" customWidth="1"/>
    <col min="10081" max="10082" width="12.375" style="60" customWidth="1"/>
    <col min="10083" max="10083" width="13" style="60" customWidth="1"/>
    <col min="10084" max="10084" width="12.375" style="60" customWidth="1"/>
    <col min="10085" max="10085" width="12.25" style="60" customWidth="1"/>
    <col min="10086" max="10086" width="12.125" style="60" customWidth="1"/>
    <col min="10087" max="10087" width="11.625" style="60" customWidth="1"/>
    <col min="10088" max="10088" width="12" style="60" customWidth="1"/>
    <col min="10089" max="10089" width="13" style="60" customWidth="1"/>
    <col min="10090" max="10090" width="11.625" style="60" customWidth="1"/>
    <col min="10091" max="10092" width="12" style="60" customWidth="1"/>
    <col min="10093" max="10095" width="11.625" style="60" customWidth="1"/>
    <col min="10096" max="10096" width="11.125" style="60" customWidth="1"/>
    <col min="10097" max="10097" width="12" style="60" customWidth="1"/>
    <col min="10098" max="10098" width="13" style="60" customWidth="1"/>
    <col min="10099" max="10099" width="13.625" style="60" customWidth="1"/>
    <col min="10100" max="10100" width="11.875" style="60" customWidth="1"/>
    <col min="10101" max="10102" width="11.625" style="60" customWidth="1"/>
    <col min="10103" max="10103" width="12" style="60" customWidth="1"/>
    <col min="10104" max="10104" width="12.75" style="60" customWidth="1"/>
    <col min="10105" max="10105" width="11.625" style="60" customWidth="1"/>
    <col min="10106" max="10106" width="12.125" style="60" customWidth="1"/>
    <col min="10107" max="10108" width="11.625" style="60" customWidth="1"/>
    <col min="10109" max="10109" width="12.5" style="60" customWidth="1"/>
    <col min="10110" max="10284" width="11.625" style="60" customWidth="1"/>
    <col min="10285" max="10285" width="17.75" style="60" customWidth="1"/>
    <col min="10286" max="10287" width="9" style="60" customWidth="1"/>
    <col min="10288" max="10288" width="16.25" style="60" customWidth="1"/>
    <col min="10289" max="10289" width="24" style="60" customWidth="1"/>
    <col min="10290" max="10290" width="9" style="60"/>
    <col min="10291" max="10291" width="11.75" style="60" customWidth="1"/>
    <col min="10292" max="10292" width="8.875" style="60" customWidth="1"/>
    <col min="10293" max="10293" width="17.375" style="60" customWidth="1"/>
    <col min="10294" max="10294" width="13.25" style="60" customWidth="1"/>
    <col min="10295" max="10295" width="25.75" style="60" customWidth="1"/>
    <col min="10296" max="10296" width="11.125" style="60" customWidth="1"/>
    <col min="10297" max="10297" width="10.75" style="60" customWidth="1"/>
    <col min="10298" max="10298" width="9" style="60" customWidth="1"/>
    <col min="10299" max="10299" width="9.75" style="60" customWidth="1"/>
    <col min="10300" max="10300" width="7.5" style="60" customWidth="1"/>
    <col min="10301" max="10301" width="13.25" style="60" customWidth="1"/>
    <col min="10302" max="10302" width="11.75" style="60" customWidth="1"/>
    <col min="10303" max="10303" width="8.875" style="60" customWidth="1"/>
    <col min="10304" max="10304" width="9.625" style="60" customWidth="1"/>
    <col min="10305" max="10306" width="11.875" style="60" customWidth="1"/>
    <col min="10307" max="10307" width="11.5" style="60" customWidth="1"/>
    <col min="10308" max="10323" width="12.25" style="60" customWidth="1"/>
    <col min="10324" max="10324" width="13" style="60" customWidth="1"/>
    <col min="10325" max="10329" width="12.375" style="60" customWidth="1"/>
    <col min="10330" max="10330" width="13" style="60" customWidth="1"/>
    <col min="10331" max="10332" width="12.375" style="60" customWidth="1"/>
    <col min="10333" max="10333" width="13" style="60" customWidth="1"/>
    <col min="10334" max="10334" width="13.125" style="60" customWidth="1"/>
    <col min="10335" max="10335" width="13" style="60" customWidth="1"/>
    <col min="10336" max="10336" width="13.125" style="60" customWidth="1"/>
    <col min="10337" max="10338" width="12.375" style="60" customWidth="1"/>
    <col min="10339" max="10339" width="13" style="60" customWidth="1"/>
    <col min="10340" max="10340" width="12.375" style="60" customWidth="1"/>
    <col min="10341" max="10341" width="12.25" style="60" customWidth="1"/>
    <col min="10342" max="10342" width="12.125" style="60" customWidth="1"/>
    <col min="10343" max="10343" width="11.625" style="60" customWidth="1"/>
    <col min="10344" max="10344" width="12" style="60" customWidth="1"/>
    <col min="10345" max="10345" width="13" style="60" customWidth="1"/>
    <col min="10346" max="10346" width="11.625" style="60" customWidth="1"/>
    <col min="10347" max="10348" width="12" style="60" customWidth="1"/>
    <col min="10349" max="10351" width="11.625" style="60" customWidth="1"/>
    <col min="10352" max="10352" width="11.125" style="60" customWidth="1"/>
    <col min="10353" max="10353" width="12" style="60" customWidth="1"/>
    <col min="10354" max="10354" width="13" style="60" customWidth="1"/>
    <col min="10355" max="10355" width="13.625" style="60" customWidth="1"/>
    <col min="10356" max="10356" width="11.875" style="60" customWidth="1"/>
    <col min="10357" max="10358" width="11.625" style="60" customWidth="1"/>
    <col min="10359" max="10359" width="12" style="60" customWidth="1"/>
    <col min="10360" max="10360" width="12.75" style="60" customWidth="1"/>
    <col min="10361" max="10361" width="11.625" style="60" customWidth="1"/>
    <col min="10362" max="10362" width="12.125" style="60" customWidth="1"/>
    <col min="10363" max="10364" width="11.625" style="60" customWidth="1"/>
    <col min="10365" max="10365" width="12.5" style="60" customWidth="1"/>
    <col min="10366" max="10540" width="11.625" style="60" customWidth="1"/>
    <col min="10541" max="10541" width="17.75" style="60" customWidth="1"/>
    <col min="10542" max="10543" width="9" style="60" customWidth="1"/>
    <col min="10544" max="10544" width="16.25" style="60" customWidth="1"/>
    <col min="10545" max="10545" width="24" style="60" customWidth="1"/>
    <col min="10546" max="10546" width="9" style="60"/>
    <col min="10547" max="10547" width="11.75" style="60" customWidth="1"/>
    <col min="10548" max="10548" width="8.875" style="60" customWidth="1"/>
    <col min="10549" max="10549" width="17.375" style="60" customWidth="1"/>
    <col min="10550" max="10550" width="13.25" style="60" customWidth="1"/>
    <col min="10551" max="10551" width="25.75" style="60" customWidth="1"/>
    <col min="10552" max="10552" width="11.125" style="60" customWidth="1"/>
    <col min="10553" max="10553" width="10.75" style="60" customWidth="1"/>
    <col min="10554" max="10554" width="9" style="60" customWidth="1"/>
    <col min="10555" max="10555" width="9.75" style="60" customWidth="1"/>
    <col min="10556" max="10556" width="7.5" style="60" customWidth="1"/>
    <col min="10557" max="10557" width="13.25" style="60" customWidth="1"/>
    <col min="10558" max="10558" width="11.75" style="60" customWidth="1"/>
    <col min="10559" max="10559" width="8.875" style="60" customWidth="1"/>
    <col min="10560" max="10560" width="9.625" style="60" customWidth="1"/>
    <col min="10561" max="10562" width="11.875" style="60" customWidth="1"/>
    <col min="10563" max="10563" width="11.5" style="60" customWidth="1"/>
    <col min="10564" max="10579" width="12.25" style="60" customWidth="1"/>
    <col min="10580" max="10580" width="13" style="60" customWidth="1"/>
    <col min="10581" max="10585" width="12.375" style="60" customWidth="1"/>
    <col min="10586" max="10586" width="13" style="60" customWidth="1"/>
    <col min="10587" max="10588" width="12.375" style="60" customWidth="1"/>
    <col min="10589" max="10589" width="13" style="60" customWidth="1"/>
    <col min="10590" max="10590" width="13.125" style="60" customWidth="1"/>
    <col min="10591" max="10591" width="13" style="60" customWidth="1"/>
    <col min="10592" max="10592" width="13.125" style="60" customWidth="1"/>
    <col min="10593" max="10594" width="12.375" style="60" customWidth="1"/>
    <col min="10595" max="10595" width="13" style="60" customWidth="1"/>
    <col min="10596" max="10596" width="12.375" style="60" customWidth="1"/>
    <col min="10597" max="10597" width="12.25" style="60" customWidth="1"/>
    <col min="10598" max="10598" width="12.125" style="60" customWidth="1"/>
    <col min="10599" max="10599" width="11.625" style="60" customWidth="1"/>
    <col min="10600" max="10600" width="12" style="60" customWidth="1"/>
    <col min="10601" max="10601" width="13" style="60" customWidth="1"/>
    <col min="10602" max="10602" width="11.625" style="60" customWidth="1"/>
    <col min="10603" max="10604" width="12" style="60" customWidth="1"/>
    <col min="10605" max="10607" width="11.625" style="60" customWidth="1"/>
    <col min="10608" max="10608" width="11.125" style="60" customWidth="1"/>
    <col min="10609" max="10609" width="12" style="60" customWidth="1"/>
    <col min="10610" max="10610" width="13" style="60" customWidth="1"/>
    <col min="10611" max="10611" width="13.625" style="60" customWidth="1"/>
    <col min="10612" max="10612" width="11.875" style="60" customWidth="1"/>
    <col min="10613" max="10614" width="11.625" style="60" customWidth="1"/>
    <col min="10615" max="10615" width="12" style="60" customWidth="1"/>
    <col min="10616" max="10616" width="12.75" style="60" customWidth="1"/>
    <col min="10617" max="10617" width="11.625" style="60" customWidth="1"/>
    <col min="10618" max="10618" width="12.125" style="60" customWidth="1"/>
    <col min="10619" max="10620" width="11.625" style="60" customWidth="1"/>
    <col min="10621" max="10621" width="12.5" style="60" customWidth="1"/>
    <col min="10622" max="10796" width="11.625" style="60" customWidth="1"/>
    <col min="10797" max="10797" width="17.75" style="60" customWidth="1"/>
    <col min="10798" max="10799" width="9" style="60" customWidth="1"/>
    <col min="10800" max="10800" width="16.25" style="60" customWidth="1"/>
    <col min="10801" max="10801" width="24" style="60" customWidth="1"/>
    <col min="10802" max="10802" width="9" style="60"/>
    <col min="10803" max="10803" width="11.75" style="60" customWidth="1"/>
    <col min="10804" max="10804" width="8.875" style="60" customWidth="1"/>
    <col min="10805" max="10805" width="17.375" style="60" customWidth="1"/>
    <col min="10806" max="10806" width="13.25" style="60" customWidth="1"/>
    <col min="10807" max="10807" width="25.75" style="60" customWidth="1"/>
    <col min="10808" max="10808" width="11.125" style="60" customWidth="1"/>
    <col min="10809" max="10809" width="10.75" style="60" customWidth="1"/>
    <col min="10810" max="10810" width="9" style="60" customWidth="1"/>
    <col min="10811" max="10811" width="9.75" style="60" customWidth="1"/>
    <col min="10812" max="10812" width="7.5" style="60" customWidth="1"/>
    <col min="10813" max="10813" width="13.25" style="60" customWidth="1"/>
    <col min="10814" max="10814" width="11.75" style="60" customWidth="1"/>
    <col min="10815" max="10815" width="8.875" style="60" customWidth="1"/>
    <col min="10816" max="10816" width="9.625" style="60" customWidth="1"/>
    <col min="10817" max="10818" width="11.875" style="60" customWidth="1"/>
    <col min="10819" max="10819" width="11.5" style="60" customWidth="1"/>
    <col min="10820" max="10835" width="12.25" style="60" customWidth="1"/>
    <col min="10836" max="10836" width="13" style="60" customWidth="1"/>
    <col min="10837" max="10841" width="12.375" style="60" customWidth="1"/>
    <col min="10842" max="10842" width="13" style="60" customWidth="1"/>
    <col min="10843" max="10844" width="12.375" style="60" customWidth="1"/>
    <col min="10845" max="10845" width="13" style="60" customWidth="1"/>
    <col min="10846" max="10846" width="13.125" style="60" customWidth="1"/>
    <col min="10847" max="10847" width="13" style="60" customWidth="1"/>
    <col min="10848" max="10848" width="13.125" style="60" customWidth="1"/>
    <col min="10849" max="10850" width="12.375" style="60" customWidth="1"/>
    <col min="10851" max="10851" width="13" style="60" customWidth="1"/>
    <col min="10852" max="10852" width="12.375" style="60" customWidth="1"/>
    <col min="10853" max="10853" width="12.25" style="60" customWidth="1"/>
    <col min="10854" max="10854" width="12.125" style="60" customWidth="1"/>
    <col min="10855" max="10855" width="11.625" style="60" customWidth="1"/>
    <col min="10856" max="10856" width="12" style="60" customWidth="1"/>
    <col min="10857" max="10857" width="13" style="60" customWidth="1"/>
    <col min="10858" max="10858" width="11.625" style="60" customWidth="1"/>
    <col min="10859" max="10860" width="12" style="60" customWidth="1"/>
    <col min="10861" max="10863" width="11.625" style="60" customWidth="1"/>
    <col min="10864" max="10864" width="11.125" style="60" customWidth="1"/>
    <col min="10865" max="10865" width="12" style="60" customWidth="1"/>
    <col min="10866" max="10866" width="13" style="60" customWidth="1"/>
    <col min="10867" max="10867" width="13.625" style="60" customWidth="1"/>
    <col min="10868" max="10868" width="11.875" style="60" customWidth="1"/>
    <col min="10869" max="10870" width="11.625" style="60" customWidth="1"/>
    <col min="10871" max="10871" width="12" style="60" customWidth="1"/>
    <col min="10872" max="10872" width="12.75" style="60" customWidth="1"/>
    <col min="10873" max="10873" width="11.625" style="60" customWidth="1"/>
    <col min="10874" max="10874" width="12.125" style="60" customWidth="1"/>
    <col min="10875" max="10876" width="11.625" style="60" customWidth="1"/>
    <col min="10877" max="10877" width="12.5" style="60" customWidth="1"/>
    <col min="10878" max="11052" width="11.625" style="60" customWidth="1"/>
    <col min="11053" max="11053" width="17.75" style="60" customWidth="1"/>
    <col min="11054" max="11055" width="9" style="60" customWidth="1"/>
    <col min="11056" max="11056" width="16.25" style="60" customWidth="1"/>
    <col min="11057" max="11057" width="24" style="60" customWidth="1"/>
    <col min="11058" max="11058" width="9" style="60"/>
    <col min="11059" max="11059" width="11.75" style="60" customWidth="1"/>
    <col min="11060" max="11060" width="8.875" style="60" customWidth="1"/>
    <col min="11061" max="11061" width="17.375" style="60" customWidth="1"/>
    <col min="11062" max="11062" width="13.25" style="60" customWidth="1"/>
    <col min="11063" max="11063" width="25.75" style="60" customWidth="1"/>
    <col min="11064" max="11064" width="11.125" style="60" customWidth="1"/>
    <col min="11065" max="11065" width="10.75" style="60" customWidth="1"/>
    <col min="11066" max="11066" width="9" style="60" customWidth="1"/>
    <col min="11067" max="11067" width="9.75" style="60" customWidth="1"/>
    <col min="11068" max="11068" width="7.5" style="60" customWidth="1"/>
    <col min="11069" max="11069" width="13.25" style="60" customWidth="1"/>
    <col min="11070" max="11070" width="11.75" style="60" customWidth="1"/>
    <col min="11071" max="11071" width="8.875" style="60" customWidth="1"/>
    <col min="11072" max="11072" width="9.625" style="60" customWidth="1"/>
    <col min="11073" max="11074" width="11.875" style="60" customWidth="1"/>
    <col min="11075" max="11075" width="11.5" style="60" customWidth="1"/>
    <col min="11076" max="11091" width="12.25" style="60" customWidth="1"/>
    <col min="11092" max="11092" width="13" style="60" customWidth="1"/>
    <col min="11093" max="11097" width="12.375" style="60" customWidth="1"/>
    <col min="11098" max="11098" width="13" style="60" customWidth="1"/>
    <col min="11099" max="11100" width="12.375" style="60" customWidth="1"/>
    <col min="11101" max="11101" width="13" style="60" customWidth="1"/>
    <col min="11102" max="11102" width="13.125" style="60" customWidth="1"/>
    <col min="11103" max="11103" width="13" style="60" customWidth="1"/>
    <col min="11104" max="11104" width="13.125" style="60" customWidth="1"/>
    <col min="11105" max="11106" width="12.375" style="60" customWidth="1"/>
    <col min="11107" max="11107" width="13" style="60" customWidth="1"/>
    <col min="11108" max="11108" width="12.375" style="60" customWidth="1"/>
    <col min="11109" max="11109" width="12.25" style="60" customWidth="1"/>
    <col min="11110" max="11110" width="12.125" style="60" customWidth="1"/>
    <col min="11111" max="11111" width="11.625" style="60" customWidth="1"/>
    <col min="11112" max="11112" width="12" style="60" customWidth="1"/>
    <col min="11113" max="11113" width="13" style="60" customWidth="1"/>
    <col min="11114" max="11114" width="11.625" style="60" customWidth="1"/>
    <col min="11115" max="11116" width="12" style="60" customWidth="1"/>
    <col min="11117" max="11119" width="11.625" style="60" customWidth="1"/>
    <col min="11120" max="11120" width="11.125" style="60" customWidth="1"/>
    <col min="11121" max="11121" width="12" style="60" customWidth="1"/>
    <col min="11122" max="11122" width="13" style="60" customWidth="1"/>
    <col min="11123" max="11123" width="13.625" style="60" customWidth="1"/>
    <col min="11124" max="11124" width="11.875" style="60" customWidth="1"/>
    <col min="11125" max="11126" width="11.625" style="60" customWidth="1"/>
    <col min="11127" max="11127" width="12" style="60" customWidth="1"/>
    <col min="11128" max="11128" width="12.75" style="60" customWidth="1"/>
    <col min="11129" max="11129" width="11.625" style="60" customWidth="1"/>
    <col min="11130" max="11130" width="12.125" style="60" customWidth="1"/>
    <col min="11131" max="11132" width="11.625" style="60" customWidth="1"/>
    <col min="11133" max="11133" width="12.5" style="60" customWidth="1"/>
    <col min="11134" max="11308" width="11.625" style="60" customWidth="1"/>
    <col min="11309" max="11309" width="17.75" style="60" customWidth="1"/>
    <col min="11310" max="11311" width="9" style="60" customWidth="1"/>
    <col min="11312" max="11312" width="16.25" style="60" customWidth="1"/>
    <col min="11313" max="11313" width="24" style="60" customWidth="1"/>
    <col min="11314" max="11314" width="9" style="60"/>
    <col min="11315" max="11315" width="11.75" style="60" customWidth="1"/>
    <col min="11316" max="11316" width="8.875" style="60" customWidth="1"/>
    <col min="11317" max="11317" width="17.375" style="60" customWidth="1"/>
    <col min="11318" max="11318" width="13.25" style="60" customWidth="1"/>
    <col min="11319" max="11319" width="25.75" style="60" customWidth="1"/>
    <col min="11320" max="11320" width="11.125" style="60" customWidth="1"/>
    <col min="11321" max="11321" width="10.75" style="60" customWidth="1"/>
    <col min="11322" max="11322" width="9" style="60" customWidth="1"/>
    <col min="11323" max="11323" width="9.75" style="60" customWidth="1"/>
    <col min="11324" max="11324" width="7.5" style="60" customWidth="1"/>
    <col min="11325" max="11325" width="13.25" style="60" customWidth="1"/>
    <col min="11326" max="11326" width="11.75" style="60" customWidth="1"/>
    <col min="11327" max="11327" width="8.875" style="60" customWidth="1"/>
    <col min="11328" max="11328" width="9.625" style="60" customWidth="1"/>
    <col min="11329" max="11330" width="11.875" style="60" customWidth="1"/>
    <col min="11331" max="11331" width="11.5" style="60" customWidth="1"/>
    <col min="11332" max="11347" width="12.25" style="60" customWidth="1"/>
    <col min="11348" max="11348" width="13" style="60" customWidth="1"/>
    <col min="11349" max="11353" width="12.375" style="60" customWidth="1"/>
    <col min="11354" max="11354" width="13" style="60" customWidth="1"/>
    <col min="11355" max="11356" width="12.375" style="60" customWidth="1"/>
    <col min="11357" max="11357" width="13" style="60" customWidth="1"/>
    <col min="11358" max="11358" width="13.125" style="60" customWidth="1"/>
    <col min="11359" max="11359" width="13" style="60" customWidth="1"/>
    <col min="11360" max="11360" width="13.125" style="60" customWidth="1"/>
    <col min="11361" max="11362" width="12.375" style="60" customWidth="1"/>
    <col min="11363" max="11363" width="13" style="60" customWidth="1"/>
    <col min="11364" max="11364" width="12.375" style="60" customWidth="1"/>
    <col min="11365" max="11365" width="12.25" style="60" customWidth="1"/>
    <col min="11366" max="11366" width="12.125" style="60" customWidth="1"/>
    <col min="11367" max="11367" width="11.625" style="60" customWidth="1"/>
    <col min="11368" max="11368" width="12" style="60" customWidth="1"/>
    <col min="11369" max="11369" width="13" style="60" customWidth="1"/>
    <col min="11370" max="11370" width="11.625" style="60" customWidth="1"/>
    <col min="11371" max="11372" width="12" style="60" customWidth="1"/>
    <col min="11373" max="11375" width="11.625" style="60" customWidth="1"/>
    <col min="11376" max="11376" width="11.125" style="60" customWidth="1"/>
    <col min="11377" max="11377" width="12" style="60" customWidth="1"/>
    <col min="11378" max="11378" width="13" style="60" customWidth="1"/>
    <col min="11379" max="11379" width="13.625" style="60" customWidth="1"/>
    <col min="11380" max="11380" width="11.875" style="60" customWidth="1"/>
    <col min="11381" max="11382" width="11.625" style="60" customWidth="1"/>
    <col min="11383" max="11383" width="12" style="60" customWidth="1"/>
    <col min="11384" max="11384" width="12.75" style="60" customWidth="1"/>
    <col min="11385" max="11385" width="11.625" style="60" customWidth="1"/>
    <col min="11386" max="11386" width="12.125" style="60" customWidth="1"/>
    <col min="11387" max="11388" width="11.625" style="60" customWidth="1"/>
    <col min="11389" max="11389" width="12.5" style="60" customWidth="1"/>
    <col min="11390" max="11564" width="11.625" style="60" customWidth="1"/>
    <col min="11565" max="11565" width="17.75" style="60" customWidth="1"/>
    <col min="11566" max="11567" width="9" style="60" customWidth="1"/>
    <col min="11568" max="11568" width="16.25" style="60" customWidth="1"/>
    <col min="11569" max="11569" width="24" style="60" customWidth="1"/>
    <col min="11570" max="11570" width="9" style="60"/>
    <col min="11571" max="11571" width="11.75" style="60" customWidth="1"/>
    <col min="11572" max="11572" width="8.875" style="60" customWidth="1"/>
    <col min="11573" max="11573" width="17.375" style="60" customWidth="1"/>
    <col min="11574" max="11574" width="13.25" style="60" customWidth="1"/>
    <col min="11575" max="11575" width="25.75" style="60" customWidth="1"/>
    <col min="11576" max="11576" width="11.125" style="60" customWidth="1"/>
    <col min="11577" max="11577" width="10.75" style="60" customWidth="1"/>
    <col min="11578" max="11578" width="9" style="60" customWidth="1"/>
    <col min="11579" max="11579" width="9.75" style="60" customWidth="1"/>
    <col min="11580" max="11580" width="7.5" style="60" customWidth="1"/>
    <col min="11581" max="11581" width="13.25" style="60" customWidth="1"/>
    <col min="11582" max="11582" width="11.75" style="60" customWidth="1"/>
    <col min="11583" max="11583" width="8.875" style="60" customWidth="1"/>
    <col min="11584" max="11584" width="9.625" style="60" customWidth="1"/>
    <col min="11585" max="11586" width="11.875" style="60" customWidth="1"/>
    <col min="11587" max="11587" width="11.5" style="60" customWidth="1"/>
    <col min="11588" max="11603" width="12.25" style="60" customWidth="1"/>
    <col min="11604" max="11604" width="13" style="60" customWidth="1"/>
    <col min="11605" max="11609" width="12.375" style="60" customWidth="1"/>
    <col min="11610" max="11610" width="13" style="60" customWidth="1"/>
    <col min="11611" max="11612" width="12.375" style="60" customWidth="1"/>
    <col min="11613" max="11613" width="13" style="60" customWidth="1"/>
    <col min="11614" max="11614" width="13.125" style="60" customWidth="1"/>
    <col min="11615" max="11615" width="13" style="60" customWidth="1"/>
    <col min="11616" max="11616" width="13.125" style="60" customWidth="1"/>
    <col min="11617" max="11618" width="12.375" style="60" customWidth="1"/>
    <col min="11619" max="11619" width="13" style="60" customWidth="1"/>
    <col min="11620" max="11620" width="12.375" style="60" customWidth="1"/>
    <col min="11621" max="11621" width="12.25" style="60" customWidth="1"/>
    <col min="11622" max="11622" width="12.125" style="60" customWidth="1"/>
    <col min="11623" max="11623" width="11.625" style="60" customWidth="1"/>
    <col min="11624" max="11624" width="12" style="60" customWidth="1"/>
    <col min="11625" max="11625" width="13" style="60" customWidth="1"/>
    <col min="11626" max="11626" width="11.625" style="60" customWidth="1"/>
    <col min="11627" max="11628" width="12" style="60" customWidth="1"/>
    <col min="11629" max="11631" width="11.625" style="60" customWidth="1"/>
    <col min="11632" max="11632" width="11.125" style="60" customWidth="1"/>
    <col min="11633" max="11633" width="12" style="60" customWidth="1"/>
    <col min="11634" max="11634" width="13" style="60" customWidth="1"/>
    <col min="11635" max="11635" width="13.625" style="60" customWidth="1"/>
    <col min="11636" max="11636" width="11.875" style="60" customWidth="1"/>
    <col min="11637" max="11638" width="11.625" style="60" customWidth="1"/>
    <col min="11639" max="11639" width="12" style="60" customWidth="1"/>
    <col min="11640" max="11640" width="12.75" style="60" customWidth="1"/>
    <col min="11641" max="11641" width="11.625" style="60" customWidth="1"/>
    <col min="11642" max="11642" width="12.125" style="60" customWidth="1"/>
    <col min="11643" max="11644" width="11.625" style="60" customWidth="1"/>
    <col min="11645" max="11645" width="12.5" style="60" customWidth="1"/>
    <col min="11646" max="11820" width="11.625" style="60" customWidth="1"/>
    <col min="11821" max="11821" width="17.75" style="60" customWidth="1"/>
    <col min="11822" max="11823" width="9" style="60" customWidth="1"/>
    <col min="11824" max="11824" width="16.25" style="60" customWidth="1"/>
    <col min="11825" max="11825" width="24" style="60" customWidth="1"/>
    <col min="11826" max="11826" width="9" style="60"/>
    <col min="11827" max="11827" width="11.75" style="60" customWidth="1"/>
    <col min="11828" max="11828" width="8.875" style="60" customWidth="1"/>
    <col min="11829" max="11829" width="17.375" style="60" customWidth="1"/>
    <col min="11830" max="11830" width="13.25" style="60" customWidth="1"/>
    <col min="11831" max="11831" width="25.75" style="60" customWidth="1"/>
    <col min="11832" max="11832" width="11.125" style="60" customWidth="1"/>
    <col min="11833" max="11833" width="10.75" style="60" customWidth="1"/>
    <col min="11834" max="11834" width="9" style="60" customWidth="1"/>
    <col min="11835" max="11835" width="9.75" style="60" customWidth="1"/>
    <col min="11836" max="11836" width="7.5" style="60" customWidth="1"/>
    <col min="11837" max="11837" width="13.25" style="60" customWidth="1"/>
    <col min="11838" max="11838" width="11.75" style="60" customWidth="1"/>
    <col min="11839" max="11839" width="8.875" style="60" customWidth="1"/>
    <col min="11840" max="11840" width="9.625" style="60" customWidth="1"/>
    <col min="11841" max="11842" width="11.875" style="60" customWidth="1"/>
    <col min="11843" max="11843" width="11.5" style="60" customWidth="1"/>
    <col min="11844" max="11859" width="12.25" style="60" customWidth="1"/>
    <col min="11860" max="11860" width="13" style="60" customWidth="1"/>
    <col min="11861" max="11865" width="12.375" style="60" customWidth="1"/>
    <col min="11866" max="11866" width="13" style="60" customWidth="1"/>
    <col min="11867" max="11868" width="12.375" style="60" customWidth="1"/>
    <col min="11869" max="11869" width="13" style="60" customWidth="1"/>
    <col min="11870" max="11870" width="13.125" style="60" customWidth="1"/>
    <col min="11871" max="11871" width="13" style="60" customWidth="1"/>
    <col min="11872" max="11872" width="13.125" style="60" customWidth="1"/>
    <col min="11873" max="11874" width="12.375" style="60" customWidth="1"/>
    <col min="11875" max="11875" width="13" style="60" customWidth="1"/>
    <col min="11876" max="11876" width="12.375" style="60" customWidth="1"/>
    <col min="11877" max="11877" width="12.25" style="60" customWidth="1"/>
    <col min="11878" max="11878" width="12.125" style="60" customWidth="1"/>
    <col min="11879" max="11879" width="11.625" style="60" customWidth="1"/>
    <col min="11880" max="11880" width="12" style="60" customWidth="1"/>
    <col min="11881" max="11881" width="13" style="60" customWidth="1"/>
    <col min="11882" max="11882" width="11.625" style="60" customWidth="1"/>
    <col min="11883" max="11884" width="12" style="60" customWidth="1"/>
    <col min="11885" max="11887" width="11.625" style="60" customWidth="1"/>
    <col min="11888" max="11888" width="11.125" style="60" customWidth="1"/>
    <col min="11889" max="11889" width="12" style="60" customWidth="1"/>
    <col min="11890" max="11890" width="13" style="60" customWidth="1"/>
    <col min="11891" max="11891" width="13.625" style="60" customWidth="1"/>
    <col min="11892" max="11892" width="11.875" style="60" customWidth="1"/>
    <col min="11893" max="11894" width="11.625" style="60" customWidth="1"/>
    <col min="11895" max="11895" width="12" style="60" customWidth="1"/>
    <col min="11896" max="11896" width="12.75" style="60" customWidth="1"/>
    <col min="11897" max="11897" width="11.625" style="60" customWidth="1"/>
    <col min="11898" max="11898" width="12.125" style="60" customWidth="1"/>
    <col min="11899" max="11900" width="11.625" style="60" customWidth="1"/>
    <col min="11901" max="11901" width="12.5" style="60" customWidth="1"/>
    <col min="11902" max="12076" width="11.625" style="60" customWidth="1"/>
    <col min="12077" max="12077" width="17.75" style="60" customWidth="1"/>
    <col min="12078" max="12079" width="9" style="60" customWidth="1"/>
    <col min="12080" max="12080" width="16.25" style="60" customWidth="1"/>
    <col min="12081" max="12081" width="24" style="60" customWidth="1"/>
    <col min="12082" max="12082" width="9" style="60"/>
    <col min="12083" max="12083" width="11.75" style="60" customWidth="1"/>
    <col min="12084" max="12084" width="8.875" style="60" customWidth="1"/>
    <col min="12085" max="12085" width="17.375" style="60" customWidth="1"/>
    <col min="12086" max="12086" width="13.25" style="60" customWidth="1"/>
    <col min="12087" max="12087" width="25.75" style="60" customWidth="1"/>
    <col min="12088" max="12088" width="11.125" style="60" customWidth="1"/>
    <col min="12089" max="12089" width="10.75" style="60" customWidth="1"/>
    <col min="12090" max="12090" width="9" style="60" customWidth="1"/>
    <col min="12091" max="12091" width="9.75" style="60" customWidth="1"/>
    <col min="12092" max="12092" width="7.5" style="60" customWidth="1"/>
    <col min="12093" max="12093" width="13.25" style="60" customWidth="1"/>
    <col min="12094" max="12094" width="11.75" style="60" customWidth="1"/>
    <col min="12095" max="12095" width="8.875" style="60" customWidth="1"/>
    <col min="12096" max="12096" width="9.625" style="60" customWidth="1"/>
    <col min="12097" max="12098" width="11.875" style="60" customWidth="1"/>
    <col min="12099" max="12099" width="11.5" style="60" customWidth="1"/>
    <col min="12100" max="12115" width="12.25" style="60" customWidth="1"/>
    <col min="12116" max="12116" width="13" style="60" customWidth="1"/>
    <col min="12117" max="12121" width="12.375" style="60" customWidth="1"/>
    <col min="12122" max="12122" width="13" style="60" customWidth="1"/>
    <col min="12123" max="12124" width="12.375" style="60" customWidth="1"/>
    <col min="12125" max="12125" width="13" style="60" customWidth="1"/>
    <col min="12126" max="12126" width="13.125" style="60" customWidth="1"/>
    <col min="12127" max="12127" width="13" style="60" customWidth="1"/>
    <col min="12128" max="12128" width="13.125" style="60" customWidth="1"/>
    <col min="12129" max="12130" width="12.375" style="60" customWidth="1"/>
    <col min="12131" max="12131" width="13" style="60" customWidth="1"/>
    <col min="12132" max="12132" width="12.375" style="60" customWidth="1"/>
    <col min="12133" max="12133" width="12.25" style="60" customWidth="1"/>
    <col min="12134" max="12134" width="12.125" style="60" customWidth="1"/>
    <col min="12135" max="12135" width="11.625" style="60" customWidth="1"/>
    <col min="12136" max="12136" width="12" style="60" customWidth="1"/>
    <col min="12137" max="12137" width="13" style="60" customWidth="1"/>
    <col min="12138" max="12138" width="11.625" style="60" customWidth="1"/>
    <col min="12139" max="12140" width="12" style="60" customWidth="1"/>
    <col min="12141" max="12143" width="11.625" style="60" customWidth="1"/>
    <col min="12144" max="12144" width="11.125" style="60" customWidth="1"/>
    <col min="12145" max="12145" width="12" style="60" customWidth="1"/>
    <col min="12146" max="12146" width="13" style="60" customWidth="1"/>
    <col min="12147" max="12147" width="13.625" style="60" customWidth="1"/>
    <col min="12148" max="12148" width="11.875" style="60" customWidth="1"/>
    <col min="12149" max="12150" width="11.625" style="60" customWidth="1"/>
    <col min="12151" max="12151" width="12" style="60" customWidth="1"/>
    <col min="12152" max="12152" width="12.75" style="60" customWidth="1"/>
    <col min="12153" max="12153" width="11.625" style="60" customWidth="1"/>
    <col min="12154" max="12154" width="12.125" style="60" customWidth="1"/>
    <col min="12155" max="12156" width="11.625" style="60" customWidth="1"/>
    <col min="12157" max="12157" width="12.5" style="60" customWidth="1"/>
    <col min="12158" max="12332" width="11.625" style="60" customWidth="1"/>
    <col min="12333" max="12333" width="17.75" style="60" customWidth="1"/>
    <col min="12334" max="12335" width="9" style="60" customWidth="1"/>
    <col min="12336" max="12336" width="16.25" style="60" customWidth="1"/>
    <col min="12337" max="12337" width="24" style="60" customWidth="1"/>
    <col min="12338" max="12338" width="9" style="60"/>
    <col min="12339" max="12339" width="11.75" style="60" customWidth="1"/>
    <col min="12340" max="12340" width="8.875" style="60" customWidth="1"/>
    <col min="12341" max="12341" width="17.375" style="60" customWidth="1"/>
    <col min="12342" max="12342" width="13.25" style="60" customWidth="1"/>
    <col min="12343" max="12343" width="25.75" style="60" customWidth="1"/>
    <col min="12344" max="12344" width="11.125" style="60" customWidth="1"/>
    <col min="12345" max="12345" width="10.75" style="60" customWidth="1"/>
    <col min="12346" max="12346" width="9" style="60" customWidth="1"/>
    <col min="12347" max="12347" width="9.75" style="60" customWidth="1"/>
    <col min="12348" max="12348" width="7.5" style="60" customWidth="1"/>
    <col min="12349" max="12349" width="13.25" style="60" customWidth="1"/>
    <col min="12350" max="12350" width="11.75" style="60" customWidth="1"/>
    <col min="12351" max="12351" width="8.875" style="60" customWidth="1"/>
    <col min="12352" max="12352" width="9.625" style="60" customWidth="1"/>
    <col min="12353" max="12354" width="11.875" style="60" customWidth="1"/>
    <col min="12355" max="12355" width="11.5" style="60" customWidth="1"/>
    <col min="12356" max="12371" width="12.25" style="60" customWidth="1"/>
    <col min="12372" max="12372" width="13" style="60" customWidth="1"/>
    <col min="12373" max="12377" width="12.375" style="60" customWidth="1"/>
    <col min="12378" max="12378" width="13" style="60" customWidth="1"/>
    <col min="12379" max="12380" width="12.375" style="60" customWidth="1"/>
    <col min="12381" max="12381" width="13" style="60" customWidth="1"/>
    <col min="12382" max="12382" width="13.125" style="60" customWidth="1"/>
    <col min="12383" max="12383" width="13" style="60" customWidth="1"/>
    <col min="12384" max="12384" width="13.125" style="60" customWidth="1"/>
    <col min="12385" max="12386" width="12.375" style="60" customWidth="1"/>
    <col min="12387" max="12387" width="13" style="60" customWidth="1"/>
    <col min="12388" max="12388" width="12.375" style="60" customWidth="1"/>
    <col min="12389" max="12389" width="12.25" style="60" customWidth="1"/>
    <col min="12390" max="12390" width="12.125" style="60" customWidth="1"/>
    <col min="12391" max="12391" width="11.625" style="60" customWidth="1"/>
    <col min="12392" max="12392" width="12" style="60" customWidth="1"/>
    <col min="12393" max="12393" width="13" style="60" customWidth="1"/>
    <col min="12394" max="12394" width="11.625" style="60" customWidth="1"/>
    <col min="12395" max="12396" width="12" style="60" customWidth="1"/>
    <col min="12397" max="12399" width="11.625" style="60" customWidth="1"/>
    <col min="12400" max="12400" width="11.125" style="60" customWidth="1"/>
    <col min="12401" max="12401" width="12" style="60" customWidth="1"/>
    <col min="12402" max="12402" width="13" style="60" customWidth="1"/>
    <col min="12403" max="12403" width="13.625" style="60" customWidth="1"/>
    <col min="12404" max="12404" width="11.875" style="60" customWidth="1"/>
    <col min="12405" max="12406" width="11.625" style="60" customWidth="1"/>
    <col min="12407" max="12407" width="12" style="60" customWidth="1"/>
    <col min="12408" max="12408" width="12.75" style="60" customWidth="1"/>
    <col min="12409" max="12409" width="11.625" style="60" customWidth="1"/>
    <col min="12410" max="12410" width="12.125" style="60" customWidth="1"/>
    <col min="12411" max="12412" width="11.625" style="60" customWidth="1"/>
    <col min="12413" max="12413" width="12.5" style="60" customWidth="1"/>
    <col min="12414" max="12588" width="11.625" style="60" customWidth="1"/>
    <col min="12589" max="12589" width="17.75" style="60" customWidth="1"/>
    <col min="12590" max="12591" width="9" style="60" customWidth="1"/>
    <col min="12592" max="12592" width="16.25" style="60" customWidth="1"/>
    <col min="12593" max="12593" width="24" style="60" customWidth="1"/>
    <col min="12594" max="12594" width="9" style="60"/>
    <col min="12595" max="12595" width="11.75" style="60" customWidth="1"/>
    <col min="12596" max="12596" width="8.875" style="60" customWidth="1"/>
    <col min="12597" max="12597" width="17.375" style="60" customWidth="1"/>
    <col min="12598" max="12598" width="13.25" style="60" customWidth="1"/>
    <col min="12599" max="12599" width="25.75" style="60" customWidth="1"/>
    <col min="12600" max="12600" width="11.125" style="60" customWidth="1"/>
    <col min="12601" max="12601" width="10.75" style="60" customWidth="1"/>
    <col min="12602" max="12602" width="9" style="60" customWidth="1"/>
    <col min="12603" max="12603" width="9.75" style="60" customWidth="1"/>
    <col min="12604" max="12604" width="7.5" style="60" customWidth="1"/>
    <col min="12605" max="12605" width="13.25" style="60" customWidth="1"/>
    <col min="12606" max="12606" width="11.75" style="60" customWidth="1"/>
    <col min="12607" max="12607" width="8.875" style="60" customWidth="1"/>
    <col min="12608" max="12608" width="9.625" style="60" customWidth="1"/>
    <col min="12609" max="12610" width="11.875" style="60" customWidth="1"/>
    <col min="12611" max="12611" width="11.5" style="60" customWidth="1"/>
    <col min="12612" max="12627" width="12.25" style="60" customWidth="1"/>
    <col min="12628" max="12628" width="13" style="60" customWidth="1"/>
    <col min="12629" max="12633" width="12.375" style="60" customWidth="1"/>
    <col min="12634" max="12634" width="13" style="60" customWidth="1"/>
    <col min="12635" max="12636" width="12.375" style="60" customWidth="1"/>
    <col min="12637" max="12637" width="13" style="60" customWidth="1"/>
    <col min="12638" max="12638" width="13.125" style="60" customWidth="1"/>
    <col min="12639" max="12639" width="13" style="60" customWidth="1"/>
    <col min="12640" max="12640" width="13.125" style="60" customWidth="1"/>
    <col min="12641" max="12642" width="12.375" style="60" customWidth="1"/>
    <col min="12643" max="12643" width="13" style="60" customWidth="1"/>
    <col min="12644" max="12644" width="12.375" style="60" customWidth="1"/>
    <col min="12645" max="12645" width="12.25" style="60" customWidth="1"/>
    <col min="12646" max="12646" width="12.125" style="60" customWidth="1"/>
    <col min="12647" max="12647" width="11.625" style="60" customWidth="1"/>
    <col min="12648" max="12648" width="12" style="60" customWidth="1"/>
    <col min="12649" max="12649" width="13" style="60" customWidth="1"/>
    <col min="12650" max="12650" width="11.625" style="60" customWidth="1"/>
    <col min="12651" max="12652" width="12" style="60" customWidth="1"/>
    <col min="12653" max="12655" width="11.625" style="60" customWidth="1"/>
    <col min="12656" max="12656" width="11.125" style="60" customWidth="1"/>
    <col min="12657" max="12657" width="12" style="60" customWidth="1"/>
    <col min="12658" max="12658" width="13" style="60" customWidth="1"/>
    <col min="12659" max="12659" width="13.625" style="60" customWidth="1"/>
    <col min="12660" max="12660" width="11.875" style="60" customWidth="1"/>
    <col min="12661" max="12662" width="11.625" style="60" customWidth="1"/>
    <col min="12663" max="12663" width="12" style="60" customWidth="1"/>
    <col min="12664" max="12664" width="12.75" style="60" customWidth="1"/>
    <col min="12665" max="12665" width="11.625" style="60" customWidth="1"/>
    <col min="12666" max="12666" width="12.125" style="60" customWidth="1"/>
    <col min="12667" max="12668" width="11.625" style="60" customWidth="1"/>
    <col min="12669" max="12669" width="12.5" style="60" customWidth="1"/>
    <col min="12670" max="12844" width="11.625" style="60" customWidth="1"/>
    <col min="12845" max="12845" width="17.75" style="60" customWidth="1"/>
    <col min="12846" max="12847" width="9" style="60" customWidth="1"/>
    <col min="12848" max="12848" width="16.25" style="60" customWidth="1"/>
    <col min="12849" max="12849" width="24" style="60" customWidth="1"/>
    <col min="12850" max="12850" width="9" style="60"/>
    <col min="12851" max="12851" width="11.75" style="60" customWidth="1"/>
    <col min="12852" max="12852" width="8.875" style="60" customWidth="1"/>
    <col min="12853" max="12853" width="17.375" style="60" customWidth="1"/>
    <col min="12854" max="12854" width="13.25" style="60" customWidth="1"/>
    <col min="12855" max="12855" width="25.75" style="60" customWidth="1"/>
    <col min="12856" max="12856" width="11.125" style="60" customWidth="1"/>
    <col min="12857" max="12857" width="10.75" style="60" customWidth="1"/>
    <col min="12858" max="12858" width="9" style="60" customWidth="1"/>
    <col min="12859" max="12859" width="9.75" style="60" customWidth="1"/>
    <col min="12860" max="12860" width="7.5" style="60" customWidth="1"/>
    <col min="12861" max="12861" width="13.25" style="60" customWidth="1"/>
    <col min="12862" max="12862" width="11.75" style="60" customWidth="1"/>
    <col min="12863" max="12863" width="8.875" style="60" customWidth="1"/>
    <col min="12864" max="12864" width="9.625" style="60" customWidth="1"/>
    <col min="12865" max="12866" width="11.875" style="60" customWidth="1"/>
    <col min="12867" max="12867" width="11.5" style="60" customWidth="1"/>
    <col min="12868" max="12883" width="12.25" style="60" customWidth="1"/>
    <col min="12884" max="12884" width="13" style="60" customWidth="1"/>
    <col min="12885" max="12889" width="12.375" style="60" customWidth="1"/>
    <col min="12890" max="12890" width="13" style="60" customWidth="1"/>
    <col min="12891" max="12892" width="12.375" style="60" customWidth="1"/>
    <col min="12893" max="12893" width="13" style="60" customWidth="1"/>
    <col min="12894" max="12894" width="13.125" style="60" customWidth="1"/>
    <col min="12895" max="12895" width="13" style="60" customWidth="1"/>
    <col min="12896" max="12896" width="13.125" style="60" customWidth="1"/>
    <col min="12897" max="12898" width="12.375" style="60" customWidth="1"/>
    <col min="12899" max="12899" width="13" style="60" customWidth="1"/>
    <col min="12900" max="12900" width="12.375" style="60" customWidth="1"/>
    <col min="12901" max="12901" width="12.25" style="60" customWidth="1"/>
    <col min="12902" max="12902" width="12.125" style="60" customWidth="1"/>
    <col min="12903" max="12903" width="11.625" style="60" customWidth="1"/>
    <col min="12904" max="12904" width="12" style="60" customWidth="1"/>
    <col min="12905" max="12905" width="13" style="60" customWidth="1"/>
    <col min="12906" max="12906" width="11.625" style="60" customWidth="1"/>
    <col min="12907" max="12908" width="12" style="60" customWidth="1"/>
    <col min="12909" max="12911" width="11.625" style="60" customWidth="1"/>
    <col min="12912" max="12912" width="11.125" style="60" customWidth="1"/>
    <col min="12913" max="12913" width="12" style="60" customWidth="1"/>
    <col min="12914" max="12914" width="13" style="60" customWidth="1"/>
    <col min="12915" max="12915" width="13.625" style="60" customWidth="1"/>
    <col min="12916" max="12916" width="11.875" style="60" customWidth="1"/>
    <col min="12917" max="12918" width="11.625" style="60" customWidth="1"/>
    <col min="12919" max="12919" width="12" style="60" customWidth="1"/>
    <col min="12920" max="12920" width="12.75" style="60" customWidth="1"/>
    <col min="12921" max="12921" width="11.625" style="60" customWidth="1"/>
    <col min="12922" max="12922" width="12.125" style="60" customWidth="1"/>
    <col min="12923" max="12924" width="11.625" style="60" customWidth="1"/>
    <col min="12925" max="12925" width="12.5" style="60" customWidth="1"/>
    <col min="12926" max="13100" width="11.625" style="60" customWidth="1"/>
    <col min="13101" max="13101" width="17.75" style="60" customWidth="1"/>
    <col min="13102" max="13103" width="9" style="60" customWidth="1"/>
    <col min="13104" max="13104" width="16.25" style="60" customWidth="1"/>
    <col min="13105" max="13105" width="24" style="60" customWidth="1"/>
    <col min="13106" max="13106" width="9" style="60"/>
    <col min="13107" max="13107" width="11.75" style="60" customWidth="1"/>
    <col min="13108" max="13108" width="8.875" style="60" customWidth="1"/>
    <col min="13109" max="13109" width="17.375" style="60" customWidth="1"/>
    <col min="13110" max="13110" width="13.25" style="60" customWidth="1"/>
    <col min="13111" max="13111" width="25.75" style="60" customWidth="1"/>
    <col min="13112" max="13112" width="11.125" style="60" customWidth="1"/>
    <col min="13113" max="13113" width="10.75" style="60" customWidth="1"/>
    <col min="13114" max="13114" width="9" style="60" customWidth="1"/>
    <col min="13115" max="13115" width="9.75" style="60" customWidth="1"/>
    <col min="13116" max="13116" width="7.5" style="60" customWidth="1"/>
    <col min="13117" max="13117" width="13.25" style="60" customWidth="1"/>
    <col min="13118" max="13118" width="11.75" style="60" customWidth="1"/>
    <col min="13119" max="13119" width="8.875" style="60" customWidth="1"/>
    <col min="13120" max="13120" width="9.625" style="60" customWidth="1"/>
    <col min="13121" max="13122" width="11.875" style="60" customWidth="1"/>
    <col min="13123" max="13123" width="11.5" style="60" customWidth="1"/>
    <col min="13124" max="13139" width="12.25" style="60" customWidth="1"/>
    <col min="13140" max="13140" width="13" style="60" customWidth="1"/>
    <col min="13141" max="13145" width="12.375" style="60" customWidth="1"/>
    <col min="13146" max="13146" width="13" style="60" customWidth="1"/>
    <col min="13147" max="13148" width="12.375" style="60" customWidth="1"/>
    <col min="13149" max="13149" width="13" style="60" customWidth="1"/>
    <col min="13150" max="13150" width="13.125" style="60" customWidth="1"/>
    <col min="13151" max="13151" width="13" style="60" customWidth="1"/>
    <col min="13152" max="13152" width="13.125" style="60" customWidth="1"/>
    <col min="13153" max="13154" width="12.375" style="60" customWidth="1"/>
    <col min="13155" max="13155" width="13" style="60" customWidth="1"/>
    <col min="13156" max="13156" width="12.375" style="60" customWidth="1"/>
    <col min="13157" max="13157" width="12.25" style="60" customWidth="1"/>
    <col min="13158" max="13158" width="12.125" style="60" customWidth="1"/>
    <col min="13159" max="13159" width="11.625" style="60" customWidth="1"/>
    <col min="13160" max="13160" width="12" style="60" customWidth="1"/>
    <col min="13161" max="13161" width="13" style="60" customWidth="1"/>
    <col min="13162" max="13162" width="11.625" style="60" customWidth="1"/>
    <col min="13163" max="13164" width="12" style="60" customWidth="1"/>
    <col min="13165" max="13167" width="11.625" style="60" customWidth="1"/>
    <col min="13168" max="13168" width="11.125" style="60" customWidth="1"/>
    <col min="13169" max="13169" width="12" style="60" customWidth="1"/>
    <col min="13170" max="13170" width="13" style="60" customWidth="1"/>
    <col min="13171" max="13171" width="13.625" style="60" customWidth="1"/>
    <col min="13172" max="13172" width="11.875" style="60" customWidth="1"/>
    <col min="13173" max="13174" width="11.625" style="60" customWidth="1"/>
    <col min="13175" max="13175" width="12" style="60" customWidth="1"/>
    <col min="13176" max="13176" width="12.75" style="60" customWidth="1"/>
    <col min="13177" max="13177" width="11.625" style="60" customWidth="1"/>
    <col min="13178" max="13178" width="12.125" style="60" customWidth="1"/>
    <col min="13179" max="13180" width="11.625" style="60" customWidth="1"/>
    <col min="13181" max="13181" width="12.5" style="60" customWidth="1"/>
    <col min="13182" max="13356" width="11.625" style="60" customWidth="1"/>
    <col min="13357" max="13357" width="17.75" style="60" customWidth="1"/>
    <col min="13358" max="13359" width="9" style="60" customWidth="1"/>
    <col min="13360" max="13360" width="16.25" style="60" customWidth="1"/>
    <col min="13361" max="13361" width="24" style="60" customWidth="1"/>
    <col min="13362" max="13362" width="9" style="60"/>
    <col min="13363" max="13363" width="11.75" style="60" customWidth="1"/>
    <col min="13364" max="13364" width="8.875" style="60" customWidth="1"/>
    <col min="13365" max="13365" width="17.375" style="60" customWidth="1"/>
    <col min="13366" max="13366" width="13.25" style="60" customWidth="1"/>
    <col min="13367" max="13367" width="25.75" style="60" customWidth="1"/>
    <col min="13368" max="13368" width="11.125" style="60" customWidth="1"/>
    <col min="13369" max="13369" width="10.75" style="60" customWidth="1"/>
    <col min="13370" max="13370" width="9" style="60" customWidth="1"/>
    <col min="13371" max="13371" width="9.75" style="60" customWidth="1"/>
    <col min="13372" max="13372" width="7.5" style="60" customWidth="1"/>
    <col min="13373" max="13373" width="13.25" style="60" customWidth="1"/>
    <col min="13374" max="13374" width="11.75" style="60" customWidth="1"/>
    <col min="13375" max="13375" width="8.875" style="60" customWidth="1"/>
    <col min="13376" max="13376" width="9.625" style="60" customWidth="1"/>
    <col min="13377" max="13378" width="11.875" style="60" customWidth="1"/>
    <col min="13379" max="13379" width="11.5" style="60" customWidth="1"/>
    <col min="13380" max="13395" width="12.25" style="60" customWidth="1"/>
    <col min="13396" max="13396" width="13" style="60" customWidth="1"/>
    <col min="13397" max="13401" width="12.375" style="60" customWidth="1"/>
    <col min="13402" max="13402" width="13" style="60" customWidth="1"/>
    <col min="13403" max="13404" width="12.375" style="60" customWidth="1"/>
    <col min="13405" max="13405" width="13" style="60" customWidth="1"/>
    <col min="13406" max="13406" width="13.125" style="60" customWidth="1"/>
    <col min="13407" max="13407" width="13" style="60" customWidth="1"/>
    <col min="13408" max="13408" width="13.125" style="60" customWidth="1"/>
    <col min="13409" max="13410" width="12.375" style="60" customWidth="1"/>
    <col min="13411" max="13411" width="13" style="60" customWidth="1"/>
    <col min="13412" max="13412" width="12.375" style="60" customWidth="1"/>
    <col min="13413" max="13413" width="12.25" style="60" customWidth="1"/>
    <col min="13414" max="13414" width="12.125" style="60" customWidth="1"/>
    <col min="13415" max="13415" width="11.625" style="60" customWidth="1"/>
    <col min="13416" max="13416" width="12" style="60" customWidth="1"/>
    <col min="13417" max="13417" width="13" style="60" customWidth="1"/>
    <col min="13418" max="13418" width="11.625" style="60" customWidth="1"/>
    <col min="13419" max="13420" width="12" style="60" customWidth="1"/>
    <col min="13421" max="13423" width="11.625" style="60" customWidth="1"/>
    <col min="13424" max="13424" width="11.125" style="60" customWidth="1"/>
    <col min="13425" max="13425" width="12" style="60" customWidth="1"/>
    <col min="13426" max="13426" width="13" style="60" customWidth="1"/>
    <col min="13427" max="13427" width="13.625" style="60" customWidth="1"/>
    <col min="13428" max="13428" width="11.875" style="60" customWidth="1"/>
    <col min="13429" max="13430" width="11.625" style="60" customWidth="1"/>
    <col min="13431" max="13431" width="12" style="60" customWidth="1"/>
    <col min="13432" max="13432" width="12.75" style="60" customWidth="1"/>
    <col min="13433" max="13433" width="11.625" style="60" customWidth="1"/>
    <col min="13434" max="13434" width="12.125" style="60" customWidth="1"/>
    <col min="13435" max="13436" width="11.625" style="60" customWidth="1"/>
    <col min="13437" max="13437" width="12.5" style="60" customWidth="1"/>
    <col min="13438" max="13612" width="11.625" style="60" customWidth="1"/>
    <col min="13613" max="13613" width="17.75" style="60" customWidth="1"/>
    <col min="13614" max="13615" width="9" style="60" customWidth="1"/>
    <col min="13616" max="13616" width="16.25" style="60" customWidth="1"/>
    <col min="13617" max="13617" width="24" style="60" customWidth="1"/>
    <col min="13618" max="13618" width="9" style="60"/>
    <col min="13619" max="13619" width="11.75" style="60" customWidth="1"/>
    <col min="13620" max="13620" width="8.875" style="60" customWidth="1"/>
    <col min="13621" max="13621" width="17.375" style="60" customWidth="1"/>
    <col min="13622" max="13622" width="13.25" style="60" customWidth="1"/>
    <col min="13623" max="13623" width="25.75" style="60" customWidth="1"/>
    <col min="13624" max="13624" width="11.125" style="60" customWidth="1"/>
    <col min="13625" max="13625" width="10.75" style="60" customWidth="1"/>
    <col min="13626" max="13626" width="9" style="60" customWidth="1"/>
    <col min="13627" max="13627" width="9.75" style="60" customWidth="1"/>
    <col min="13628" max="13628" width="7.5" style="60" customWidth="1"/>
    <col min="13629" max="13629" width="13.25" style="60" customWidth="1"/>
    <col min="13630" max="13630" width="11.75" style="60" customWidth="1"/>
    <col min="13631" max="13631" width="8.875" style="60" customWidth="1"/>
    <col min="13632" max="13632" width="9.625" style="60" customWidth="1"/>
    <col min="13633" max="13634" width="11.875" style="60" customWidth="1"/>
    <col min="13635" max="13635" width="11.5" style="60" customWidth="1"/>
    <col min="13636" max="13651" width="12.25" style="60" customWidth="1"/>
    <col min="13652" max="13652" width="13" style="60" customWidth="1"/>
    <col min="13653" max="13657" width="12.375" style="60" customWidth="1"/>
    <col min="13658" max="13658" width="13" style="60" customWidth="1"/>
    <col min="13659" max="13660" width="12.375" style="60" customWidth="1"/>
    <col min="13661" max="13661" width="13" style="60" customWidth="1"/>
    <col min="13662" max="13662" width="13.125" style="60" customWidth="1"/>
    <col min="13663" max="13663" width="13" style="60" customWidth="1"/>
    <col min="13664" max="13664" width="13.125" style="60" customWidth="1"/>
    <col min="13665" max="13666" width="12.375" style="60" customWidth="1"/>
    <col min="13667" max="13667" width="13" style="60" customWidth="1"/>
    <col min="13668" max="13668" width="12.375" style="60" customWidth="1"/>
    <col min="13669" max="13669" width="12.25" style="60" customWidth="1"/>
    <col min="13670" max="13670" width="12.125" style="60" customWidth="1"/>
    <col min="13671" max="13671" width="11.625" style="60" customWidth="1"/>
    <col min="13672" max="13672" width="12" style="60" customWidth="1"/>
    <col min="13673" max="13673" width="13" style="60" customWidth="1"/>
    <col min="13674" max="13674" width="11.625" style="60" customWidth="1"/>
    <col min="13675" max="13676" width="12" style="60" customWidth="1"/>
    <col min="13677" max="13679" width="11.625" style="60" customWidth="1"/>
    <col min="13680" max="13680" width="11.125" style="60" customWidth="1"/>
    <col min="13681" max="13681" width="12" style="60" customWidth="1"/>
    <col min="13682" max="13682" width="13" style="60" customWidth="1"/>
    <col min="13683" max="13683" width="13.625" style="60" customWidth="1"/>
    <col min="13684" max="13684" width="11.875" style="60" customWidth="1"/>
    <col min="13685" max="13686" width="11.625" style="60" customWidth="1"/>
    <col min="13687" max="13687" width="12" style="60" customWidth="1"/>
    <col min="13688" max="13688" width="12.75" style="60" customWidth="1"/>
    <col min="13689" max="13689" width="11.625" style="60" customWidth="1"/>
    <col min="13690" max="13690" width="12.125" style="60" customWidth="1"/>
    <col min="13691" max="13692" width="11.625" style="60" customWidth="1"/>
    <col min="13693" max="13693" width="12.5" style="60" customWidth="1"/>
    <col min="13694" max="13868" width="11.625" style="60" customWidth="1"/>
    <col min="13869" max="13869" width="17.75" style="60" customWidth="1"/>
    <col min="13870" max="13871" width="9" style="60" customWidth="1"/>
    <col min="13872" max="13872" width="16.25" style="60" customWidth="1"/>
    <col min="13873" max="13873" width="24" style="60" customWidth="1"/>
    <col min="13874" max="13874" width="9" style="60"/>
    <col min="13875" max="13875" width="11.75" style="60" customWidth="1"/>
    <col min="13876" max="13876" width="8.875" style="60" customWidth="1"/>
    <col min="13877" max="13877" width="17.375" style="60" customWidth="1"/>
    <col min="13878" max="13878" width="13.25" style="60" customWidth="1"/>
    <col min="13879" max="13879" width="25.75" style="60" customWidth="1"/>
    <col min="13880" max="13880" width="11.125" style="60" customWidth="1"/>
    <col min="13881" max="13881" width="10.75" style="60" customWidth="1"/>
    <col min="13882" max="13882" width="9" style="60" customWidth="1"/>
    <col min="13883" max="13883" width="9.75" style="60" customWidth="1"/>
    <col min="13884" max="13884" width="7.5" style="60" customWidth="1"/>
    <col min="13885" max="13885" width="13.25" style="60" customWidth="1"/>
    <col min="13886" max="13886" width="11.75" style="60" customWidth="1"/>
    <col min="13887" max="13887" width="8.875" style="60" customWidth="1"/>
    <col min="13888" max="13888" width="9.625" style="60" customWidth="1"/>
    <col min="13889" max="13890" width="11.875" style="60" customWidth="1"/>
    <col min="13891" max="13891" width="11.5" style="60" customWidth="1"/>
    <col min="13892" max="13907" width="12.25" style="60" customWidth="1"/>
    <col min="13908" max="13908" width="13" style="60" customWidth="1"/>
    <col min="13909" max="13913" width="12.375" style="60" customWidth="1"/>
    <col min="13914" max="13914" width="13" style="60" customWidth="1"/>
    <col min="13915" max="13916" width="12.375" style="60" customWidth="1"/>
    <col min="13917" max="13917" width="13" style="60" customWidth="1"/>
    <col min="13918" max="13918" width="13.125" style="60" customWidth="1"/>
    <col min="13919" max="13919" width="13" style="60" customWidth="1"/>
    <col min="13920" max="13920" width="13.125" style="60" customWidth="1"/>
    <col min="13921" max="13922" width="12.375" style="60" customWidth="1"/>
    <col min="13923" max="13923" width="13" style="60" customWidth="1"/>
    <col min="13924" max="13924" width="12.375" style="60" customWidth="1"/>
    <col min="13925" max="13925" width="12.25" style="60" customWidth="1"/>
    <col min="13926" max="13926" width="12.125" style="60" customWidth="1"/>
    <col min="13927" max="13927" width="11.625" style="60" customWidth="1"/>
    <col min="13928" max="13928" width="12" style="60" customWidth="1"/>
    <col min="13929" max="13929" width="13" style="60" customWidth="1"/>
    <col min="13930" max="13930" width="11.625" style="60" customWidth="1"/>
    <col min="13931" max="13932" width="12" style="60" customWidth="1"/>
    <col min="13933" max="13935" width="11.625" style="60" customWidth="1"/>
    <col min="13936" max="13936" width="11.125" style="60" customWidth="1"/>
    <col min="13937" max="13937" width="12" style="60" customWidth="1"/>
    <col min="13938" max="13938" width="13" style="60" customWidth="1"/>
    <col min="13939" max="13939" width="13.625" style="60" customWidth="1"/>
    <col min="13940" max="13940" width="11.875" style="60" customWidth="1"/>
    <col min="13941" max="13942" width="11.625" style="60" customWidth="1"/>
    <col min="13943" max="13943" width="12" style="60" customWidth="1"/>
    <col min="13944" max="13944" width="12.75" style="60" customWidth="1"/>
    <col min="13945" max="13945" width="11.625" style="60" customWidth="1"/>
    <col min="13946" max="13946" width="12.125" style="60" customWidth="1"/>
    <col min="13947" max="13948" width="11.625" style="60" customWidth="1"/>
    <col min="13949" max="13949" width="12.5" style="60" customWidth="1"/>
    <col min="13950" max="14124" width="11.625" style="60" customWidth="1"/>
    <col min="14125" max="14125" width="17.75" style="60" customWidth="1"/>
    <col min="14126" max="14127" width="9" style="60" customWidth="1"/>
    <col min="14128" max="14128" width="16.25" style="60" customWidth="1"/>
    <col min="14129" max="14129" width="24" style="60" customWidth="1"/>
    <col min="14130" max="14130" width="9" style="60"/>
    <col min="14131" max="14131" width="11.75" style="60" customWidth="1"/>
    <col min="14132" max="14132" width="8.875" style="60" customWidth="1"/>
    <col min="14133" max="14133" width="17.375" style="60" customWidth="1"/>
    <col min="14134" max="14134" width="13.25" style="60" customWidth="1"/>
    <col min="14135" max="14135" width="25.75" style="60" customWidth="1"/>
    <col min="14136" max="14136" width="11.125" style="60" customWidth="1"/>
    <col min="14137" max="14137" width="10.75" style="60" customWidth="1"/>
    <col min="14138" max="14138" width="9" style="60" customWidth="1"/>
    <col min="14139" max="14139" width="9.75" style="60" customWidth="1"/>
    <col min="14140" max="14140" width="7.5" style="60" customWidth="1"/>
    <col min="14141" max="14141" width="13.25" style="60" customWidth="1"/>
    <col min="14142" max="14142" width="11.75" style="60" customWidth="1"/>
    <col min="14143" max="14143" width="8.875" style="60" customWidth="1"/>
    <col min="14144" max="14144" width="9.625" style="60" customWidth="1"/>
    <col min="14145" max="14146" width="11.875" style="60" customWidth="1"/>
    <col min="14147" max="14147" width="11.5" style="60" customWidth="1"/>
    <col min="14148" max="14163" width="12.25" style="60" customWidth="1"/>
    <col min="14164" max="14164" width="13" style="60" customWidth="1"/>
    <col min="14165" max="14169" width="12.375" style="60" customWidth="1"/>
    <col min="14170" max="14170" width="13" style="60" customWidth="1"/>
    <col min="14171" max="14172" width="12.375" style="60" customWidth="1"/>
    <col min="14173" max="14173" width="13" style="60" customWidth="1"/>
    <col min="14174" max="14174" width="13.125" style="60" customWidth="1"/>
    <col min="14175" max="14175" width="13" style="60" customWidth="1"/>
    <col min="14176" max="14176" width="13.125" style="60" customWidth="1"/>
    <col min="14177" max="14178" width="12.375" style="60" customWidth="1"/>
    <col min="14179" max="14179" width="13" style="60" customWidth="1"/>
    <col min="14180" max="14180" width="12.375" style="60" customWidth="1"/>
    <col min="14181" max="14181" width="12.25" style="60" customWidth="1"/>
    <col min="14182" max="14182" width="12.125" style="60" customWidth="1"/>
    <col min="14183" max="14183" width="11.625" style="60" customWidth="1"/>
    <col min="14184" max="14184" width="12" style="60" customWidth="1"/>
    <col min="14185" max="14185" width="13" style="60" customWidth="1"/>
    <col min="14186" max="14186" width="11.625" style="60" customWidth="1"/>
    <col min="14187" max="14188" width="12" style="60" customWidth="1"/>
    <col min="14189" max="14191" width="11.625" style="60" customWidth="1"/>
    <col min="14192" max="14192" width="11.125" style="60" customWidth="1"/>
    <col min="14193" max="14193" width="12" style="60" customWidth="1"/>
    <col min="14194" max="14194" width="13" style="60" customWidth="1"/>
    <col min="14195" max="14195" width="13.625" style="60" customWidth="1"/>
    <col min="14196" max="14196" width="11.875" style="60" customWidth="1"/>
    <col min="14197" max="14198" width="11.625" style="60" customWidth="1"/>
    <col min="14199" max="14199" width="12" style="60" customWidth="1"/>
    <col min="14200" max="14200" width="12.75" style="60" customWidth="1"/>
    <col min="14201" max="14201" width="11.625" style="60" customWidth="1"/>
    <col min="14202" max="14202" width="12.125" style="60" customWidth="1"/>
    <col min="14203" max="14204" width="11.625" style="60" customWidth="1"/>
    <col min="14205" max="14205" width="12.5" style="60" customWidth="1"/>
    <col min="14206" max="14380" width="11.625" style="60" customWidth="1"/>
    <col min="14381" max="14381" width="17.75" style="60" customWidth="1"/>
    <col min="14382" max="14383" width="9" style="60" customWidth="1"/>
    <col min="14384" max="14384" width="16.25" style="60" customWidth="1"/>
    <col min="14385" max="14385" width="24" style="60" customWidth="1"/>
    <col min="14386" max="14386" width="9" style="60"/>
    <col min="14387" max="14387" width="11.75" style="60" customWidth="1"/>
    <col min="14388" max="14388" width="8.875" style="60" customWidth="1"/>
    <col min="14389" max="14389" width="17.375" style="60" customWidth="1"/>
    <col min="14390" max="14390" width="13.25" style="60" customWidth="1"/>
    <col min="14391" max="14391" width="25.75" style="60" customWidth="1"/>
    <col min="14392" max="14392" width="11.125" style="60" customWidth="1"/>
    <col min="14393" max="14393" width="10.75" style="60" customWidth="1"/>
    <col min="14394" max="14394" width="9" style="60" customWidth="1"/>
    <col min="14395" max="14395" width="9.75" style="60" customWidth="1"/>
    <col min="14396" max="14396" width="7.5" style="60" customWidth="1"/>
    <col min="14397" max="14397" width="13.25" style="60" customWidth="1"/>
    <col min="14398" max="14398" width="11.75" style="60" customWidth="1"/>
    <col min="14399" max="14399" width="8.875" style="60" customWidth="1"/>
    <col min="14400" max="14400" width="9.625" style="60" customWidth="1"/>
    <col min="14401" max="14402" width="11.875" style="60" customWidth="1"/>
    <col min="14403" max="14403" width="11.5" style="60" customWidth="1"/>
    <col min="14404" max="14419" width="12.25" style="60" customWidth="1"/>
    <col min="14420" max="14420" width="13" style="60" customWidth="1"/>
    <col min="14421" max="14425" width="12.375" style="60" customWidth="1"/>
    <col min="14426" max="14426" width="13" style="60" customWidth="1"/>
    <col min="14427" max="14428" width="12.375" style="60" customWidth="1"/>
    <col min="14429" max="14429" width="13" style="60" customWidth="1"/>
    <col min="14430" max="14430" width="13.125" style="60" customWidth="1"/>
    <col min="14431" max="14431" width="13" style="60" customWidth="1"/>
    <col min="14432" max="14432" width="13.125" style="60" customWidth="1"/>
    <col min="14433" max="14434" width="12.375" style="60" customWidth="1"/>
    <col min="14435" max="14435" width="13" style="60" customWidth="1"/>
    <col min="14436" max="14436" width="12.375" style="60" customWidth="1"/>
    <col min="14437" max="14437" width="12.25" style="60" customWidth="1"/>
    <col min="14438" max="14438" width="12.125" style="60" customWidth="1"/>
    <col min="14439" max="14439" width="11.625" style="60" customWidth="1"/>
    <col min="14440" max="14440" width="12" style="60" customWidth="1"/>
    <col min="14441" max="14441" width="13" style="60" customWidth="1"/>
    <col min="14442" max="14442" width="11.625" style="60" customWidth="1"/>
    <col min="14443" max="14444" width="12" style="60" customWidth="1"/>
    <col min="14445" max="14447" width="11.625" style="60" customWidth="1"/>
    <col min="14448" max="14448" width="11.125" style="60" customWidth="1"/>
    <col min="14449" max="14449" width="12" style="60" customWidth="1"/>
    <col min="14450" max="14450" width="13" style="60" customWidth="1"/>
    <col min="14451" max="14451" width="13.625" style="60" customWidth="1"/>
    <col min="14452" max="14452" width="11.875" style="60" customWidth="1"/>
    <col min="14453" max="14454" width="11.625" style="60" customWidth="1"/>
    <col min="14455" max="14455" width="12" style="60" customWidth="1"/>
    <col min="14456" max="14456" width="12.75" style="60" customWidth="1"/>
    <col min="14457" max="14457" width="11.625" style="60" customWidth="1"/>
    <col min="14458" max="14458" width="12.125" style="60" customWidth="1"/>
    <col min="14459" max="14460" width="11.625" style="60" customWidth="1"/>
    <col min="14461" max="14461" width="12.5" style="60" customWidth="1"/>
    <col min="14462" max="14636" width="11.625" style="60" customWidth="1"/>
    <col min="14637" max="14637" width="17.75" style="60" customWidth="1"/>
    <col min="14638" max="14639" width="9" style="60" customWidth="1"/>
    <col min="14640" max="14640" width="16.25" style="60" customWidth="1"/>
    <col min="14641" max="14641" width="24" style="60" customWidth="1"/>
    <col min="14642" max="14642" width="9" style="60"/>
    <col min="14643" max="14643" width="11.75" style="60" customWidth="1"/>
    <col min="14644" max="14644" width="8.875" style="60" customWidth="1"/>
    <col min="14645" max="14645" width="17.375" style="60" customWidth="1"/>
    <col min="14646" max="14646" width="13.25" style="60" customWidth="1"/>
    <col min="14647" max="14647" width="25.75" style="60" customWidth="1"/>
    <col min="14648" max="14648" width="11.125" style="60" customWidth="1"/>
    <col min="14649" max="14649" width="10.75" style="60" customWidth="1"/>
    <col min="14650" max="14650" width="9" style="60" customWidth="1"/>
    <col min="14651" max="14651" width="9.75" style="60" customWidth="1"/>
    <col min="14652" max="14652" width="7.5" style="60" customWidth="1"/>
    <col min="14653" max="14653" width="13.25" style="60" customWidth="1"/>
    <col min="14654" max="14654" width="11.75" style="60" customWidth="1"/>
    <col min="14655" max="14655" width="8.875" style="60" customWidth="1"/>
    <col min="14656" max="14656" width="9.625" style="60" customWidth="1"/>
    <col min="14657" max="14658" width="11.875" style="60" customWidth="1"/>
    <col min="14659" max="14659" width="11.5" style="60" customWidth="1"/>
    <col min="14660" max="14675" width="12.25" style="60" customWidth="1"/>
    <col min="14676" max="14676" width="13" style="60" customWidth="1"/>
    <col min="14677" max="14681" width="12.375" style="60" customWidth="1"/>
    <col min="14682" max="14682" width="13" style="60" customWidth="1"/>
    <col min="14683" max="14684" width="12.375" style="60" customWidth="1"/>
    <col min="14685" max="14685" width="13" style="60" customWidth="1"/>
    <col min="14686" max="14686" width="13.125" style="60" customWidth="1"/>
    <col min="14687" max="14687" width="13" style="60" customWidth="1"/>
    <col min="14688" max="14688" width="13.125" style="60" customWidth="1"/>
    <col min="14689" max="14690" width="12.375" style="60" customWidth="1"/>
    <col min="14691" max="14691" width="13" style="60" customWidth="1"/>
    <col min="14692" max="14692" width="12.375" style="60" customWidth="1"/>
    <col min="14693" max="14693" width="12.25" style="60" customWidth="1"/>
    <col min="14694" max="14694" width="12.125" style="60" customWidth="1"/>
    <col min="14695" max="14695" width="11.625" style="60" customWidth="1"/>
    <col min="14696" max="14696" width="12" style="60" customWidth="1"/>
    <col min="14697" max="14697" width="13" style="60" customWidth="1"/>
    <col min="14698" max="14698" width="11.625" style="60" customWidth="1"/>
    <col min="14699" max="14700" width="12" style="60" customWidth="1"/>
    <col min="14701" max="14703" width="11.625" style="60" customWidth="1"/>
    <col min="14704" max="14704" width="11.125" style="60" customWidth="1"/>
    <col min="14705" max="14705" width="12" style="60" customWidth="1"/>
    <col min="14706" max="14706" width="13" style="60" customWidth="1"/>
    <col min="14707" max="14707" width="13.625" style="60" customWidth="1"/>
    <col min="14708" max="14708" width="11.875" style="60" customWidth="1"/>
    <col min="14709" max="14710" width="11.625" style="60" customWidth="1"/>
    <col min="14711" max="14711" width="12" style="60" customWidth="1"/>
    <col min="14712" max="14712" width="12.75" style="60" customWidth="1"/>
    <col min="14713" max="14713" width="11.625" style="60" customWidth="1"/>
    <col min="14714" max="14714" width="12.125" style="60" customWidth="1"/>
    <col min="14715" max="14716" width="11.625" style="60" customWidth="1"/>
    <col min="14717" max="14717" width="12.5" style="60" customWidth="1"/>
    <col min="14718" max="14892" width="11.625" style="60" customWidth="1"/>
    <col min="14893" max="14893" width="17.75" style="60" customWidth="1"/>
    <col min="14894" max="14895" width="9" style="60" customWidth="1"/>
    <col min="14896" max="14896" width="16.25" style="60" customWidth="1"/>
    <col min="14897" max="14897" width="24" style="60" customWidth="1"/>
    <col min="14898" max="14898" width="9" style="60"/>
    <col min="14899" max="14899" width="11.75" style="60" customWidth="1"/>
    <col min="14900" max="14900" width="8.875" style="60" customWidth="1"/>
    <col min="14901" max="14901" width="17.375" style="60" customWidth="1"/>
    <col min="14902" max="14902" width="13.25" style="60" customWidth="1"/>
    <col min="14903" max="14903" width="25.75" style="60" customWidth="1"/>
    <col min="14904" max="14904" width="11.125" style="60" customWidth="1"/>
    <col min="14905" max="14905" width="10.75" style="60" customWidth="1"/>
    <col min="14906" max="14906" width="9" style="60" customWidth="1"/>
    <col min="14907" max="14907" width="9.75" style="60" customWidth="1"/>
    <col min="14908" max="14908" width="7.5" style="60" customWidth="1"/>
    <col min="14909" max="14909" width="13.25" style="60" customWidth="1"/>
    <col min="14910" max="14910" width="11.75" style="60" customWidth="1"/>
    <col min="14911" max="14911" width="8.875" style="60" customWidth="1"/>
    <col min="14912" max="14912" width="9.625" style="60" customWidth="1"/>
    <col min="14913" max="14914" width="11.875" style="60" customWidth="1"/>
    <col min="14915" max="14915" width="11.5" style="60" customWidth="1"/>
    <col min="14916" max="14931" width="12.25" style="60" customWidth="1"/>
    <col min="14932" max="14932" width="13" style="60" customWidth="1"/>
    <col min="14933" max="14937" width="12.375" style="60" customWidth="1"/>
    <col min="14938" max="14938" width="13" style="60" customWidth="1"/>
    <col min="14939" max="14940" width="12.375" style="60" customWidth="1"/>
    <col min="14941" max="14941" width="13" style="60" customWidth="1"/>
    <col min="14942" max="14942" width="13.125" style="60" customWidth="1"/>
    <col min="14943" max="14943" width="13" style="60" customWidth="1"/>
    <col min="14944" max="14944" width="13.125" style="60" customWidth="1"/>
    <col min="14945" max="14946" width="12.375" style="60" customWidth="1"/>
    <col min="14947" max="14947" width="13" style="60" customWidth="1"/>
    <col min="14948" max="14948" width="12.375" style="60" customWidth="1"/>
    <col min="14949" max="14949" width="12.25" style="60" customWidth="1"/>
    <col min="14950" max="14950" width="12.125" style="60" customWidth="1"/>
    <col min="14951" max="14951" width="11.625" style="60" customWidth="1"/>
    <col min="14952" max="14952" width="12" style="60" customWidth="1"/>
    <col min="14953" max="14953" width="13" style="60" customWidth="1"/>
    <col min="14954" max="14954" width="11.625" style="60" customWidth="1"/>
    <col min="14955" max="14956" width="12" style="60" customWidth="1"/>
    <col min="14957" max="14959" width="11.625" style="60" customWidth="1"/>
    <col min="14960" max="14960" width="11.125" style="60" customWidth="1"/>
    <col min="14961" max="14961" width="12" style="60" customWidth="1"/>
    <col min="14962" max="14962" width="13" style="60" customWidth="1"/>
    <col min="14963" max="14963" width="13.625" style="60" customWidth="1"/>
    <col min="14964" max="14964" width="11.875" style="60" customWidth="1"/>
    <col min="14965" max="14966" width="11.625" style="60" customWidth="1"/>
    <col min="14967" max="14967" width="12" style="60" customWidth="1"/>
    <col min="14968" max="14968" width="12.75" style="60" customWidth="1"/>
    <col min="14969" max="14969" width="11.625" style="60" customWidth="1"/>
    <col min="14970" max="14970" width="12.125" style="60" customWidth="1"/>
    <col min="14971" max="14972" width="11.625" style="60" customWidth="1"/>
    <col min="14973" max="14973" width="12.5" style="60" customWidth="1"/>
    <col min="14974" max="15148" width="11.625" style="60" customWidth="1"/>
    <col min="15149" max="15149" width="17.75" style="60" customWidth="1"/>
    <col min="15150" max="15151" width="9" style="60" customWidth="1"/>
    <col min="15152" max="15152" width="16.25" style="60" customWidth="1"/>
    <col min="15153" max="15153" width="24" style="60" customWidth="1"/>
    <col min="15154" max="15154" width="9" style="60"/>
    <col min="15155" max="15155" width="11.75" style="60" customWidth="1"/>
    <col min="15156" max="15156" width="8.875" style="60" customWidth="1"/>
    <col min="15157" max="15157" width="17.375" style="60" customWidth="1"/>
    <col min="15158" max="15158" width="13.25" style="60" customWidth="1"/>
    <col min="15159" max="15159" width="25.75" style="60" customWidth="1"/>
    <col min="15160" max="15160" width="11.125" style="60" customWidth="1"/>
    <col min="15161" max="15161" width="10.75" style="60" customWidth="1"/>
    <col min="15162" max="15162" width="9" style="60" customWidth="1"/>
    <col min="15163" max="15163" width="9.75" style="60" customWidth="1"/>
    <col min="15164" max="15164" width="7.5" style="60" customWidth="1"/>
    <col min="15165" max="15165" width="13.25" style="60" customWidth="1"/>
    <col min="15166" max="15166" width="11.75" style="60" customWidth="1"/>
    <col min="15167" max="15167" width="8.875" style="60" customWidth="1"/>
    <col min="15168" max="15168" width="9.625" style="60" customWidth="1"/>
    <col min="15169" max="15170" width="11.875" style="60" customWidth="1"/>
    <col min="15171" max="15171" width="11.5" style="60" customWidth="1"/>
    <col min="15172" max="15187" width="12.25" style="60" customWidth="1"/>
    <col min="15188" max="15188" width="13" style="60" customWidth="1"/>
    <col min="15189" max="15193" width="12.375" style="60" customWidth="1"/>
    <col min="15194" max="15194" width="13" style="60" customWidth="1"/>
    <col min="15195" max="15196" width="12.375" style="60" customWidth="1"/>
    <col min="15197" max="15197" width="13" style="60" customWidth="1"/>
    <col min="15198" max="15198" width="13.125" style="60" customWidth="1"/>
    <col min="15199" max="15199" width="13" style="60" customWidth="1"/>
    <col min="15200" max="15200" width="13.125" style="60" customWidth="1"/>
    <col min="15201" max="15202" width="12.375" style="60" customWidth="1"/>
    <col min="15203" max="15203" width="13" style="60" customWidth="1"/>
    <col min="15204" max="15204" width="12.375" style="60" customWidth="1"/>
    <col min="15205" max="15205" width="12.25" style="60" customWidth="1"/>
    <col min="15206" max="15206" width="12.125" style="60" customWidth="1"/>
    <col min="15207" max="15207" width="11.625" style="60" customWidth="1"/>
    <col min="15208" max="15208" width="12" style="60" customWidth="1"/>
    <col min="15209" max="15209" width="13" style="60" customWidth="1"/>
    <col min="15210" max="15210" width="11.625" style="60" customWidth="1"/>
    <col min="15211" max="15212" width="12" style="60" customWidth="1"/>
    <col min="15213" max="15215" width="11.625" style="60" customWidth="1"/>
    <col min="15216" max="15216" width="11.125" style="60" customWidth="1"/>
    <col min="15217" max="15217" width="12" style="60" customWidth="1"/>
    <col min="15218" max="15218" width="13" style="60" customWidth="1"/>
    <col min="15219" max="15219" width="13.625" style="60" customWidth="1"/>
    <col min="15220" max="15220" width="11.875" style="60" customWidth="1"/>
    <col min="15221" max="15222" width="11.625" style="60" customWidth="1"/>
    <col min="15223" max="15223" width="12" style="60" customWidth="1"/>
    <col min="15224" max="15224" width="12.75" style="60" customWidth="1"/>
    <col min="15225" max="15225" width="11.625" style="60" customWidth="1"/>
    <col min="15226" max="15226" width="12.125" style="60" customWidth="1"/>
    <col min="15227" max="15228" width="11.625" style="60" customWidth="1"/>
    <col min="15229" max="15229" width="12.5" style="60" customWidth="1"/>
    <col min="15230" max="15404" width="11.625" style="60" customWidth="1"/>
    <col min="15405" max="15405" width="17.75" style="60" customWidth="1"/>
    <col min="15406" max="15407" width="9" style="60" customWidth="1"/>
    <col min="15408" max="15408" width="16.25" style="60" customWidth="1"/>
    <col min="15409" max="15409" width="24" style="60" customWidth="1"/>
    <col min="15410" max="15410" width="9" style="60"/>
    <col min="15411" max="15411" width="11.75" style="60" customWidth="1"/>
    <col min="15412" max="15412" width="8.875" style="60" customWidth="1"/>
    <col min="15413" max="15413" width="17.375" style="60" customWidth="1"/>
    <col min="15414" max="15414" width="13.25" style="60" customWidth="1"/>
    <col min="15415" max="15415" width="25.75" style="60" customWidth="1"/>
    <col min="15416" max="15416" width="11.125" style="60" customWidth="1"/>
    <col min="15417" max="15417" width="10.75" style="60" customWidth="1"/>
    <col min="15418" max="15418" width="9" style="60" customWidth="1"/>
    <col min="15419" max="15419" width="9.75" style="60" customWidth="1"/>
    <col min="15420" max="15420" width="7.5" style="60" customWidth="1"/>
    <col min="15421" max="15421" width="13.25" style="60" customWidth="1"/>
    <col min="15422" max="15422" width="11.75" style="60" customWidth="1"/>
    <col min="15423" max="15423" width="8.875" style="60" customWidth="1"/>
    <col min="15424" max="15424" width="9.625" style="60" customWidth="1"/>
    <col min="15425" max="15426" width="11.875" style="60" customWidth="1"/>
    <col min="15427" max="15427" width="11.5" style="60" customWidth="1"/>
    <col min="15428" max="15443" width="12.25" style="60" customWidth="1"/>
    <col min="15444" max="15444" width="13" style="60" customWidth="1"/>
    <col min="15445" max="15449" width="12.375" style="60" customWidth="1"/>
    <col min="15450" max="15450" width="13" style="60" customWidth="1"/>
    <col min="15451" max="15452" width="12.375" style="60" customWidth="1"/>
    <col min="15453" max="15453" width="13" style="60" customWidth="1"/>
    <col min="15454" max="15454" width="13.125" style="60" customWidth="1"/>
    <col min="15455" max="15455" width="13" style="60" customWidth="1"/>
    <col min="15456" max="15456" width="13.125" style="60" customWidth="1"/>
    <col min="15457" max="15458" width="12.375" style="60" customWidth="1"/>
    <col min="15459" max="15459" width="13" style="60" customWidth="1"/>
    <col min="15460" max="15460" width="12.375" style="60" customWidth="1"/>
    <col min="15461" max="15461" width="12.25" style="60" customWidth="1"/>
    <col min="15462" max="15462" width="12.125" style="60" customWidth="1"/>
    <col min="15463" max="15463" width="11.625" style="60" customWidth="1"/>
    <col min="15464" max="15464" width="12" style="60" customWidth="1"/>
    <col min="15465" max="15465" width="13" style="60" customWidth="1"/>
    <col min="15466" max="15466" width="11.625" style="60" customWidth="1"/>
    <col min="15467" max="15468" width="12" style="60" customWidth="1"/>
    <col min="15469" max="15471" width="11.625" style="60" customWidth="1"/>
    <col min="15472" max="15472" width="11.125" style="60" customWidth="1"/>
    <col min="15473" max="15473" width="12" style="60" customWidth="1"/>
    <col min="15474" max="15474" width="13" style="60" customWidth="1"/>
    <col min="15475" max="15475" width="13.625" style="60" customWidth="1"/>
    <col min="15476" max="15476" width="11.875" style="60" customWidth="1"/>
    <col min="15477" max="15478" width="11.625" style="60" customWidth="1"/>
    <col min="15479" max="15479" width="12" style="60" customWidth="1"/>
    <col min="15480" max="15480" width="12.75" style="60" customWidth="1"/>
    <col min="15481" max="15481" width="11.625" style="60" customWidth="1"/>
    <col min="15482" max="15482" width="12.125" style="60" customWidth="1"/>
    <col min="15483" max="15484" width="11.625" style="60" customWidth="1"/>
    <col min="15485" max="15485" width="12.5" style="60" customWidth="1"/>
    <col min="15486" max="15660" width="11.625" style="60" customWidth="1"/>
    <col min="15661" max="15661" width="17.75" style="60" customWidth="1"/>
    <col min="15662" max="15663" width="9" style="60" customWidth="1"/>
    <col min="15664" max="15664" width="16.25" style="60" customWidth="1"/>
    <col min="15665" max="15665" width="24" style="60" customWidth="1"/>
    <col min="15666" max="15666" width="9" style="60"/>
    <col min="15667" max="15667" width="11.75" style="60" customWidth="1"/>
    <col min="15668" max="15668" width="8.875" style="60" customWidth="1"/>
    <col min="15669" max="15669" width="17.375" style="60" customWidth="1"/>
    <col min="15670" max="15670" width="13.25" style="60" customWidth="1"/>
    <col min="15671" max="15671" width="25.75" style="60" customWidth="1"/>
    <col min="15672" max="15672" width="11.125" style="60" customWidth="1"/>
    <col min="15673" max="15673" width="10.75" style="60" customWidth="1"/>
    <col min="15674" max="15674" width="9" style="60" customWidth="1"/>
    <col min="15675" max="15675" width="9.75" style="60" customWidth="1"/>
    <col min="15676" max="15676" width="7.5" style="60" customWidth="1"/>
    <col min="15677" max="15677" width="13.25" style="60" customWidth="1"/>
    <col min="15678" max="15678" width="11.75" style="60" customWidth="1"/>
    <col min="15679" max="15679" width="8.875" style="60" customWidth="1"/>
    <col min="15680" max="15680" width="9.625" style="60" customWidth="1"/>
    <col min="15681" max="15682" width="11.875" style="60" customWidth="1"/>
    <col min="15683" max="15683" width="11.5" style="60" customWidth="1"/>
    <col min="15684" max="15699" width="12.25" style="60" customWidth="1"/>
    <col min="15700" max="15700" width="13" style="60" customWidth="1"/>
    <col min="15701" max="15705" width="12.375" style="60" customWidth="1"/>
    <col min="15706" max="15706" width="13" style="60" customWidth="1"/>
    <col min="15707" max="15708" width="12.375" style="60" customWidth="1"/>
    <col min="15709" max="15709" width="13" style="60" customWidth="1"/>
    <col min="15710" max="15710" width="13.125" style="60" customWidth="1"/>
    <col min="15711" max="15711" width="13" style="60" customWidth="1"/>
    <col min="15712" max="15712" width="13.125" style="60" customWidth="1"/>
    <col min="15713" max="15714" width="12.375" style="60" customWidth="1"/>
    <col min="15715" max="15715" width="13" style="60" customWidth="1"/>
    <col min="15716" max="15716" width="12.375" style="60" customWidth="1"/>
    <col min="15717" max="15717" width="12.25" style="60" customWidth="1"/>
    <col min="15718" max="15718" width="12.125" style="60" customWidth="1"/>
    <col min="15719" max="15719" width="11.625" style="60" customWidth="1"/>
    <col min="15720" max="15720" width="12" style="60" customWidth="1"/>
    <col min="15721" max="15721" width="13" style="60" customWidth="1"/>
    <col min="15722" max="15722" width="11.625" style="60" customWidth="1"/>
    <col min="15723" max="15724" width="12" style="60" customWidth="1"/>
    <col min="15725" max="15727" width="11.625" style="60" customWidth="1"/>
    <col min="15728" max="15728" width="11.125" style="60" customWidth="1"/>
    <col min="15729" max="15729" width="12" style="60" customWidth="1"/>
    <col min="15730" max="15730" width="13" style="60" customWidth="1"/>
    <col min="15731" max="15731" width="13.625" style="60" customWidth="1"/>
    <col min="15732" max="15732" width="11.875" style="60" customWidth="1"/>
    <col min="15733" max="15734" width="11.625" style="60" customWidth="1"/>
    <col min="15735" max="15735" width="12" style="60" customWidth="1"/>
    <col min="15736" max="15736" width="12.75" style="60" customWidth="1"/>
    <col min="15737" max="15737" width="11.625" style="60" customWidth="1"/>
    <col min="15738" max="15738" width="12.125" style="60" customWidth="1"/>
    <col min="15739" max="15740" width="11.625" style="60" customWidth="1"/>
    <col min="15741" max="15741" width="12.5" style="60" customWidth="1"/>
    <col min="15742" max="15916" width="11.625" style="60" customWidth="1"/>
    <col min="15917" max="15917" width="17.75" style="60" customWidth="1"/>
    <col min="15918" max="15919" width="9" style="60" customWidth="1"/>
    <col min="15920" max="15920" width="16.25" style="60" customWidth="1"/>
    <col min="15921" max="15921" width="24" style="60" customWidth="1"/>
    <col min="15922" max="15922" width="9" style="60"/>
    <col min="15923" max="15923" width="11.75" style="60" customWidth="1"/>
    <col min="15924" max="15924" width="8.875" style="60" customWidth="1"/>
    <col min="15925" max="15925" width="17.375" style="60" customWidth="1"/>
    <col min="15926" max="15926" width="13.25" style="60" customWidth="1"/>
    <col min="15927" max="15927" width="25.75" style="60" customWidth="1"/>
    <col min="15928" max="15928" width="11.125" style="60" customWidth="1"/>
    <col min="15929" max="15929" width="10.75" style="60" customWidth="1"/>
    <col min="15930" max="15930" width="9" style="60" customWidth="1"/>
    <col min="15931" max="15931" width="9.75" style="60" customWidth="1"/>
    <col min="15932" max="15932" width="7.5" style="60" customWidth="1"/>
    <col min="15933" max="15933" width="13.25" style="60" customWidth="1"/>
    <col min="15934" max="15934" width="11.75" style="60" customWidth="1"/>
    <col min="15935" max="15935" width="8.875" style="60" customWidth="1"/>
    <col min="15936" max="15936" width="9.625" style="60" customWidth="1"/>
    <col min="15937" max="15938" width="11.875" style="60" customWidth="1"/>
    <col min="15939" max="15939" width="11.5" style="60" customWidth="1"/>
    <col min="15940" max="15955" width="12.25" style="60" customWidth="1"/>
    <col min="15956" max="15956" width="13" style="60" customWidth="1"/>
    <col min="15957" max="15961" width="12.375" style="60" customWidth="1"/>
    <col min="15962" max="15962" width="13" style="60" customWidth="1"/>
    <col min="15963" max="15964" width="12.375" style="60" customWidth="1"/>
    <col min="15965" max="15965" width="13" style="60" customWidth="1"/>
    <col min="15966" max="15966" width="13.125" style="60" customWidth="1"/>
    <col min="15967" max="15967" width="13" style="60" customWidth="1"/>
    <col min="15968" max="15968" width="13.125" style="60" customWidth="1"/>
    <col min="15969" max="15970" width="12.375" style="60" customWidth="1"/>
    <col min="15971" max="15971" width="13" style="60" customWidth="1"/>
    <col min="15972" max="15972" width="12.375" style="60" customWidth="1"/>
    <col min="15973" max="15973" width="12.25" style="60" customWidth="1"/>
    <col min="15974" max="15974" width="12.125" style="60" customWidth="1"/>
    <col min="15975" max="15975" width="11.625" style="60" customWidth="1"/>
    <col min="15976" max="15976" width="12" style="60" customWidth="1"/>
    <col min="15977" max="15977" width="13" style="60" customWidth="1"/>
    <col min="15978" max="15978" width="11.625" style="60" customWidth="1"/>
    <col min="15979" max="15980" width="12" style="60" customWidth="1"/>
    <col min="15981" max="15983" width="11.625" style="60" customWidth="1"/>
    <col min="15984" max="15984" width="11.125" style="60" customWidth="1"/>
    <col min="15985" max="15985" width="12" style="60" customWidth="1"/>
    <col min="15986" max="15986" width="13" style="60" customWidth="1"/>
    <col min="15987" max="15987" width="13.625" style="60" customWidth="1"/>
    <col min="15988" max="15988" width="11.875" style="60" customWidth="1"/>
    <col min="15989" max="15990" width="11.625" style="60" customWidth="1"/>
    <col min="15991" max="15991" width="12" style="60" customWidth="1"/>
    <col min="15992" max="15992" width="12.75" style="60" customWidth="1"/>
    <col min="15993" max="15993" width="11.625" style="60" customWidth="1"/>
    <col min="15994" max="15994" width="12.125" style="60" customWidth="1"/>
    <col min="15995" max="15996" width="11.625" style="60" customWidth="1"/>
    <col min="15997" max="15997" width="12.5" style="60" customWidth="1"/>
    <col min="15998" max="16171" width="11.625" style="60" customWidth="1"/>
    <col min="16172" max="16384" width="17.75" style="60" customWidth="1"/>
  </cols>
  <sheetData>
    <row r="1" spans="1:94" s="98" customFormat="1" ht="12.75" customHeight="1">
      <c r="A1" s="572" t="s">
        <v>792</v>
      </c>
      <c r="B1" s="567" t="s">
        <v>793</v>
      </c>
      <c r="C1" s="568" t="s">
        <v>794</v>
      </c>
      <c r="D1" s="569" t="s">
        <v>795</v>
      </c>
      <c r="E1" s="570" t="s">
        <v>796</v>
      </c>
      <c r="F1" s="96" t="s">
        <v>797</v>
      </c>
      <c r="G1" s="97" t="s">
        <v>798</v>
      </c>
      <c r="H1" s="571" t="s">
        <v>799</v>
      </c>
      <c r="I1" s="569" t="s">
        <v>800</v>
      </c>
      <c r="J1" s="566" t="s">
        <v>801</v>
      </c>
      <c r="K1" s="564" t="s">
        <v>802</v>
      </c>
      <c r="L1" s="564" t="s">
        <v>803</v>
      </c>
      <c r="M1" s="566" t="s">
        <v>804</v>
      </c>
      <c r="N1" s="564" t="s">
        <v>805</v>
      </c>
      <c r="O1" s="564" t="s">
        <v>806</v>
      </c>
      <c r="P1" s="564" t="s">
        <v>807</v>
      </c>
      <c r="Q1" s="564" t="s">
        <v>808</v>
      </c>
      <c r="R1" s="564" t="s">
        <v>809</v>
      </c>
      <c r="S1" s="564" t="s">
        <v>810</v>
      </c>
      <c r="T1" s="564" t="s">
        <v>811</v>
      </c>
      <c r="U1" s="564" t="s">
        <v>812</v>
      </c>
      <c r="V1" s="564" t="s">
        <v>813</v>
      </c>
      <c r="W1" s="564" t="s">
        <v>814</v>
      </c>
      <c r="X1" s="564" t="s">
        <v>815</v>
      </c>
      <c r="Y1" s="564" t="s">
        <v>816</v>
      </c>
      <c r="Z1" s="564" t="s">
        <v>817</v>
      </c>
      <c r="AA1" s="564" t="s">
        <v>818</v>
      </c>
      <c r="AB1" s="564" t="s">
        <v>819</v>
      </c>
      <c r="AC1" s="564" t="s">
        <v>820</v>
      </c>
      <c r="AD1" s="564" t="s">
        <v>821</v>
      </c>
      <c r="AE1" s="564" t="s">
        <v>822</v>
      </c>
      <c r="AF1" s="564" t="s">
        <v>823</v>
      </c>
      <c r="AG1" s="564" t="s">
        <v>824</v>
      </c>
      <c r="AH1" s="564" t="s">
        <v>825</v>
      </c>
      <c r="AI1" s="564" t="s">
        <v>826</v>
      </c>
      <c r="AJ1" s="564" t="s">
        <v>827</v>
      </c>
      <c r="AK1" s="564" t="s">
        <v>828</v>
      </c>
      <c r="AL1" s="564" t="s">
        <v>829</v>
      </c>
      <c r="AM1" s="564" t="s">
        <v>830</v>
      </c>
      <c r="AN1" s="564" t="s">
        <v>831</v>
      </c>
      <c r="AO1" s="564" t="s">
        <v>832</v>
      </c>
      <c r="AP1" s="564" t="s">
        <v>833</v>
      </c>
      <c r="AQ1" s="564" t="s">
        <v>834</v>
      </c>
      <c r="AR1" s="564" t="s">
        <v>835</v>
      </c>
      <c r="AS1" s="564" t="s">
        <v>836</v>
      </c>
      <c r="AT1" s="564" t="s">
        <v>837</v>
      </c>
      <c r="AU1" s="564" t="s">
        <v>838</v>
      </c>
      <c r="AV1" s="564" t="s">
        <v>839</v>
      </c>
      <c r="AW1" s="564" t="s">
        <v>840</v>
      </c>
      <c r="AX1" s="564" t="s">
        <v>841</v>
      </c>
      <c r="AY1" s="564" t="s">
        <v>842</v>
      </c>
      <c r="AZ1" s="564" t="s">
        <v>843</v>
      </c>
      <c r="BA1" s="564" t="s">
        <v>844</v>
      </c>
      <c r="BB1" s="564" t="s">
        <v>845</v>
      </c>
      <c r="BC1" s="564" t="s">
        <v>846</v>
      </c>
      <c r="BD1" s="564" t="s">
        <v>847</v>
      </c>
      <c r="BE1" s="564" t="s">
        <v>848</v>
      </c>
      <c r="BF1" s="564" t="s">
        <v>849</v>
      </c>
      <c r="BG1" s="564" t="s">
        <v>850</v>
      </c>
      <c r="BH1" s="564" t="s">
        <v>851</v>
      </c>
      <c r="BI1" s="564" t="s">
        <v>852</v>
      </c>
      <c r="BJ1" s="564" t="s">
        <v>853</v>
      </c>
      <c r="BK1" s="564" t="s">
        <v>854</v>
      </c>
      <c r="BL1" s="564" t="s">
        <v>855</v>
      </c>
      <c r="BM1" s="564" t="s">
        <v>856</v>
      </c>
      <c r="BN1" s="564" t="s">
        <v>857</v>
      </c>
      <c r="BO1" s="564" t="s">
        <v>858</v>
      </c>
      <c r="BP1" s="564" t="s">
        <v>859</v>
      </c>
      <c r="BQ1" s="564" t="s">
        <v>860</v>
      </c>
      <c r="BR1" s="564" t="s">
        <v>861</v>
      </c>
      <c r="BS1" s="564" t="s">
        <v>862</v>
      </c>
      <c r="BT1" s="564" t="s">
        <v>863</v>
      </c>
      <c r="BU1" s="564" t="s">
        <v>864</v>
      </c>
      <c r="BV1" s="564" t="s">
        <v>865</v>
      </c>
      <c r="BW1" s="564" t="s">
        <v>866</v>
      </c>
      <c r="BX1" s="564" t="s">
        <v>867</v>
      </c>
      <c r="BY1" s="564" t="s">
        <v>868</v>
      </c>
      <c r="BZ1" s="564" t="s">
        <v>869</v>
      </c>
      <c r="CA1" s="564" t="s">
        <v>870</v>
      </c>
      <c r="CB1" s="564" t="s">
        <v>871</v>
      </c>
      <c r="CC1" s="564" t="s">
        <v>872</v>
      </c>
      <c r="CD1" s="564" t="s">
        <v>873</v>
      </c>
      <c r="CE1" s="564" t="s">
        <v>874</v>
      </c>
      <c r="CF1" s="564" t="s">
        <v>875</v>
      </c>
      <c r="CG1" s="564" t="s">
        <v>876</v>
      </c>
      <c r="CH1" s="564" t="s">
        <v>877</v>
      </c>
      <c r="CI1" s="564" t="s">
        <v>878</v>
      </c>
      <c r="CJ1" s="564" t="s">
        <v>879</v>
      </c>
      <c r="CK1" s="564" t="s">
        <v>880</v>
      </c>
      <c r="CL1" s="564" t="s">
        <v>881</v>
      </c>
      <c r="CM1" s="564" t="s">
        <v>882</v>
      </c>
      <c r="CN1" s="564" t="s">
        <v>883</v>
      </c>
      <c r="CO1" s="564" t="s">
        <v>884</v>
      </c>
      <c r="CP1" s="565" t="s">
        <v>885</v>
      </c>
    </row>
    <row r="2" spans="1:94" s="58" customFormat="1" ht="12">
      <c r="A2" s="572"/>
      <c r="B2" s="567"/>
      <c r="C2" s="568"/>
      <c r="D2" s="569"/>
      <c r="E2" s="570"/>
      <c r="F2" s="99" t="s">
        <v>886</v>
      </c>
      <c r="G2" s="100" t="s">
        <v>887</v>
      </c>
      <c r="H2" s="571"/>
      <c r="I2" s="569"/>
      <c r="J2" s="566"/>
      <c r="K2" s="564"/>
      <c r="L2" s="564"/>
      <c r="M2" s="566"/>
      <c r="N2" s="564"/>
      <c r="O2" s="564"/>
      <c r="P2" s="564"/>
      <c r="Q2" s="564"/>
      <c r="R2" s="564"/>
      <c r="S2" s="564"/>
      <c r="T2" s="564"/>
      <c r="U2" s="564"/>
      <c r="V2" s="564"/>
      <c r="W2" s="564"/>
      <c r="X2" s="564"/>
      <c r="Y2" s="564"/>
      <c r="Z2" s="564"/>
      <c r="AA2" s="564"/>
      <c r="AB2" s="564"/>
      <c r="AC2" s="564"/>
      <c r="AD2" s="564"/>
      <c r="AE2" s="564"/>
      <c r="AF2" s="564"/>
      <c r="AG2" s="564"/>
      <c r="AH2" s="564"/>
      <c r="AI2" s="564"/>
      <c r="AJ2" s="564"/>
      <c r="AK2" s="564"/>
      <c r="AL2" s="564"/>
      <c r="AM2" s="564"/>
      <c r="AN2" s="564"/>
      <c r="AO2" s="564"/>
      <c r="AP2" s="564"/>
      <c r="AQ2" s="564"/>
      <c r="AR2" s="564"/>
      <c r="AS2" s="564"/>
      <c r="AT2" s="564"/>
      <c r="AU2" s="564"/>
      <c r="AV2" s="564"/>
      <c r="AW2" s="564"/>
      <c r="AX2" s="564"/>
      <c r="AY2" s="564"/>
      <c r="AZ2" s="564"/>
      <c r="BA2" s="564"/>
      <c r="BB2" s="564"/>
      <c r="BC2" s="564"/>
      <c r="BD2" s="564"/>
      <c r="BE2" s="564"/>
      <c r="BF2" s="564"/>
      <c r="BG2" s="564"/>
      <c r="BH2" s="564"/>
      <c r="BI2" s="564"/>
      <c r="BJ2" s="564"/>
      <c r="BK2" s="564"/>
      <c r="BL2" s="564"/>
      <c r="BM2" s="564"/>
      <c r="BN2" s="564"/>
      <c r="BO2" s="564"/>
      <c r="BP2" s="564"/>
      <c r="BQ2" s="564"/>
      <c r="BR2" s="564"/>
      <c r="BS2" s="564"/>
      <c r="BT2" s="564"/>
      <c r="BU2" s="564"/>
      <c r="BV2" s="564"/>
      <c r="BW2" s="564"/>
      <c r="BX2" s="564"/>
      <c r="BY2" s="564"/>
      <c r="BZ2" s="564"/>
      <c r="CA2" s="564"/>
      <c r="CB2" s="564"/>
      <c r="CC2" s="564"/>
      <c r="CD2" s="564"/>
      <c r="CE2" s="564"/>
      <c r="CF2" s="564"/>
      <c r="CG2" s="564"/>
      <c r="CH2" s="564"/>
      <c r="CI2" s="564"/>
      <c r="CJ2" s="564"/>
      <c r="CK2" s="564"/>
      <c r="CL2" s="564"/>
      <c r="CM2" s="564"/>
      <c r="CN2" s="564"/>
      <c r="CO2" s="564"/>
      <c r="CP2" s="565"/>
    </row>
    <row r="3" spans="1:94" s="58" customFormat="1" ht="12" customHeight="1">
      <c r="A3" s="546">
        <v>1</v>
      </c>
      <c r="B3" s="550" t="s">
        <v>888</v>
      </c>
      <c r="C3" s="548" t="s">
        <v>889</v>
      </c>
      <c r="D3" s="549" t="s">
        <v>395</v>
      </c>
      <c r="E3" s="547" t="s">
        <v>398</v>
      </c>
      <c r="F3" s="562">
        <v>32.130000000000003</v>
      </c>
      <c r="G3" s="562">
        <f>H3/F3/365</f>
        <v>3.1232876712328759</v>
      </c>
      <c r="H3" s="563">
        <v>36628.199999999997</v>
      </c>
      <c r="I3" s="99"/>
      <c r="J3" s="101">
        <f>ROUND(36628.2/4,0)</f>
        <v>9157</v>
      </c>
      <c r="K3" s="102">
        <f>J3</f>
        <v>9157</v>
      </c>
      <c r="L3" s="103">
        <f>K3</f>
        <v>9157</v>
      </c>
      <c r="M3" s="103">
        <f>L3</f>
        <v>9157</v>
      </c>
      <c r="N3" s="103">
        <f>ROUND(M3*(1+取值表!$D$2)*取值表!$I$2,0)</f>
        <v>9099</v>
      </c>
      <c r="O3" s="103">
        <f>N3</f>
        <v>9099</v>
      </c>
      <c r="P3" s="103">
        <f t="shared" ref="P3" si="0">O3</f>
        <v>9099</v>
      </c>
      <c r="Q3" s="103">
        <f>P3</f>
        <v>9099</v>
      </c>
      <c r="R3" s="278">
        <f>ROUND(Q3*(1+取值表!$D$2),0)</f>
        <v>9609</v>
      </c>
      <c r="S3" s="103">
        <f t="shared" ref="S3:Y3" si="1">R3</f>
        <v>9609</v>
      </c>
      <c r="T3" s="103">
        <f t="shared" si="1"/>
        <v>9609</v>
      </c>
      <c r="U3" s="103">
        <f t="shared" si="1"/>
        <v>9609</v>
      </c>
      <c r="V3" s="103">
        <f>ROUND(U3*(1+取值表!$D$2),0)</f>
        <v>10147</v>
      </c>
      <c r="W3" s="103">
        <f t="shared" ref="W3" si="2">V3</f>
        <v>10147</v>
      </c>
      <c r="X3" s="103">
        <f t="shared" si="1"/>
        <v>10147</v>
      </c>
      <c r="Y3" s="103">
        <f t="shared" si="1"/>
        <v>10147</v>
      </c>
      <c r="Z3" s="103">
        <f>ROUND(Y3*(1+取值表!$D$2),0)</f>
        <v>10715</v>
      </c>
      <c r="AA3" s="103">
        <f t="shared" ref="AA3" si="3">Z3</f>
        <v>10715</v>
      </c>
      <c r="AB3" s="103">
        <f t="shared" ref="AB3" si="4">AA3</f>
        <v>10715</v>
      </c>
      <c r="AC3" s="103">
        <f t="shared" ref="AC3" si="5">AB3</f>
        <v>10715</v>
      </c>
      <c r="AD3" s="103">
        <f>ROUND(AC3*(1+取值表!$D$2),0)</f>
        <v>11315</v>
      </c>
      <c r="AE3" s="103">
        <f t="shared" ref="AE3" si="6">AD3</f>
        <v>11315</v>
      </c>
      <c r="AF3" s="103">
        <f t="shared" ref="AF3" si="7">AE3</f>
        <v>11315</v>
      </c>
      <c r="AG3" s="103">
        <f t="shared" ref="AG3" si="8">AF3</f>
        <v>11315</v>
      </c>
      <c r="AH3" s="103">
        <f>ROUND(AG3*(1+取值表!$D$2),0)</f>
        <v>11949</v>
      </c>
      <c r="AI3" s="103">
        <f t="shared" ref="AI3" si="9">AH3</f>
        <v>11949</v>
      </c>
      <c r="AJ3" s="103">
        <f t="shared" ref="AJ3" si="10">AI3</f>
        <v>11949</v>
      </c>
      <c r="AK3" s="103">
        <f t="shared" ref="AK3" si="11">AJ3</f>
        <v>11949</v>
      </c>
      <c r="AL3" s="103">
        <f>ROUND(AK3*(1+取值表!$D$2),0)</f>
        <v>12618</v>
      </c>
      <c r="AM3" s="103">
        <f t="shared" ref="AM3" si="12">AL3</f>
        <v>12618</v>
      </c>
      <c r="AN3" s="103">
        <f t="shared" ref="AN3" si="13">AM3</f>
        <v>12618</v>
      </c>
      <c r="AO3" s="103">
        <f t="shared" ref="AO3" si="14">AN3</f>
        <v>12618</v>
      </c>
      <c r="AP3" s="103">
        <f>ROUND(AO3*(1+取值表!$D$2),0)</f>
        <v>13325</v>
      </c>
      <c r="AQ3" s="103">
        <f t="shared" ref="AQ3" si="15">AP3</f>
        <v>13325</v>
      </c>
      <c r="AR3" s="103">
        <f t="shared" ref="AR3" si="16">AQ3</f>
        <v>13325</v>
      </c>
      <c r="AS3" s="103">
        <f t="shared" ref="AS3" si="17">AR3</f>
        <v>13325</v>
      </c>
      <c r="AT3" s="103">
        <f>ROUND(AS3*(1+取值表!$D$2),0)</f>
        <v>14071</v>
      </c>
      <c r="AU3" s="103">
        <f t="shared" ref="AU3" si="18">AT3</f>
        <v>14071</v>
      </c>
      <c r="AV3" s="103">
        <f t="shared" ref="AV3" si="19">AU3</f>
        <v>14071</v>
      </c>
      <c r="AW3" s="103">
        <f t="shared" ref="AW3" si="20">AV3</f>
        <v>14071</v>
      </c>
      <c r="AX3" s="103">
        <f>ROUND(AW3*(1+取值表!$D$2),0)</f>
        <v>14859</v>
      </c>
      <c r="AY3" s="103">
        <f t="shared" ref="AY3" si="21">AX3</f>
        <v>14859</v>
      </c>
      <c r="AZ3" s="103">
        <f t="shared" ref="AZ3" si="22">AY3</f>
        <v>14859</v>
      </c>
      <c r="BA3" s="103">
        <f t="shared" ref="BA3" si="23">AZ3</f>
        <v>14859</v>
      </c>
      <c r="BB3" s="103">
        <f>ROUND(BA3*(1+取值表!$D$2),0)</f>
        <v>15691</v>
      </c>
      <c r="BC3" s="103">
        <f t="shared" ref="BC3" si="24">BB3</f>
        <v>15691</v>
      </c>
      <c r="BD3" s="103">
        <f t="shared" ref="BD3" si="25">BC3</f>
        <v>15691</v>
      </c>
      <c r="BE3" s="103">
        <f t="shared" ref="BE3" si="26">BD3</f>
        <v>15691</v>
      </c>
      <c r="BF3" s="103">
        <f>ROUND(BE3*(1+取值表!$D$2),0)</f>
        <v>16570</v>
      </c>
      <c r="BG3" s="103">
        <f t="shared" ref="BG3" si="27">BF3</f>
        <v>16570</v>
      </c>
      <c r="BH3" s="103">
        <f t="shared" ref="BH3" si="28">BG3</f>
        <v>16570</v>
      </c>
      <c r="BI3" s="103">
        <f t="shared" ref="BI3" si="29">BH3</f>
        <v>16570</v>
      </c>
      <c r="BJ3" s="103">
        <f>ROUND(BI3*(1+取值表!$D$2),0)</f>
        <v>17498</v>
      </c>
      <c r="BK3" s="103">
        <f t="shared" ref="BK3" si="30">BJ3</f>
        <v>17498</v>
      </c>
      <c r="BL3" s="103">
        <f t="shared" ref="BL3" si="31">BK3</f>
        <v>17498</v>
      </c>
      <c r="BM3" s="103">
        <f t="shared" ref="BM3" si="32">BL3</f>
        <v>17498</v>
      </c>
      <c r="BN3" s="103">
        <f>ROUND(BM3*(1+取值表!$D$2),0)</f>
        <v>18478</v>
      </c>
      <c r="BO3" s="103">
        <f t="shared" ref="BO3" si="33">BN3</f>
        <v>18478</v>
      </c>
      <c r="BP3" s="103">
        <f t="shared" ref="BP3" si="34">BO3</f>
        <v>18478</v>
      </c>
      <c r="BQ3" s="103">
        <f t="shared" ref="BQ3" si="35">BP3</f>
        <v>18478</v>
      </c>
      <c r="BR3" s="103">
        <f>ROUND(BQ3*(1+取值表!$D$2),0)</f>
        <v>19513</v>
      </c>
      <c r="BS3" s="103">
        <f t="shared" ref="BS3" si="36">BR3</f>
        <v>19513</v>
      </c>
      <c r="BT3" s="103">
        <f t="shared" ref="BT3" si="37">BS3</f>
        <v>19513</v>
      </c>
      <c r="BU3" s="103">
        <f t="shared" ref="BU3" si="38">BT3</f>
        <v>19513</v>
      </c>
      <c r="BV3" s="103">
        <f>ROUND(BU3*(1+取值表!$D$2),0)</f>
        <v>20606</v>
      </c>
      <c r="BW3" s="103">
        <f t="shared" ref="BW3" si="39">BV3</f>
        <v>20606</v>
      </c>
      <c r="BX3" s="103">
        <f t="shared" ref="BX3" si="40">BW3</f>
        <v>20606</v>
      </c>
      <c r="BY3" s="103">
        <f t="shared" ref="BY3" si="41">BX3</f>
        <v>20606</v>
      </c>
      <c r="BZ3" s="103">
        <f>ROUND(BY3*(1+取值表!$D$2),0)</f>
        <v>21760</v>
      </c>
      <c r="CA3" s="103">
        <f t="shared" ref="CA3" si="42">BZ3</f>
        <v>21760</v>
      </c>
      <c r="CB3" s="103">
        <f t="shared" ref="CB3" si="43">CA3</f>
        <v>21760</v>
      </c>
      <c r="CC3" s="103">
        <f t="shared" ref="CC3" si="44">CB3</f>
        <v>21760</v>
      </c>
      <c r="CD3" s="103">
        <f>ROUND(CC3*(1+取值表!$D$2),0)</f>
        <v>22979</v>
      </c>
      <c r="CE3" s="103">
        <f t="shared" ref="CE3" si="45">CD3</f>
        <v>22979</v>
      </c>
      <c r="CF3" s="103">
        <f t="shared" ref="CF3" si="46">CE3</f>
        <v>22979</v>
      </c>
      <c r="CG3" s="103">
        <f t="shared" ref="CG3" si="47">CF3</f>
        <v>22979</v>
      </c>
      <c r="CH3" s="103">
        <f>ROUND(CG3*(1+取值表!$D$2),0)</f>
        <v>24266</v>
      </c>
      <c r="CI3" s="103">
        <f t="shared" ref="CI3" si="48">CH3</f>
        <v>24266</v>
      </c>
      <c r="CJ3" s="103">
        <f t="shared" ref="CJ3" si="49">CI3</f>
        <v>24266</v>
      </c>
      <c r="CK3" s="103">
        <f t="shared" ref="CK3" si="50">CJ3</f>
        <v>24266</v>
      </c>
      <c r="CL3" s="103">
        <f>ROUND(CK3*(1+取值表!$D$2),0)</f>
        <v>25625</v>
      </c>
      <c r="CM3" s="103">
        <f t="shared" ref="CM3" si="51">CL3</f>
        <v>25625</v>
      </c>
      <c r="CN3" s="103">
        <f t="shared" ref="CN3" si="52">CM3</f>
        <v>25625</v>
      </c>
      <c r="CO3" s="103">
        <f t="shared" ref="CO3" si="53">CN3</f>
        <v>25625</v>
      </c>
      <c r="CP3" s="104">
        <f t="shared" ref="CP3:CP32" si="54">SUM(J3:CO3)</f>
        <v>1319400</v>
      </c>
    </row>
    <row r="4" spans="1:94" s="58" customFormat="1" ht="12.75" customHeight="1">
      <c r="A4" s="546"/>
      <c r="B4" s="550"/>
      <c r="C4" s="548"/>
      <c r="D4" s="549"/>
      <c r="E4" s="547"/>
      <c r="F4" s="562"/>
      <c r="G4" s="562"/>
      <c r="H4" s="563"/>
      <c r="I4" s="99"/>
      <c r="J4" s="101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>
        <f>ROUND(U4*(1+取值表!$D$2),0)</f>
        <v>0</v>
      </c>
      <c r="W4" s="103"/>
      <c r="X4" s="103"/>
      <c r="Y4" s="103"/>
      <c r="Z4" s="103">
        <f>ROUND(Y4*(1+取值表!$D$2),0)</f>
        <v>0</v>
      </c>
      <c r="AA4" s="103"/>
      <c r="AB4" s="103"/>
      <c r="AC4" s="103"/>
      <c r="AD4" s="103">
        <f>ROUND(AC4*(1+取值表!$D$2),0)</f>
        <v>0</v>
      </c>
      <c r="AE4" s="103"/>
      <c r="AF4" s="103"/>
      <c r="AG4" s="103"/>
      <c r="AH4" s="103">
        <f>ROUND(AG4*(1+取值表!$D$2),0)</f>
        <v>0</v>
      </c>
      <c r="AI4" s="103"/>
      <c r="AJ4" s="103"/>
      <c r="AK4" s="103"/>
      <c r="AL4" s="103">
        <f>ROUND(AK4*(1+取值表!$D$2),0)</f>
        <v>0</v>
      </c>
      <c r="AM4" s="103"/>
      <c r="AN4" s="103"/>
      <c r="AO4" s="103"/>
      <c r="AP4" s="103">
        <f>ROUND(AO4*(1+取值表!$D$2),0)</f>
        <v>0</v>
      </c>
      <c r="AQ4" s="103"/>
      <c r="AR4" s="103"/>
      <c r="AS4" s="103"/>
      <c r="AT4" s="103">
        <f>ROUND(AS4*(1+取值表!$D$2),0)</f>
        <v>0</v>
      </c>
      <c r="AU4" s="103"/>
      <c r="AV4" s="103"/>
      <c r="AW4" s="103"/>
      <c r="AX4" s="103">
        <f>ROUND(AW4*(1+取值表!$D$2),0)</f>
        <v>0</v>
      </c>
      <c r="AY4" s="103"/>
      <c r="AZ4" s="103"/>
      <c r="BA4" s="103"/>
      <c r="BB4" s="103">
        <f>ROUND(BA4*(1+取值表!$D$2),0)</f>
        <v>0</v>
      </c>
      <c r="BC4" s="103"/>
      <c r="BD4" s="103"/>
      <c r="BE4" s="103"/>
      <c r="BF4" s="103">
        <f>ROUND(BE4*(1+取值表!$D$2),0)</f>
        <v>0</v>
      </c>
      <c r="BG4" s="103"/>
      <c r="BH4" s="103"/>
      <c r="BI4" s="103"/>
      <c r="BJ4" s="103">
        <f>ROUND(BI4*(1+取值表!$D$2),0)</f>
        <v>0</v>
      </c>
      <c r="BK4" s="103"/>
      <c r="BL4" s="103"/>
      <c r="BM4" s="103"/>
      <c r="BN4" s="103">
        <f>ROUND(BM4*(1+取值表!$D$2),0)</f>
        <v>0</v>
      </c>
      <c r="BO4" s="103"/>
      <c r="BP4" s="103"/>
      <c r="BQ4" s="103"/>
      <c r="BR4" s="103">
        <f>ROUND(BQ4*(1+取值表!$D$2),0)</f>
        <v>0</v>
      </c>
      <c r="BS4" s="103"/>
      <c r="BT4" s="103"/>
      <c r="BU4" s="103"/>
      <c r="BV4" s="103">
        <f>ROUND(BU4*(1+取值表!$D$2),0)</f>
        <v>0</v>
      </c>
      <c r="BW4" s="103"/>
      <c r="BX4" s="103"/>
      <c r="BY4" s="103"/>
      <c r="BZ4" s="103">
        <f>ROUND(BY4*(1+取值表!$D$2),0)</f>
        <v>0</v>
      </c>
      <c r="CA4" s="103"/>
      <c r="CB4" s="103"/>
      <c r="CC4" s="103"/>
      <c r="CD4" s="103">
        <f>ROUND(CC4*(1+取值表!$D$2),0)</f>
        <v>0</v>
      </c>
      <c r="CE4" s="103"/>
      <c r="CF4" s="103"/>
      <c r="CG4" s="103"/>
      <c r="CH4" s="103">
        <f>ROUND(CG4*(1+取值表!$D$2),0)</f>
        <v>0</v>
      </c>
      <c r="CI4" s="103"/>
      <c r="CJ4" s="103"/>
      <c r="CK4" s="103"/>
      <c r="CL4" s="103">
        <f>ROUND(CK4*(1+取值表!$D$2),0)</f>
        <v>0</v>
      </c>
      <c r="CM4" s="103"/>
      <c r="CN4" s="103"/>
      <c r="CO4" s="103"/>
      <c r="CP4" s="104">
        <f t="shared" si="54"/>
        <v>0</v>
      </c>
    </row>
    <row r="5" spans="1:94" s="58" customFormat="1" ht="12" customHeight="1">
      <c r="A5" s="546">
        <v>2</v>
      </c>
      <c r="B5" s="550" t="s">
        <v>890</v>
      </c>
      <c r="C5" s="548" t="s">
        <v>891</v>
      </c>
      <c r="D5" s="549" t="s">
        <v>397</v>
      </c>
      <c r="E5" s="547" t="s">
        <v>398</v>
      </c>
      <c r="F5" s="562">
        <v>16.21</v>
      </c>
      <c r="G5" s="562">
        <f>H5/365/F5</f>
        <v>3.1232876712328772</v>
      </c>
      <c r="H5" s="563">
        <v>18479.400000000001</v>
      </c>
      <c r="I5" s="99"/>
      <c r="J5" s="101">
        <f>ROUND(18479.4/4,0)</f>
        <v>4620</v>
      </c>
      <c r="K5" s="102">
        <f>J5</f>
        <v>4620</v>
      </c>
      <c r="L5" s="103">
        <f>K5</f>
        <v>4620</v>
      </c>
      <c r="M5" s="103">
        <f>L5</f>
        <v>4620</v>
      </c>
      <c r="N5" s="103">
        <f>ROUND(M5*(1+取值表!$D$2)*取值表!$I$2,0)</f>
        <v>4591</v>
      </c>
      <c r="O5" s="103">
        <f>N5</f>
        <v>4591</v>
      </c>
      <c r="P5" s="103">
        <f>O5</f>
        <v>4591</v>
      </c>
      <c r="Q5" s="103">
        <f>P5</f>
        <v>4591</v>
      </c>
      <c r="R5" s="278">
        <f>ROUND(Q5*(1+取值表!$D$2),0)</f>
        <v>4848</v>
      </c>
      <c r="S5" s="103">
        <f t="shared" ref="S5:U5" si="55">R5</f>
        <v>4848</v>
      </c>
      <c r="T5" s="103">
        <f t="shared" si="55"/>
        <v>4848</v>
      </c>
      <c r="U5" s="103">
        <f t="shared" si="55"/>
        <v>4848</v>
      </c>
      <c r="V5" s="103">
        <f>ROUND(U5*(1+取值表!$D$2),0)</f>
        <v>5119</v>
      </c>
      <c r="W5" s="103">
        <f t="shared" ref="W5:Y5" si="56">V5</f>
        <v>5119</v>
      </c>
      <c r="X5" s="103">
        <f t="shared" si="56"/>
        <v>5119</v>
      </c>
      <c r="Y5" s="103">
        <f t="shared" si="56"/>
        <v>5119</v>
      </c>
      <c r="Z5" s="103">
        <f>ROUND(Y5*(1+取值表!$D$2),0)</f>
        <v>5406</v>
      </c>
      <c r="AA5" s="103">
        <f t="shared" ref="AA5" si="57">Z5</f>
        <v>5406</v>
      </c>
      <c r="AB5" s="103">
        <f t="shared" ref="AB5" si="58">AA5</f>
        <v>5406</v>
      </c>
      <c r="AC5" s="103">
        <f t="shared" ref="AC5" si="59">AB5</f>
        <v>5406</v>
      </c>
      <c r="AD5" s="103">
        <f>ROUND(AC5*(1+取值表!$D$2),0)</f>
        <v>5709</v>
      </c>
      <c r="AE5" s="103">
        <f t="shared" ref="AE5" si="60">AD5</f>
        <v>5709</v>
      </c>
      <c r="AF5" s="103">
        <f t="shared" ref="AF5" si="61">AE5</f>
        <v>5709</v>
      </c>
      <c r="AG5" s="103">
        <f t="shared" ref="AG5" si="62">AF5</f>
        <v>5709</v>
      </c>
      <c r="AH5" s="103">
        <f>ROUND(AG5*(1+取值表!$D$2),0)</f>
        <v>6029</v>
      </c>
      <c r="AI5" s="103">
        <f t="shared" ref="AI5" si="63">AH5</f>
        <v>6029</v>
      </c>
      <c r="AJ5" s="103">
        <f t="shared" ref="AJ5" si="64">AI5</f>
        <v>6029</v>
      </c>
      <c r="AK5" s="103">
        <f t="shared" ref="AK5" si="65">AJ5</f>
        <v>6029</v>
      </c>
      <c r="AL5" s="103">
        <f>ROUND(AK5*(1+取值表!$D$2),0)</f>
        <v>6367</v>
      </c>
      <c r="AM5" s="103">
        <f t="shared" ref="AM5" si="66">AL5</f>
        <v>6367</v>
      </c>
      <c r="AN5" s="103">
        <f t="shared" ref="AN5" si="67">AM5</f>
        <v>6367</v>
      </c>
      <c r="AO5" s="103">
        <f t="shared" ref="AO5" si="68">AN5</f>
        <v>6367</v>
      </c>
      <c r="AP5" s="103">
        <f>ROUND(AO5*(1+取值表!$D$2),0)</f>
        <v>6724</v>
      </c>
      <c r="AQ5" s="103">
        <f t="shared" ref="AQ5" si="69">AP5</f>
        <v>6724</v>
      </c>
      <c r="AR5" s="103">
        <f t="shared" ref="AR5" si="70">AQ5</f>
        <v>6724</v>
      </c>
      <c r="AS5" s="103">
        <f t="shared" ref="AS5" si="71">AR5</f>
        <v>6724</v>
      </c>
      <c r="AT5" s="103">
        <f>ROUND(AS5*(1+取值表!$D$2),0)</f>
        <v>7101</v>
      </c>
      <c r="AU5" s="103">
        <f t="shared" ref="AU5" si="72">AT5</f>
        <v>7101</v>
      </c>
      <c r="AV5" s="103">
        <f t="shared" ref="AV5" si="73">AU5</f>
        <v>7101</v>
      </c>
      <c r="AW5" s="103">
        <f t="shared" ref="AW5" si="74">AV5</f>
        <v>7101</v>
      </c>
      <c r="AX5" s="103">
        <f>ROUND(AW5*(1+取值表!$D$2),0)</f>
        <v>7499</v>
      </c>
      <c r="AY5" s="103">
        <f t="shared" ref="AY5" si="75">AX5</f>
        <v>7499</v>
      </c>
      <c r="AZ5" s="103">
        <f t="shared" ref="AZ5" si="76">AY5</f>
        <v>7499</v>
      </c>
      <c r="BA5" s="103">
        <f t="shared" ref="BA5" si="77">AZ5</f>
        <v>7499</v>
      </c>
      <c r="BB5" s="103">
        <f>ROUND(BA5*(1+取值表!$D$2),0)</f>
        <v>7919</v>
      </c>
      <c r="BC5" s="103">
        <f t="shared" ref="BC5" si="78">BB5</f>
        <v>7919</v>
      </c>
      <c r="BD5" s="103">
        <f t="shared" ref="BD5" si="79">BC5</f>
        <v>7919</v>
      </c>
      <c r="BE5" s="103">
        <f t="shared" ref="BE5" si="80">BD5</f>
        <v>7919</v>
      </c>
      <c r="BF5" s="103">
        <f>ROUND(BE5*(1+取值表!$D$2),0)</f>
        <v>8362</v>
      </c>
      <c r="BG5" s="103">
        <f t="shared" ref="BG5" si="81">BF5</f>
        <v>8362</v>
      </c>
      <c r="BH5" s="103">
        <f t="shared" ref="BH5" si="82">BG5</f>
        <v>8362</v>
      </c>
      <c r="BI5" s="103">
        <f t="shared" ref="BI5" si="83">BH5</f>
        <v>8362</v>
      </c>
      <c r="BJ5" s="103">
        <f>ROUND(BI5*(1+取值表!$D$2),0)</f>
        <v>8830</v>
      </c>
      <c r="BK5" s="103">
        <f t="shared" ref="BK5" si="84">BJ5</f>
        <v>8830</v>
      </c>
      <c r="BL5" s="103">
        <f t="shared" ref="BL5" si="85">BK5</f>
        <v>8830</v>
      </c>
      <c r="BM5" s="103">
        <f t="shared" ref="BM5" si="86">BL5</f>
        <v>8830</v>
      </c>
      <c r="BN5" s="103">
        <f>ROUND(BM5*(1+取值表!$D$2),0)</f>
        <v>9324</v>
      </c>
      <c r="BO5" s="103">
        <f t="shared" ref="BO5" si="87">BN5</f>
        <v>9324</v>
      </c>
      <c r="BP5" s="103">
        <f t="shared" ref="BP5" si="88">BO5</f>
        <v>9324</v>
      </c>
      <c r="BQ5" s="103">
        <f t="shared" ref="BQ5" si="89">BP5</f>
        <v>9324</v>
      </c>
      <c r="BR5" s="103">
        <f>ROUND(BQ5*(1+取值表!$D$2),0)</f>
        <v>9846</v>
      </c>
      <c r="BS5" s="103">
        <f t="shared" ref="BS5" si="90">BR5</f>
        <v>9846</v>
      </c>
      <c r="BT5" s="103">
        <f t="shared" ref="BT5" si="91">BS5</f>
        <v>9846</v>
      </c>
      <c r="BU5" s="103">
        <f t="shared" ref="BU5" si="92">BT5</f>
        <v>9846</v>
      </c>
      <c r="BV5" s="103">
        <f>ROUND(BU5*(1+取值表!$D$2),0)</f>
        <v>10397</v>
      </c>
      <c r="BW5" s="103">
        <f t="shared" ref="BW5" si="93">BV5</f>
        <v>10397</v>
      </c>
      <c r="BX5" s="103">
        <f t="shared" ref="BX5" si="94">BW5</f>
        <v>10397</v>
      </c>
      <c r="BY5" s="103">
        <f t="shared" ref="BY5" si="95">BX5</f>
        <v>10397</v>
      </c>
      <c r="BZ5" s="103">
        <f>ROUND(BY5*(1+取值表!$D$2),0)</f>
        <v>10979</v>
      </c>
      <c r="CA5" s="103">
        <f t="shared" ref="CA5" si="96">BZ5</f>
        <v>10979</v>
      </c>
      <c r="CB5" s="103">
        <f t="shared" ref="CB5" si="97">CA5</f>
        <v>10979</v>
      </c>
      <c r="CC5" s="103">
        <f t="shared" ref="CC5" si="98">CB5</f>
        <v>10979</v>
      </c>
      <c r="CD5" s="103">
        <f>ROUND(CC5*(1+取值表!$D$2),0)</f>
        <v>11594</v>
      </c>
      <c r="CE5" s="103">
        <f t="shared" ref="CE5" si="99">CD5</f>
        <v>11594</v>
      </c>
      <c r="CF5" s="103">
        <f t="shared" ref="CF5" si="100">CE5</f>
        <v>11594</v>
      </c>
      <c r="CG5" s="103">
        <f t="shared" ref="CG5" si="101">CF5</f>
        <v>11594</v>
      </c>
      <c r="CH5" s="103">
        <f>ROUND(CG5*(1+取值表!$D$2),0)</f>
        <v>12243</v>
      </c>
      <c r="CI5" s="103">
        <f t="shared" ref="CI5" si="102">CH5</f>
        <v>12243</v>
      </c>
      <c r="CJ5" s="103">
        <f t="shared" ref="CJ5" si="103">CI5</f>
        <v>12243</v>
      </c>
      <c r="CK5" s="103">
        <f t="shared" ref="CK5" si="104">CJ5</f>
        <v>12243</v>
      </c>
      <c r="CL5" s="103">
        <f>ROUND(CK5*(1+取值表!$D$2),0)</f>
        <v>12929</v>
      </c>
      <c r="CM5" s="103">
        <f t="shared" ref="CM5" si="105">CL5</f>
        <v>12929</v>
      </c>
      <c r="CN5" s="103">
        <f t="shared" ref="CN5" si="106">CM5</f>
        <v>12929</v>
      </c>
      <c r="CO5" s="103">
        <f t="shared" ref="CO5" si="107">CN5</f>
        <v>12929</v>
      </c>
      <c r="CP5" s="104">
        <f t="shared" si="54"/>
        <v>665744</v>
      </c>
    </row>
    <row r="6" spans="1:94" s="58" customFormat="1" ht="12.75">
      <c r="A6" s="546"/>
      <c r="B6" s="550"/>
      <c r="C6" s="548"/>
      <c r="D6" s="549"/>
      <c r="E6" s="547"/>
      <c r="F6" s="562"/>
      <c r="G6" s="562"/>
      <c r="H6" s="563"/>
      <c r="I6" s="99"/>
      <c r="J6" s="101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>
        <f>ROUND(U6*(1+取值表!$D$2),0)</f>
        <v>0</v>
      </c>
      <c r="W6" s="103"/>
      <c r="X6" s="103"/>
      <c r="Y6" s="103"/>
      <c r="Z6" s="103">
        <f>ROUND(Y6*(1+取值表!$D$2),0)</f>
        <v>0</v>
      </c>
      <c r="AA6" s="103"/>
      <c r="AB6" s="103"/>
      <c r="AC6" s="103"/>
      <c r="AD6" s="103">
        <f>ROUND(AC6*(1+取值表!$D$2),0)</f>
        <v>0</v>
      </c>
      <c r="AE6" s="103"/>
      <c r="AF6" s="103"/>
      <c r="AG6" s="103"/>
      <c r="AH6" s="103">
        <f>ROUND(AG6*(1+取值表!$D$2),0)</f>
        <v>0</v>
      </c>
      <c r="AI6" s="103"/>
      <c r="AJ6" s="103"/>
      <c r="AK6" s="103"/>
      <c r="AL6" s="103">
        <f>ROUND(AK6*(1+取值表!$D$2),0)</f>
        <v>0</v>
      </c>
      <c r="AM6" s="103"/>
      <c r="AN6" s="103"/>
      <c r="AO6" s="103"/>
      <c r="AP6" s="103">
        <f>ROUND(AO6*(1+取值表!$D$2),0)</f>
        <v>0</v>
      </c>
      <c r="AQ6" s="103"/>
      <c r="AR6" s="103"/>
      <c r="AS6" s="103"/>
      <c r="AT6" s="103">
        <f>ROUND(AS6*(1+取值表!$D$2),0)</f>
        <v>0</v>
      </c>
      <c r="AU6" s="103"/>
      <c r="AV6" s="103"/>
      <c r="AW6" s="103"/>
      <c r="AX6" s="103">
        <f>ROUND(AW6*(1+取值表!$D$2),0)</f>
        <v>0</v>
      </c>
      <c r="AY6" s="103"/>
      <c r="AZ6" s="103"/>
      <c r="BA6" s="103"/>
      <c r="BB6" s="103">
        <f>ROUND(BA6*(1+取值表!$D$2),0)</f>
        <v>0</v>
      </c>
      <c r="BC6" s="103"/>
      <c r="BD6" s="103"/>
      <c r="BE6" s="103"/>
      <c r="BF6" s="103">
        <f>ROUND(BE6*(1+取值表!$D$2),0)</f>
        <v>0</v>
      </c>
      <c r="BG6" s="103"/>
      <c r="BH6" s="103"/>
      <c r="BI6" s="103"/>
      <c r="BJ6" s="103">
        <f>ROUND(BI6*(1+取值表!$D$2),0)</f>
        <v>0</v>
      </c>
      <c r="BK6" s="103"/>
      <c r="BL6" s="103"/>
      <c r="BM6" s="103"/>
      <c r="BN6" s="103">
        <f>ROUND(BM6*(1+取值表!$D$2),0)</f>
        <v>0</v>
      </c>
      <c r="BO6" s="103"/>
      <c r="BP6" s="103"/>
      <c r="BQ6" s="103"/>
      <c r="BR6" s="103">
        <f>ROUND(BQ6*(1+取值表!$D$2),0)</f>
        <v>0</v>
      </c>
      <c r="BS6" s="103"/>
      <c r="BT6" s="103"/>
      <c r="BU6" s="103"/>
      <c r="BV6" s="103">
        <f>ROUND(BU6*(1+取值表!$D$2),0)</f>
        <v>0</v>
      </c>
      <c r="BW6" s="103"/>
      <c r="BX6" s="103"/>
      <c r="BY6" s="103"/>
      <c r="BZ6" s="103">
        <f>ROUND(BY6*(1+取值表!$D$2),0)</f>
        <v>0</v>
      </c>
      <c r="CA6" s="103"/>
      <c r="CB6" s="103"/>
      <c r="CC6" s="103"/>
      <c r="CD6" s="103">
        <f>ROUND(CC6*(1+取值表!$D$2),0)</f>
        <v>0</v>
      </c>
      <c r="CE6" s="103"/>
      <c r="CF6" s="103"/>
      <c r="CG6" s="103"/>
      <c r="CH6" s="103">
        <f>ROUND(CG6*(1+取值表!$D$2),0)</f>
        <v>0</v>
      </c>
      <c r="CI6" s="103"/>
      <c r="CJ6" s="103"/>
      <c r="CK6" s="103"/>
      <c r="CL6" s="103">
        <f>ROUND(CK6*(1+取值表!$D$2),0)</f>
        <v>0</v>
      </c>
      <c r="CM6" s="103"/>
      <c r="CN6" s="103"/>
      <c r="CO6" s="103"/>
      <c r="CP6" s="104">
        <f t="shared" si="54"/>
        <v>0</v>
      </c>
    </row>
    <row r="7" spans="1:94" s="58" customFormat="1" ht="12" customHeight="1">
      <c r="A7" s="546">
        <v>3</v>
      </c>
      <c r="B7" s="550" t="s">
        <v>892</v>
      </c>
      <c r="C7" s="548" t="s">
        <v>893</v>
      </c>
      <c r="D7" s="549" t="s">
        <v>341</v>
      </c>
      <c r="E7" s="547" t="s">
        <v>398</v>
      </c>
      <c r="F7" s="562">
        <v>16.21</v>
      </c>
      <c r="G7" s="562">
        <f>H7/365/F7</f>
        <v>3.1232876712328772</v>
      </c>
      <c r="H7" s="563">
        <v>18479.400000000001</v>
      </c>
      <c r="I7" s="99"/>
      <c r="J7" s="101">
        <f>ROUND(18479.4/4,0)</f>
        <v>4620</v>
      </c>
      <c r="K7" s="103">
        <f>J7</f>
        <v>4620</v>
      </c>
      <c r="L7" s="102">
        <f>K7</f>
        <v>4620</v>
      </c>
      <c r="M7" s="103">
        <f>L7</f>
        <v>4620</v>
      </c>
      <c r="N7" s="103">
        <f>ROUND(M7*(1+取值表!$D$2)*取值表!$I$2,0)</f>
        <v>4591</v>
      </c>
      <c r="O7" s="103">
        <f>N7</f>
        <v>4591</v>
      </c>
      <c r="P7" s="103">
        <f>O7</f>
        <v>4591</v>
      </c>
      <c r="Q7" s="103">
        <f>P7</f>
        <v>4591</v>
      </c>
      <c r="R7" s="278">
        <f>ROUND(Q7*(1+取值表!$D$2),0)</f>
        <v>4848</v>
      </c>
      <c r="S7" s="103">
        <f t="shared" ref="S7:U7" si="108">R7</f>
        <v>4848</v>
      </c>
      <c r="T7" s="103">
        <f t="shared" si="108"/>
        <v>4848</v>
      </c>
      <c r="U7" s="103">
        <f t="shared" si="108"/>
        <v>4848</v>
      </c>
      <c r="V7" s="103">
        <f>ROUND(U7*(1+取值表!$D$2),0)</f>
        <v>5119</v>
      </c>
      <c r="W7" s="103">
        <f t="shared" ref="W7:Y7" si="109">V7</f>
        <v>5119</v>
      </c>
      <c r="X7" s="103">
        <f t="shared" si="109"/>
        <v>5119</v>
      </c>
      <c r="Y7" s="103">
        <f t="shared" si="109"/>
        <v>5119</v>
      </c>
      <c r="Z7" s="103">
        <f>ROUND(Y7*(1+取值表!$D$2),0)</f>
        <v>5406</v>
      </c>
      <c r="AA7" s="103">
        <f t="shared" ref="AA7" si="110">Z7</f>
        <v>5406</v>
      </c>
      <c r="AB7" s="103">
        <f t="shared" ref="AB7" si="111">AA7</f>
        <v>5406</v>
      </c>
      <c r="AC7" s="103">
        <f t="shared" ref="AC7" si="112">AB7</f>
        <v>5406</v>
      </c>
      <c r="AD7" s="103">
        <f>ROUND(AC7*(1+取值表!$D$2),0)</f>
        <v>5709</v>
      </c>
      <c r="AE7" s="103">
        <f t="shared" ref="AE7" si="113">AD7</f>
        <v>5709</v>
      </c>
      <c r="AF7" s="103">
        <f t="shared" ref="AF7" si="114">AE7</f>
        <v>5709</v>
      </c>
      <c r="AG7" s="103">
        <f t="shared" ref="AG7" si="115">AF7</f>
        <v>5709</v>
      </c>
      <c r="AH7" s="103">
        <f>ROUND(AG7*(1+取值表!$D$2),0)</f>
        <v>6029</v>
      </c>
      <c r="AI7" s="103">
        <f t="shared" ref="AI7" si="116">AH7</f>
        <v>6029</v>
      </c>
      <c r="AJ7" s="103">
        <f t="shared" ref="AJ7" si="117">AI7</f>
        <v>6029</v>
      </c>
      <c r="AK7" s="103">
        <f t="shared" ref="AK7" si="118">AJ7</f>
        <v>6029</v>
      </c>
      <c r="AL7" s="103">
        <f>ROUND(AK7*(1+取值表!$D$2),0)</f>
        <v>6367</v>
      </c>
      <c r="AM7" s="103">
        <f t="shared" ref="AM7" si="119">AL7</f>
        <v>6367</v>
      </c>
      <c r="AN7" s="103">
        <f t="shared" ref="AN7" si="120">AM7</f>
        <v>6367</v>
      </c>
      <c r="AO7" s="103">
        <f t="shared" ref="AO7" si="121">AN7</f>
        <v>6367</v>
      </c>
      <c r="AP7" s="103">
        <f>ROUND(AO7*(1+取值表!$D$2),0)</f>
        <v>6724</v>
      </c>
      <c r="AQ7" s="103">
        <f t="shared" ref="AQ7" si="122">AP7</f>
        <v>6724</v>
      </c>
      <c r="AR7" s="103">
        <f t="shared" ref="AR7" si="123">AQ7</f>
        <v>6724</v>
      </c>
      <c r="AS7" s="103">
        <f t="shared" ref="AS7" si="124">AR7</f>
        <v>6724</v>
      </c>
      <c r="AT7" s="103">
        <f>ROUND(AS7*(1+取值表!$D$2),0)</f>
        <v>7101</v>
      </c>
      <c r="AU7" s="103">
        <f t="shared" ref="AU7" si="125">AT7</f>
        <v>7101</v>
      </c>
      <c r="AV7" s="103">
        <f t="shared" ref="AV7" si="126">AU7</f>
        <v>7101</v>
      </c>
      <c r="AW7" s="103">
        <f t="shared" ref="AW7" si="127">AV7</f>
        <v>7101</v>
      </c>
      <c r="AX7" s="103">
        <f>ROUND(AW7*(1+取值表!$D$2),0)</f>
        <v>7499</v>
      </c>
      <c r="AY7" s="103">
        <f t="shared" ref="AY7" si="128">AX7</f>
        <v>7499</v>
      </c>
      <c r="AZ7" s="103">
        <f t="shared" ref="AZ7" si="129">AY7</f>
        <v>7499</v>
      </c>
      <c r="BA7" s="103">
        <f t="shared" ref="BA7" si="130">AZ7</f>
        <v>7499</v>
      </c>
      <c r="BB7" s="103">
        <f>ROUND(BA7*(1+取值表!$D$2),0)</f>
        <v>7919</v>
      </c>
      <c r="BC7" s="103">
        <f t="shared" ref="BC7" si="131">BB7</f>
        <v>7919</v>
      </c>
      <c r="BD7" s="103">
        <f t="shared" ref="BD7" si="132">BC7</f>
        <v>7919</v>
      </c>
      <c r="BE7" s="103">
        <f t="shared" ref="BE7" si="133">BD7</f>
        <v>7919</v>
      </c>
      <c r="BF7" s="103">
        <f>ROUND(BE7*(1+取值表!$D$2),0)</f>
        <v>8362</v>
      </c>
      <c r="BG7" s="103">
        <f t="shared" ref="BG7" si="134">BF7</f>
        <v>8362</v>
      </c>
      <c r="BH7" s="103">
        <f t="shared" ref="BH7" si="135">BG7</f>
        <v>8362</v>
      </c>
      <c r="BI7" s="103">
        <f t="shared" ref="BI7" si="136">BH7</f>
        <v>8362</v>
      </c>
      <c r="BJ7" s="103">
        <f>ROUND(BI7*(1+取值表!$D$2),0)</f>
        <v>8830</v>
      </c>
      <c r="BK7" s="103">
        <f t="shared" ref="BK7" si="137">BJ7</f>
        <v>8830</v>
      </c>
      <c r="BL7" s="103">
        <f t="shared" ref="BL7" si="138">BK7</f>
        <v>8830</v>
      </c>
      <c r="BM7" s="103">
        <f t="shared" ref="BM7" si="139">BL7</f>
        <v>8830</v>
      </c>
      <c r="BN7" s="103">
        <f>ROUND(BM7*(1+取值表!$D$2),0)</f>
        <v>9324</v>
      </c>
      <c r="BO7" s="103">
        <f t="shared" ref="BO7" si="140">BN7</f>
        <v>9324</v>
      </c>
      <c r="BP7" s="103">
        <f t="shared" ref="BP7" si="141">BO7</f>
        <v>9324</v>
      </c>
      <c r="BQ7" s="103">
        <f t="shared" ref="BQ7" si="142">BP7</f>
        <v>9324</v>
      </c>
      <c r="BR7" s="103">
        <f>ROUND(BQ7*(1+取值表!$D$2),0)</f>
        <v>9846</v>
      </c>
      <c r="BS7" s="103">
        <f t="shared" ref="BS7" si="143">BR7</f>
        <v>9846</v>
      </c>
      <c r="BT7" s="103">
        <f t="shared" ref="BT7" si="144">BS7</f>
        <v>9846</v>
      </c>
      <c r="BU7" s="103">
        <f t="shared" ref="BU7" si="145">BT7</f>
        <v>9846</v>
      </c>
      <c r="BV7" s="103">
        <f>ROUND(BU7*(1+取值表!$D$2),0)</f>
        <v>10397</v>
      </c>
      <c r="BW7" s="103">
        <f t="shared" ref="BW7" si="146">BV7</f>
        <v>10397</v>
      </c>
      <c r="BX7" s="103">
        <f t="shared" ref="BX7" si="147">BW7</f>
        <v>10397</v>
      </c>
      <c r="BY7" s="103">
        <f t="shared" ref="BY7" si="148">BX7</f>
        <v>10397</v>
      </c>
      <c r="BZ7" s="103">
        <f>ROUND(BY7*(1+取值表!$D$2),0)</f>
        <v>10979</v>
      </c>
      <c r="CA7" s="103">
        <f t="shared" ref="CA7" si="149">BZ7</f>
        <v>10979</v>
      </c>
      <c r="CB7" s="103">
        <f t="shared" ref="CB7" si="150">CA7</f>
        <v>10979</v>
      </c>
      <c r="CC7" s="103">
        <f t="shared" ref="CC7" si="151">CB7</f>
        <v>10979</v>
      </c>
      <c r="CD7" s="103">
        <f>ROUND(CC7*(1+取值表!$D$2),0)</f>
        <v>11594</v>
      </c>
      <c r="CE7" s="103">
        <f t="shared" ref="CE7" si="152">CD7</f>
        <v>11594</v>
      </c>
      <c r="CF7" s="103">
        <f t="shared" ref="CF7" si="153">CE7</f>
        <v>11594</v>
      </c>
      <c r="CG7" s="103">
        <f t="shared" ref="CG7" si="154">CF7</f>
        <v>11594</v>
      </c>
      <c r="CH7" s="103">
        <f>ROUND(CG7*(1+取值表!$D$2),0)</f>
        <v>12243</v>
      </c>
      <c r="CI7" s="103">
        <f t="shared" ref="CI7" si="155">CH7</f>
        <v>12243</v>
      </c>
      <c r="CJ7" s="103">
        <f t="shared" ref="CJ7" si="156">CI7</f>
        <v>12243</v>
      </c>
      <c r="CK7" s="103">
        <f t="shared" ref="CK7" si="157">CJ7</f>
        <v>12243</v>
      </c>
      <c r="CL7" s="103">
        <f>ROUND(CK7*(1+取值表!$D$2),0)</f>
        <v>12929</v>
      </c>
      <c r="CM7" s="103">
        <f t="shared" ref="CM7" si="158">CL7</f>
        <v>12929</v>
      </c>
      <c r="CN7" s="103">
        <f t="shared" ref="CN7" si="159">CM7</f>
        <v>12929</v>
      </c>
      <c r="CO7" s="103">
        <f t="shared" ref="CO7" si="160">CN7</f>
        <v>12929</v>
      </c>
      <c r="CP7" s="104">
        <f t="shared" si="54"/>
        <v>665744</v>
      </c>
    </row>
    <row r="8" spans="1:94" s="58" customFormat="1" ht="12.75">
      <c r="A8" s="546"/>
      <c r="B8" s="550"/>
      <c r="C8" s="548"/>
      <c r="D8" s="549"/>
      <c r="E8" s="547"/>
      <c r="F8" s="562"/>
      <c r="G8" s="562"/>
      <c r="H8" s="563"/>
      <c r="I8" s="99"/>
      <c r="J8" s="101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>
        <f>ROUND(U8*(1+取值表!$D$2),0)</f>
        <v>0</v>
      </c>
      <c r="W8" s="103"/>
      <c r="X8" s="103"/>
      <c r="Y8" s="103"/>
      <c r="Z8" s="103">
        <f>ROUND(Y8*(1+取值表!$D$2),0)</f>
        <v>0</v>
      </c>
      <c r="AA8" s="103"/>
      <c r="AB8" s="103"/>
      <c r="AC8" s="103"/>
      <c r="AD8" s="103">
        <f>ROUND(AC8*(1+取值表!$D$2),0)</f>
        <v>0</v>
      </c>
      <c r="AE8" s="103"/>
      <c r="AF8" s="103"/>
      <c r="AG8" s="103"/>
      <c r="AH8" s="103">
        <f>ROUND(AG8*(1+取值表!$D$2),0)</f>
        <v>0</v>
      </c>
      <c r="AI8" s="103"/>
      <c r="AJ8" s="103"/>
      <c r="AK8" s="103"/>
      <c r="AL8" s="103">
        <f>ROUND(AK8*(1+取值表!$D$2),0)</f>
        <v>0</v>
      </c>
      <c r="AM8" s="103"/>
      <c r="AN8" s="103"/>
      <c r="AO8" s="103"/>
      <c r="AP8" s="103">
        <f>ROUND(AO8*(1+取值表!$D$2),0)</f>
        <v>0</v>
      </c>
      <c r="AQ8" s="103"/>
      <c r="AR8" s="103"/>
      <c r="AS8" s="103"/>
      <c r="AT8" s="103">
        <f>ROUND(AS8*(1+取值表!$D$2),0)</f>
        <v>0</v>
      </c>
      <c r="AU8" s="103"/>
      <c r="AV8" s="103"/>
      <c r="AW8" s="103"/>
      <c r="AX8" s="103">
        <f>ROUND(AW8*(1+取值表!$D$2),0)</f>
        <v>0</v>
      </c>
      <c r="AY8" s="103"/>
      <c r="AZ8" s="103"/>
      <c r="BA8" s="103"/>
      <c r="BB8" s="103">
        <f>ROUND(BA8*(1+取值表!$D$2),0)</f>
        <v>0</v>
      </c>
      <c r="BC8" s="103"/>
      <c r="BD8" s="103"/>
      <c r="BE8" s="103"/>
      <c r="BF8" s="103">
        <f>ROUND(BE8*(1+取值表!$D$2),0)</f>
        <v>0</v>
      </c>
      <c r="BG8" s="103"/>
      <c r="BH8" s="103"/>
      <c r="BI8" s="103"/>
      <c r="BJ8" s="103">
        <f>ROUND(BI8*(1+取值表!$D$2),0)</f>
        <v>0</v>
      </c>
      <c r="BK8" s="103"/>
      <c r="BL8" s="103"/>
      <c r="BM8" s="103"/>
      <c r="BN8" s="103">
        <f>ROUND(BM8*(1+取值表!$D$2),0)</f>
        <v>0</v>
      </c>
      <c r="BO8" s="103"/>
      <c r="BP8" s="103"/>
      <c r="BQ8" s="103"/>
      <c r="BR8" s="103">
        <f>ROUND(BQ8*(1+取值表!$D$2),0)</f>
        <v>0</v>
      </c>
      <c r="BS8" s="103"/>
      <c r="BT8" s="103"/>
      <c r="BU8" s="103"/>
      <c r="BV8" s="103">
        <f>ROUND(BU8*(1+取值表!$D$2),0)</f>
        <v>0</v>
      </c>
      <c r="BW8" s="103"/>
      <c r="BX8" s="103"/>
      <c r="BY8" s="103"/>
      <c r="BZ8" s="103">
        <f>ROUND(BY8*(1+取值表!$D$2),0)</f>
        <v>0</v>
      </c>
      <c r="CA8" s="103"/>
      <c r="CB8" s="103"/>
      <c r="CC8" s="103"/>
      <c r="CD8" s="103">
        <f>ROUND(CC8*(1+取值表!$D$2),0)</f>
        <v>0</v>
      </c>
      <c r="CE8" s="103"/>
      <c r="CF8" s="103"/>
      <c r="CG8" s="103"/>
      <c r="CH8" s="103">
        <f>ROUND(CG8*(1+取值表!$D$2),0)</f>
        <v>0</v>
      </c>
      <c r="CI8" s="103"/>
      <c r="CJ8" s="103"/>
      <c r="CK8" s="103"/>
      <c r="CL8" s="103">
        <f>ROUND(CK8*(1+取值表!$D$2),0)</f>
        <v>0</v>
      </c>
      <c r="CM8" s="103"/>
      <c r="CN8" s="103"/>
      <c r="CO8" s="103"/>
      <c r="CP8" s="104">
        <f t="shared" si="54"/>
        <v>0</v>
      </c>
    </row>
    <row r="9" spans="1:94" s="58" customFormat="1" ht="12" customHeight="1">
      <c r="A9" s="546">
        <v>4</v>
      </c>
      <c r="B9" s="550" t="s">
        <v>894</v>
      </c>
      <c r="C9" s="548" t="s">
        <v>895</v>
      </c>
      <c r="D9" s="549" t="s">
        <v>400</v>
      </c>
      <c r="E9" s="547" t="s">
        <v>398</v>
      </c>
      <c r="F9" s="562">
        <v>16.21</v>
      </c>
      <c r="G9" s="562">
        <f>H9/365/F9</f>
        <v>3.1232876712328772</v>
      </c>
      <c r="H9" s="563">
        <f>18479.4</f>
        <v>18479.400000000001</v>
      </c>
      <c r="I9" s="99"/>
      <c r="J9" s="101">
        <f>ROUND(18479.4/4,0)</f>
        <v>4620</v>
      </c>
      <c r="K9" s="102">
        <f>J9</f>
        <v>4620</v>
      </c>
      <c r="L9" s="103">
        <f>K9</f>
        <v>4620</v>
      </c>
      <c r="M9" s="103">
        <f>L9</f>
        <v>4620</v>
      </c>
      <c r="N9" s="103">
        <f>ROUND(M9*(1+取值表!$D$2)*取值表!$I$2,0)</f>
        <v>4591</v>
      </c>
      <c r="O9" s="103">
        <f>N9</f>
        <v>4591</v>
      </c>
      <c r="P9" s="103">
        <f>O9</f>
        <v>4591</v>
      </c>
      <c r="Q9" s="103">
        <f>P9</f>
        <v>4591</v>
      </c>
      <c r="R9" s="278">
        <f>ROUND(Q9*(1+取值表!$D$2),0)</f>
        <v>4848</v>
      </c>
      <c r="S9" s="103">
        <f t="shared" ref="S9:U9" si="161">R9</f>
        <v>4848</v>
      </c>
      <c r="T9" s="103">
        <f t="shared" si="161"/>
        <v>4848</v>
      </c>
      <c r="U9" s="103">
        <f t="shared" si="161"/>
        <v>4848</v>
      </c>
      <c r="V9" s="103">
        <f>ROUND(U9*(1+取值表!$D$2),0)</f>
        <v>5119</v>
      </c>
      <c r="W9" s="103">
        <f>V9</f>
        <v>5119</v>
      </c>
      <c r="X9" s="103">
        <f t="shared" ref="X9:Y9" si="162">W9</f>
        <v>5119</v>
      </c>
      <c r="Y9" s="103">
        <f t="shared" si="162"/>
        <v>5119</v>
      </c>
      <c r="Z9" s="103">
        <f>ROUND(Y9*(1+取值表!$D$2),0)</f>
        <v>5406</v>
      </c>
      <c r="AA9" s="103">
        <f t="shared" ref="AA9" si="163">Z9</f>
        <v>5406</v>
      </c>
      <c r="AB9" s="103">
        <f t="shared" ref="AB9" si="164">AA9</f>
        <v>5406</v>
      </c>
      <c r="AC9" s="103">
        <f t="shared" ref="AC9" si="165">AB9</f>
        <v>5406</v>
      </c>
      <c r="AD9" s="103">
        <f>ROUND(AC9*(1+取值表!$D$2),0)</f>
        <v>5709</v>
      </c>
      <c r="AE9" s="103">
        <f t="shared" ref="AE9" si="166">AD9</f>
        <v>5709</v>
      </c>
      <c r="AF9" s="103">
        <f t="shared" ref="AF9" si="167">AE9</f>
        <v>5709</v>
      </c>
      <c r="AG9" s="103">
        <f t="shared" ref="AG9" si="168">AF9</f>
        <v>5709</v>
      </c>
      <c r="AH9" s="103">
        <f>ROUND(AG9*(1+取值表!$D$2),0)</f>
        <v>6029</v>
      </c>
      <c r="AI9" s="103">
        <f t="shared" ref="AI9" si="169">AH9</f>
        <v>6029</v>
      </c>
      <c r="AJ9" s="103">
        <f t="shared" ref="AJ9" si="170">AI9</f>
        <v>6029</v>
      </c>
      <c r="AK9" s="103">
        <f t="shared" ref="AK9" si="171">AJ9</f>
        <v>6029</v>
      </c>
      <c r="AL9" s="103">
        <f>ROUND(AK9*(1+取值表!$D$2),0)</f>
        <v>6367</v>
      </c>
      <c r="AM9" s="103">
        <f t="shared" ref="AM9" si="172">AL9</f>
        <v>6367</v>
      </c>
      <c r="AN9" s="103">
        <f t="shared" ref="AN9" si="173">AM9</f>
        <v>6367</v>
      </c>
      <c r="AO9" s="103">
        <f t="shared" ref="AO9" si="174">AN9</f>
        <v>6367</v>
      </c>
      <c r="AP9" s="103">
        <f>ROUND(AO9*(1+取值表!$D$2),0)</f>
        <v>6724</v>
      </c>
      <c r="AQ9" s="103">
        <f t="shared" ref="AQ9" si="175">AP9</f>
        <v>6724</v>
      </c>
      <c r="AR9" s="103">
        <f t="shared" ref="AR9" si="176">AQ9</f>
        <v>6724</v>
      </c>
      <c r="AS9" s="103">
        <f t="shared" ref="AS9" si="177">AR9</f>
        <v>6724</v>
      </c>
      <c r="AT9" s="103">
        <f>ROUND(AS9*(1+取值表!$D$2),0)</f>
        <v>7101</v>
      </c>
      <c r="AU9" s="103">
        <f t="shared" ref="AU9" si="178">AT9</f>
        <v>7101</v>
      </c>
      <c r="AV9" s="103">
        <f t="shared" ref="AV9" si="179">AU9</f>
        <v>7101</v>
      </c>
      <c r="AW9" s="103">
        <f t="shared" ref="AW9" si="180">AV9</f>
        <v>7101</v>
      </c>
      <c r="AX9" s="103">
        <f>ROUND(AW9*(1+取值表!$D$2),0)</f>
        <v>7499</v>
      </c>
      <c r="AY9" s="103">
        <f t="shared" ref="AY9" si="181">AX9</f>
        <v>7499</v>
      </c>
      <c r="AZ9" s="103">
        <f t="shared" ref="AZ9" si="182">AY9</f>
        <v>7499</v>
      </c>
      <c r="BA9" s="103">
        <f t="shared" ref="BA9" si="183">AZ9</f>
        <v>7499</v>
      </c>
      <c r="BB9" s="103">
        <f>ROUND(BA9*(1+取值表!$D$2),0)</f>
        <v>7919</v>
      </c>
      <c r="BC9" s="103">
        <f t="shared" ref="BC9" si="184">BB9</f>
        <v>7919</v>
      </c>
      <c r="BD9" s="103">
        <f t="shared" ref="BD9" si="185">BC9</f>
        <v>7919</v>
      </c>
      <c r="BE9" s="103">
        <f t="shared" ref="BE9" si="186">BD9</f>
        <v>7919</v>
      </c>
      <c r="BF9" s="103">
        <f>ROUND(BE9*(1+取值表!$D$2),0)</f>
        <v>8362</v>
      </c>
      <c r="BG9" s="103">
        <f t="shared" ref="BG9" si="187">BF9</f>
        <v>8362</v>
      </c>
      <c r="BH9" s="103">
        <f t="shared" ref="BH9" si="188">BG9</f>
        <v>8362</v>
      </c>
      <c r="BI9" s="103">
        <f t="shared" ref="BI9" si="189">BH9</f>
        <v>8362</v>
      </c>
      <c r="BJ9" s="103">
        <f>ROUND(BI9*(1+取值表!$D$2),0)</f>
        <v>8830</v>
      </c>
      <c r="BK9" s="103">
        <f t="shared" ref="BK9" si="190">BJ9</f>
        <v>8830</v>
      </c>
      <c r="BL9" s="103">
        <f t="shared" ref="BL9" si="191">BK9</f>
        <v>8830</v>
      </c>
      <c r="BM9" s="103">
        <f t="shared" ref="BM9" si="192">BL9</f>
        <v>8830</v>
      </c>
      <c r="BN9" s="103">
        <f>ROUND(BM9*(1+取值表!$D$2),0)</f>
        <v>9324</v>
      </c>
      <c r="BO9" s="103">
        <f t="shared" ref="BO9" si="193">BN9</f>
        <v>9324</v>
      </c>
      <c r="BP9" s="103">
        <f t="shared" ref="BP9" si="194">BO9</f>
        <v>9324</v>
      </c>
      <c r="BQ9" s="103">
        <f t="shared" ref="BQ9" si="195">BP9</f>
        <v>9324</v>
      </c>
      <c r="BR9" s="103">
        <f>ROUND(BQ9*(1+取值表!$D$2),0)</f>
        <v>9846</v>
      </c>
      <c r="BS9" s="103">
        <f t="shared" ref="BS9" si="196">BR9</f>
        <v>9846</v>
      </c>
      <c r="BT9" s="103">
        <f t="shared" ref="BT9" si="197">BS9</f>
        <v>9846</v>
      </c>
      <c r="BU9" s="103">
        <f t="shared" ref="BU9" si="198">BT9</f>
        <v>9846</v>
      </c>
      <c r="BV9" s="103">
        <f>ROUND(BU9*(1+取值表!$D$2),0)</f>
        <v>10397</v>
      </c>
      <c r="BW9" s="103">
        <f t="shared" ref="BW9" si="199">BV9</f>
        <v>10397</v>
      </c>
      <c r="BX9" s="103">
        <f t="shared" ref="BX9" si="200">BW9</f>
        <v>10397</v>
      </c>
      <c r="BY9" s="103">
        <f t="shared" ref="BY9" si="201">BX9</f>
        <v>10397</v>
      </c>
      <c r="BZ9" s="103">
        <f>ROUND(BY9*(1+取值表!$D$2),0)</f>
        <v>10979</v>
      </c>
      <c r="CA9" s="103">
        <f t="shared" ref="CA9" si="202">BZ9</f>
        <v>10979</v>
      </c>
      <c r="CB9" s="103">
        <f t="shared" ref="CB9" si="203">CA9</f>
        <v>10979</v>
      </c>
      <c r="CC9" s="103">
        <f t="shared" ref="CC9" si="204">CB9</f>
        <v>10979</v>
      </c>
      <c r="CD9" s="103">
        <f>ROUND(CC9*(1+取值表!$D$2),0)</f>
        <v>11594</v>
      </c>
      <c r="CE9" s="103">
        <f t="shared" ref="CE9" si="205">CD9</f>
        <v>11594</v>
      </c>
      <c r="CF9" s="103">
        <f t="shared" ref="CF9" si="206">CE9</f>
        <v>11594</v>
      </c>
      <c r="CG9" s="103">
        <f t="shared" ref="CG9" si="207">CF9</f>
        <v>11594</v>
      </c>
      <c r="CH9" s="103">
        <f>ROUND(CG9*(1+取值表!$D$2),0)</f>
        <v>12243</v>
      </c>
      <c r="CI9" s="103">
        <f t="shared" ref="CI9" si="208">CH9</f>
        <v>12243</v>
      </c>
      <c r="CJ9" s="103">
        <f t="shared" ref="CJ9" si="209">CI9</f>
        <v>12243</v>
      </c>
      <c r="CK9" s="103">
        <f t="shared" ref="CK9" si="210">CJ9</f>
        <v>12243</v>
      </c>
      <c r="CL9" s="103">
        <f>ROUND(CK9*(1+取值表!$D$2),0)</f>
        <v>12929</v>
      </c>
      <c r="CM9" s="103">
        <f t="shared" ref="CM9" si="211">CL9</f>
        <v>12929</v>
      </c>
      <c r="CN9" s="103">
        <f t="shared" ref="CN9" si="212">CM9</f>
        <v>12929</v>
      </c>
      <c r="CO9" s="103">
        <f t="shared" ref="CO9" si="213">CN9</f>
        <v>12929</v>
      </c>
      <c r="CP9" s="104">
        <f t="shared" si="54"/>
        <v>665744</v>
      </c>
    </row>
    <row r="10" spans="1:94" s="58" customFormat="1" ht="12.75">
      <c r="A10" s="546"/>
      <c r="B10" s="550"/>
      <c r="C10" s="548"/>
      <c r="D10" s="549"/>
      <c r="E10" s="547"/>
      <c r="F10" s="562"/>
      <c r="G10" s="562"/>
      <c r="H10" s="563"/>
      <c r="I10" s="99"/>
      <c r="J10" s="101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>
        <f>ROUND(U10*(1+取值表!$D$2),0)</f>
        <v>0</v>
      </c>
      <c r="W10" s="103"/>
      <c r="X10" s="103"/>
      <c r="Y10" s="103"/>
      <c r="Z10" s="103">
        <f>ROUND(Y10*(1+取值表!$D$2),0)</f>
        <v>0</v>
      </c>
      <c r="AA10" s="103"/>
      <c r="AB10" s="103"/>
      <c r="AC10" s="103"/>
      <c r="AD10" s="103">
        <f>ROUND(AC10*(1+取值表!$D$2),0)</f>
        <v>0</v>
      </c>
      <c r="AE10" s="103"/>
      <c r="AF10" s="103"/>
      <c r="AG10" s="103"/>
      <c r="AH10" s="103">
        <f>ROUND(AG10*(1+取值表!$D$2),0)</f>
        <v>0</v>
      </c>
      <c r="AI10" s="103"/>
      <c r="AJ10" s="103"/>
      <c r="AK10" s="103"/>
      <c r="AL10" s="103">
        <f>ROUND(AK10*(1+取值表!$D$2),0)</f>
        <v>0</v>
      </c>
      <c r="AM10" s="103"/>
      <c r="AN10" s="103"/>
      <c r="AO10" s="103"/>
      <c r="AP10" s="103">
        <f>ROUND(AO10*(1+取值表!$D$2),0)</f>
        <v>0</v>
      </c>
      <c r="AQ10" s="103"/>
      <c r="AR10" s="103"/>
      <c r="AS10" s="103"/>
      <c r="AT10" s="103">
        <f>ROUND(AS10*(1+取值表!$D$2),0)</f>
        <v>0</v>
      </c>
      <c r="AU10" s="103"/>
      <c r="AV10" s="103"/>
      <c r="AW10" s="103"/>
      <c r="AX10" s="103">
        <f>ROUND(AW10*(1+取值表!$D$2),0)</f>
        <v>0</v>
      </c>
      <c r="AY10" s="103"/>
      <c r="AZ10" s="103"/>
      <c r="BA10" s="103"/>
      <c r="BB10" s="103">
        <f>ROUND(BA10*(1+取值表!$D$2),0)</f>
        <v>0</v>
      </c>
      <c r="BC10" s="103"/>
      <c r="BD10" s="103"/>
      <c r="BE10" s="103"/>
      <c r="BF10" s="103">
        <f>ROUND(BE10*(1+取值表!$D$2),0)</f>
        <v>0</v>
      </c>
      <c r="BG10" s="103"/>
      <c r="BH10" s="103"/>
      <c r="BI10" s="103"/>
      <c r="BJ10" s="103">
        <f>ROUND(BI10*(1+取值表!$D$2),0)</f>
        <v>0</v>
      </c>
      <c r="BK10" s="103"/>
      <c r="BL10" s="103"/>
      <c r="BM10" s="103"/>
      <c r="BN10" s="103">
        <f>ROUND(BM10*(1+取值表!$D$2),0)</f>
        <v>0</v>
      </c>
      <c r="BO10" s="103"/>
      <c r="BP10" s="103"/>
      <c r="BQ10" s="103"/>
      <c r="BR10" s="103">
        <f>ROUND(BQ10*(1+取值表!$D$2),0)</f>
        <v>0</v>
      </c>
      <c r="BS10" s="103"/>
      <c r="BT10" s="103"/>
      <c r="BU10" s="103"/>
      <c r="BV10" s="103">
        <f>ROUND(BU10*(1+取值表!$D$2),0)</f>
        <v>0</v>
      </c>
      <c r="BW10" s="103"/>
      <c r="BX10" s="103"/>
      <c r="BY10" s="103"/>
      <c r="BZ10" s="103">
        <f>ROUND(BY10*(1+取值表!$D$2),0)</f>
        <v>0</v>
      </c>
      <c r="CA10" s="103"/>
      <c r="CB10" s="103"/>
      <c r="CC10" s="103"/>
      <c r="CD10" s="103">
        <f>ROUND(CC10*(1+取值表!$D$2),0)</f>
        <v>0</v>
      </c>
      <c r="CE10" s="103"/>
      <c r="CF10" s="103"/>
      <c r="CG10" s="103"/>
      <c r="CH10" s="103">
        <f>ROUND(CG10*(1+取值表!$D$2),0)</f>
        <v>0</v>
      </c>
      <c r="CI10" s="103"/>
      <c r="CJ10" s="103"/>
      <c r="CK10" s="103"/>
      <c r="CL10" s="103">
        <f>ROUND(CK10*(1+取值表!$D$2),0)</f>
        <v>0</v>
      </c>
      <c r="CM10" s="103"/>
      <c r="CN10" s="103"/>
      <c r="CO10" s="103"/>
      <c r="CP10" s="104">
        <f t="shared" si="54"/>
        <v>0</v>
      </c>
    </row>
    <row r="11" spans="1:94" s="58" customFormat="1" ht="12.75" customHeight="1">
      <c r="A11" s="546">
        <v>5</v>
      </c>
      <c r="B11" s="550" t="s">
        <v>896</v>
      </c>
      <c r="C11" s="548" t="s">
        <v>897</v>
      </c>
      <c r="D11" s="549" t="s">
        <v>401</v>
      </c>
      <c r="E11" s="547" t="s">
        <v>398</v>
      </c>
      <c r="F11" s="562">
        <v>16.21</v>
      </c>
      <c r="G11" s="562">
        <f>H11/365/F11</f>
        <v>3.1232876712328772</v>
      </c>
      <c r="H11" s="563">
        <f>18479.4</f>
        <v>18479.400000000001</v>
      </c>
      <c r="I11" s="99"/>
      <c r="J11" s="101">
        <f>ROUND(18479.4/4,0)</f>
        <v>4620</v>
      </c>
      <c r="K11" s="102">
        <f>J11</f>
        <v>4620</v>
      </c>
      <c r="L11" s="103">
        <f>K11</f>
        <v>4620</v>
      </c>
      <c r="M11" s="103">
        <f>L11</f>
        <v>4620</v>
      </c>
      <c r="N11" s="103">
        <f>ROUND(M11*(1+取值表!$D$2)*取值表!$I$2,0)</f>
        <v>4591</v>
      </c>
      <c r="O11" s="103">
        <f>N11</f>
        <v>4591</v>
      </c>
      <c r="P11" s="103">
        <f t="shared" ref="P11:Q11" si="214">O11</f>
        <v>4591</v>
      </c>
      <c r="Q11" s="103">
        <f t="shared" si="214"/>
        <v>4591</v>
      </c>
      <c r="R11" s="278">
        <f>ROUND(Q11*(1+取值表!$D$2),0)</f>
        <v>4848</v>
      </c>
      <c r="S11" s="103">
        <f t="shared" ref="S11:U11" si="215">R11</f>
        <v>4848</v>
      </c>
      <c r="T11" s="103">
        <f t="shared" si="215"/>
        <v>4848</v>
      </c>
      <c r="U11" s="103">
        <f t="shared" si="215"/>
        <v>4848</v>
      </c>
      <c r="V11" s="103">
        <f>ROUND(U11*(1+取值表!$D$2),0)</f>
        <v>5119</v>
      </c>
      <c r="W11" s="103">
        <f t="shared" ref="W11:Y11" si="216">V11</f>
        <v>5119</v>
      </c>
      <c r="X11" s="103">
        <f t="shared" si="216"/>
        <v>5119</v>
      </c>
      <c r="Y11" s="103">
        <f t="shared" si="216"/>
        <v>5119</v>
      </c>
      <c r="Z11" s="103">
        <f>ROUND(Y11*(1+取值表!$D$2),0)</f>
        <v>5406</v>
      </c>
      <c r="AA11" s="103">
        <f t="shared" ref="AA11" si="217">Z11</f>
        <v>5406</v>
      </c>
      <c r="AB11" s="103">
        <f t="shared" ref="AB11" si="218">AA11</f>
        <v>5406</v>
      </c>
      <c r="AC11" s="103">
        <f t="shared" ref="AC11" si="219">AB11</f>
        <v>5406</v>
      </c>
      <c r="AD11" s="103">
        <f>ROUND(AC11*(1+取值表!$D$2),0)</f>
        <v>5709</v>
      </c>
      <c r="AE11" s="103">
        <f t="shared" ref="AE11" si="220">AD11</f>
        <v>5709</v>
      </c>
      <c r="AF11" s="103">
        <f t="shared" ref="AF11" si="221">AE11</f>
        <v>5709</v>
      </c>
      <c r="AG11" s="103">
        <f t="shared" ref="AG11" si="222">AF11</f>
        <v>5709</v>
      </c>
      <c r="AH11" s="103">
        <f>ROUND(AG11*(1+取值表!$D$2),0)</f>
        <v>6029</v>
      </c>
      <c r="AI11" s="103">
        <f t="shared" ref="AI11" si="223">AH11</f>
        <v>6029</v>
      </c>
      <c r="AJ11" s="103">
        <f t="shared" ref="AJ11" si="224">AI11</f>
        <v>6029</v>
      </c>
      <c r="AK11" s="103">
        <f t="shared" ref="AK11" si="225">AJ11</f>
        <v>6029</v>
      </c>
      <c r="AL11" s="103">
        <f>ROUND(AK11*(1+取值表!$D$2),0)</f>
        <v>6367</v>
      </c>
      <c r="AM11" s="103">
        <f t="shared" ref="AM11" si="226">AL11</f>
        <v>6367</v>
      </c>
      <c r="AN11" s="103">
        <f t="shared" ref="AN11" si="227">AM11</f>
        <v>6367</v>
      </c>
      <c r="AO11" s="103">
        <f t="shared" ref="AO11" si="228">AN11</f>
        <v>6367</v>
      </c>
      <c r="AP11" s="103">
        <f>ROUND(AO11*(1+取值表!$D$2),0)</f>
        <v>6724</v>
      </c>
      <c r="AQ11" s="103">
        <f t="shared" ref="AQ11" si="229">AP11</f>
        <v>6724</v>
      </c>
      <c r="AR11" s="103">
        <f t="shared" ref="AR11" si="230">AQ11</f>
        <v>6724</v>
      </c>
      <c r="AS11" s="103">
        <f t="shared" ref="AS11" si="231">AR11</f>
        <v>6724</v>
      </c>
      <c r="AT11" s="103">
        <f>ROUND(AS11*(1+取值表!$D$2),0)</f>
        <v>7101</v>
      </c>
      <c r="AU11" s="103">
        <f t="shared" ref="AU11" si="232">AT11</f>
        <v>7101</v>
      </c>
      <c r="AV11" s="103">
        <f t="shared" ref="AV11" si="233">AU11</f>
        <v>7101</v>
      </c>
      <c r="AW11" s="103">
        <f t="shared" ref="AW11" si="234">AV11</f>
        <v>7101</v>
      </c>
      <c r="AX11" s="103">
        <f>ROUND(AW11*(1+取值表!$D$2),0)</f>
        <v>7499</v>
      </c>
      <c r="AY11" s="103">
        <f t="shared" ref="AY11" si="235">AX11</f>
        <v>7499</v>
      </c>
      <c r="AZ11" s="103">
        <f t="shared" ref="AZ11" si="236">AY11</f>
        <v>7499</v>
      </c>
      <c r="BA11" s="103">
        <f t="shared" ref="BA11" si="237">AZ11</f>
        <v>7499</v>
      </c>
      <c r="BB11" s="103">
        <f>ROUND(BA11*(1+取值表!$D$2),0)</f>
        <v>7919</v>
      </c>
      <c r="BC11" s="103">
        <f t="shared" ref="BC11" si="238">BB11</f>
        <v>7919</v>
      </c>
      <c r="BD11" s="103">
        <f t="shared" ref="BD11" si="239">BC11</f>
        <v>7919</v>
      </c>
      <c r="BE11" s="103">
        <f t="shared" ref="BE11" si="240">BD11</f>
        <v>7919</v>
      </c>
      <c r="BF11" s="103">
        <f>ROUND(BE11*(1+取值表!$D$2),0)</f>
        <v>8362</v>
      </c>
      <c r="BG11" s="103">
        <f t="shared" ref="BG11" si="241">BF11</f>
        <v>8362</v>
      </c>
      <c r="BH11" s="103">
        <f t="shared" ref="BH11" si="242">BG11</f>
        <v>8362</v>
      </c>
      <c r="BI11" s="103">
        <f t="shared" ref="BI11" si="243">BH11</f>
        <v>8362</v>
      </c>
      <c r="BJ11" s="103">
        <f>ROUND(BI11*(1+取值表!$D$2),0)</f>
        <v>8830</v>
      </c>
      <c r="BK11" s="103">
        <f t="shared" ref="BK11" si="244">BJ11</f>
        <v>8830</v>
      </c>
      <c r="BL11" s="103">
        <f t="shared" ref="BL11" si="245">BK11</f>
        <v>8830</v>
      </c>
      <c r="BM11" s="103">
        <f t="shared" ref="BM11" si="246">BL11</f>
        <v>8830</v>
      </c>
      <c r="BN11" s="103">
        <f>ROUND(BM11*(1+取值表!$D$2),0)</f>
        <v>9324</v>
      </c>
      <c r="BO11" s="103">
        <f t="shared" ref="BO11" si="247">BN11</f>
        <v>9324</v>
      </c>
      <c r="BP11" s="103">
        <f t="shared" ref="BP11" si="248">BO11</f>
        <v>9324</v>
      </c>
      <c r="BQ11" s="103">
        <f t="shared" ref="BQ11" si="249">BP11</f>
        <v>9324</v>
      </c>
      <c r="BR11" s="103">
        <f>ROUND(BQ11*(1+取值表!$D$2),0)</f>
        <v>9846</v>
      </c>
      <c r="BS11" s="103">
        <f t="shared" ref="BS11" si="250">BR11</f>
        <v>9846</v>
      </c>
      <c r="BT11" s="103">
        <f t="shared" ref="BT11" si="251">BS11</f>
        <v>9846</v>
      </c>
      <c r="BU11" s="103">
        <f t="shared" ref="BU11" si="252">BT11</f>
        <v>9846</v>
      </c>
      <c r="BV11" s="103">
        <f>ROUND(BU11*(1+取值表!$D$2),0)</f>
        <v>10397</v>
      </c>
      <c r="BW11" s="103">
        <f t="shared" ref="BW11" si="253">BV11</f>
        <v>10397</v>
      </c>
      <c r="BX11" s="103">
        <f t="shared" ref="BX11" si="254">BW11</f>
        <v>10397</v>
      </c>
      <c r="BY11" s="103">
        <f t="shared" ref="BY11" si="255">BX11</f>
        <v>10397</v>
      </c>
      <c r="BZ11" s="103">
        <f>ROUND(BY11*(1+取值表!$D$2),0)</f>
        <v>10979</v>
      </c>
      <c r="CA11" s="103">
        <f t="shared" ref="CA11" si="256">BZ11</f>
        <v>10979</v>
      </c>
      <c r="CB11" s="103">
        <f t="shared" ref="CB11" si="257">CA11</f>
        <v>10979</v>
      </c>
      <c r="CC11" s="103">
        <f t="shared" ref="CC11" si="258">CB11</f>
        <v>10979</v>
      </c>
      <c r="CD11" s="103">
        <f>ROUND(CC11*(1+取值表!$D$2),0)</f>
        <v>11594</v>
      </c>
      <c r="CE11" s="103">
        <f t="shared" ref="CE11" si="259">CD11</f>
        <v>11594</v>
      </c>
      <c r="CF11" s="103">
        <f t="shared" ref="CF11" si="260">CE11</f>
        <v>11594</v>
      </c>
      <c r="CG11" s="103">
        <f t="shared" ref="CG11" si="261">CF11</f>
        <v>11594</v>
      </c>
      <c r="CH11" s="103">
        <f>ROUND(CG11*(1+取值表!$D$2),0)</f>
        <v>12243</v>
      </c>
      <c r="CI11" s="103">
        <f t="shared" ref="CI11" si="262">CH11</f>
        <v>12243</v>
      </c>
      <c r="CJ11" s="103">
        <f t="shared" ref="CJ11" si="263">CI11</f>
        <v>12243</v>
      </c>
      <c r="CK11" s="103">
        <f t="shared" ref="CK11" si="264">CJ11</f>
        <v>12243</v>
      </c>
      <c r="CL11" s="103">
        <f>ROUND(CK11*(1+取值表!$D$2),0)</f>
        <v>12929</v>
      </c>
      <c r="CM11" s="103">
        <f t="shared" ref="CM11" si="265">CL11</f>
        <v>12929</v>
      </c>
      <c r="CN11" s="103">
        <f t="shared" ref="CN11" si="266">CM11</f>
        <v>12929</v>
      </c>
      <c r="CO11" s="103">
        <f t="shared" ref="CO11" si="267">CN11</f>
        <v>12929</v>
      </c>
      <c r="CP11" s="104">
        <f t="shared" si="54"/>
        <v>665744</v>
      </c>
    </row>
    <row r="12" spans="1:94" s="58" customFormat="1" ht="12.75">
      <c r="A12" s="546"/>
      <c r="B12" s="550"/>
      <c r="C12" s="548"/>
      <c r="D12" s="549"/>
      <c r="E12" s="547"/>
      <c r="F12" s="562"/>
      <c r="G12" s="562"/>
      <c r="H12" s="563"/>
      <c r="I12" s="99"/>
      <c r="J12" s="101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>
        <f>ROUND(U12*(1+取值表!$D$2),0)</f>
        <v>0</v>
      </c>
      <c r="W12" s="103"/>
      <c r="X12" s="103"/>
      <c r="Y12" s="103"/>
      <c r="Z12" s="103">
        <f>ROUND(Y12*(1+取值表!$D$2),0)</f>
        <v>0</v>
      </c>
      <c r="AA12" s="103"/>
      <c r="AB12" s="103"/>
      <c r="AC12" s="103"/>
      <c r="AD12" s="103">
        <f>ROUND(AC12*(1+取值表!$D$2),0)</f>
        <v>0</v>
      </c>
      <c r="AE12" s="103"/>
      <c r="AF12" s="103"/>
      <c r="AG12" s="103"/>
      <c r="AH12" s="103">
        <f>ROUND(AG12*(1+取值表!$D$2),0)</f>
        <v>0</v>
      </c>
      <c r="AI12" s="103"/>
      <c r="AJ12" s="103"/>
      <c r="AK12" s="103"/>
      <c r="AL12" s="103">
        <f>ROUND(AK12*(1+取值表!$D$2),0)</f>
        <v>0</v>
      </c>
      <c r="AM12" s="103"/>
      <c r="AN12" s="103"/>
      <c r="AO12" s="103"/>
      <c r="AP12" s="103">
        <f>ROUND(AO12*(1+取值表!$D$2),0)</f>
        <v>0</v>
      </c>
      <c r="AQ12" s="103"/>
      <c r="AR12" s="103"/>
      <c r="AS12" s="103"/>
      <c r="AT12" s="103">
        <f>ROUND(AS12*(1+取值表!$D$2),0)</f>
        <v>0</v>
      </c>
      <c r="AU12" s="103"/>
      <c r="AV12" s="103"/>
      <c r="AW12" s="103"/>
      <c r="AX12" s="103">
        <f>ROUND(AW12*(1+取值表!$D$2),0)</f>
        <v>0</v>
      </c>
      <c r="AY12" s="103"/>
      <c r="AZ12" s="103"/>
      <c r="BA12" s="103"/>
      <c r="BB12" s="103">
        <f>ROUND(BA12*(1+取值表!$D$2),0)</f>
        <v>0</v>
      </c>
      <c r="BC12" s="103"/>
      <c r="BD12" s="103"/>
      <c r="BE12" s="103"/>
      <c r="BF12" s="103">
        <f>ROUND(BE12*(1+取值表!$D$2),0)</f>
        <v>0</v>
      </c>
      <c r="BG12" s="103"/>
      <c r="BH12" s="103"/>
      <c r="BI12" s="103"/>
      <c r="BJ12" s="103">
        <f>ROUND(BI12*(1+取值表!$D$2),0)</f>
        <v>0</v>
      </c>
      <c r="BK12" s="103"/>
      <c r="BL12" s="103"/>
      <c r="BM12" s="103"/>
      <c r="BN12" s="103">
        <f>ROUND(BM12*(1+取值表!$D$2),0)</f>
        <v>0</v>
      </c>
      <c r="BO12" s="103"/>
      <c r="BP12" s="103"/>
      <c r="BQ12" s="103"/>
      <c r="BR12" s="103">
        <f>ROUND(BQ12*(1+取值表!$D$2),0)</f>
        <v>0</v>
      </c>
      <c r="BS12" s="103"/>
      <c r="BT12" s="103"/>
      <c r="BU12" s="103"/>
      <c r="BV12" s="103">
        <f>ROUND(BU12*(1+取值表!$D$2),0)</f>
        <v>0</v>
      </c>
      <c r="BW12" s="103"/>
      <c r="BX12" s="103"/>
      <c r="BY12" s="103"/>
      <c r="BZ12" s="103">
        <f>ROUND(BY12*(1+取值表!$D$2),0)</f>
        <v>0</v>
      </c>
      <c r="CA12" s="103"/>
      <c r="CB12" s="103"/>
      <c r="CC12" s="103"/>
      <c r="CD12" s="103">
        <f>ROUND(CC12*(1+取值表!$D$2),0)</f>
        <v>0</v>
      </c>
      <c r="CE12" s="103"/>
      <c r="CF12" s="103"/>
      <c r="CG12" s="103"/>
      <c r="CH12" s="103">
        <f>ROUND(CG12*(1+取值表!$D$2),0)</f>
        <v>0</v>
      </c>
      <c r="CI12" s="103"/>
      <c r="CJ12" s="103"/>
      <c r="CK12" s="103"/>
      <c r="CL12" s="103">
        <f>ROUND(CK12*(1+取值表!$D$2),0)</f>
        <v>0</v>
      </c>
      <c r="CM12" s="103"/>
      <c r="CN12" s="103"/>
      <c r="CO12" s="103"/>
      <c r="CP12" s="104">
        <f t="shared" si="54"/>
        <v>0</v>
      </c>
    </row>
    <row r="13" spans="1:94" s="58" customFormat="1" ht="12" customHeight="1">
      <c r="A13" s="546">
        <v>6</v>
      </c>
      <c r="B13" s="550" t="s">
        <v>898</v>
      </c>
      <c r="C13" s="548" t="s">
        <v>899</v>
      </c>
      <c r="D13" s="549" t="s">
        <v>402</v>
      </c>
      <c r="E13" s="547" t="s">
        <v>398</v>
      </c>
      <c r="F13" s="562">
        <v>16.21</v>
      </c>
      <c r="G13" s="562">
        <f>H13/365/F13</f>
        <v>3.1232876712328772</v>
      </c>
      <c r="H13" s="563">
        <f>H11</f>
        <v>18479.400000000001</v>
      </c>
      <c r="I13" s="99"/>
      <c r="J13" s="101">
        <f>ROUND(18479.4/4,0)</f>
        <v>4620</v>
      </c>
      <c r="K13" s="102">
        <f>J13</f>
        <v>4620</v>
      </c>
      <c r="L13" s="103">
        <f>K13</f>
        <v>4620</v>
      </c>
      <c r="M13" s="103">
        <f>L13</f>
        <v>4620</v>
      </c>
      <c r="N13" s="103">
        <f>ROUND(M13*(1+取值表!$D$2)*取值表!$I$2,0)</f>
        <v>4591</v>
      </c>
      <c r="O13" s="103">
        <f>N13</f>
        <v>4591</v>
      </c>
      <c r="P13" s="103">
        <f t="shared" ref="P13" si="268">O13</f>
        <v>4591</v>
      </c>
      <c r="Q13" s="103">
        <f>P13</f>
        <v>4591</v>
      </c>
      <c r="R13" s="278">
        <f>ROUND(Q13*(1+取值表!$D$2),0)</f>
        <v>4848</v>
      </c>
      <c r="S13" s="103">
        <f t="shared" ref="S13:U13" si="269">R13</f>
        <v>4848</v>
      </c>
      <c r="T13" s="103">
        <f t="shared" si="269"/>
        <v>4848</v>
      </c>
      <c r="U13" s="103">
        <f t="shared" si="269"/>
        <v>4848</v>
      </c>
      <c r="V13" s="103">
        <f>ROUND(U13*(1+取值表!$D$2),0)</f>
        <v>5119</v>
      </c>
      <c r="W13" s="103">
        <f t="shared" ref="W13:Y13" si="270">V13</f>
        <v>5119</v>
      </c>
      <c r="X13" s="103">
        <f t="shared" si="270"/>
        <v>5119</v>
      </c>
      <c r="Y13" s="103">
        <f t="shared" si="270"/>
        <v>5119</v>
      </c>
      <c r="Z13" s="103">
        <f>ROUND(Y13*(1+取值表!$D$2),0)</f>
        <v>5406</v>
      </c>
      <c r="AA13" s="103">
        <f t="shared" ref="AA13" si="271">Z13</f>
        <v>5406</v>
      </c>
      <c r="AB13" s="103">
        <f t="shared" ref="AB13" si="272">AA13</f>
        <v>5406</v>
      </c>
      <c r="AC13" s="103">
        <f t="shared" ref="AC13" si="273">AB13</f>
        <v>5406</v>
      </c>
      <c r="AD13" s="103">
        <f>ROUND(AC13*(1+取值表!$D$2),0)</f>
        <v>5709</v>
      </c>
      <c r="AE13" s="103">
        <f t="shared" ref="AE13" si="274">AD13</f>
        <v>5709</v>
      </c>
      <c r="AF13" s="103">
        <f t="shared" ref="AF13" si="275">AE13</f>
        <v>5709</v>
      </c>
      <c r="AG13" s="103">
        <f t="shared" ref="AG13" si="276">AF13</f>
        <v>5709</v>
      </c>
      <c r="AH13" s="103">
        <f>ROUND(AG13*(1+取值表!$D$2),0)</f>
        <v>6029</v>
      </c>
      <c r="AI13" s="103">
        <f t="shared" ref="AI13" si="277">AH13</f>
        <v>6029</v>
      </c>
      <c r="AJ13" s="103">
        <f t="shared" ref="AJ13" si="278">AI13</f>
        <v>6029</v>
      </c>
      <c r="AK13" s="103">
        <f t="shared" ref="AK13" si="279">AJ13</f>
        <v>6029</v>
      </c>
      <c r="AL13" s="103">
        <f>ROUND(AK13*(1+取值表!$D$2),0)</f>
        <v>6367</v>
      </c>
      <c r="AM13" s="103">
        <f t="shared" ref="AM13" si="280">AL13</f>
        <v>6367</v>
      </c>
      <c r="AN13" s="103">
        <f t="shared" ref="AN13" si="281">AM13</f>
        <v>6367</v>
      </c>
      <c r="AO13" s="103">
        <f t="shared" ref="AO13" si="282">AN13</f>
        <v>6367</v>
      </c>
      <c r="AP13" s="103">
        <f>ROUND(AO13*(1+取值表!$D$2),0)</f>
        <v>6724</v>
      </c>
      <c r="AQ13" s="103">
        <f t="shared" ref="AQ13" si="283">AP13</f>
        <v>6724</v>
      </c>
      <c r="AR13" s="103">
        <f t="shared" ref="AR13" si="284">AQ13</f>
        <v>6724</v>
      </c>
      <c r="AS13" s="103">
        <f t="shared" ref="AS13" si="285">AR13</f>
        <v>6724</v>
      </c>
      <c r="AT13" s="103">
        <f>ROUND(AS13*(1+取值表!$D$2),0)</f>
        <v>7101</v>
      </c>
      <c r="AU13" s="103">
        <f t="shared" ref="AU13" si="286">AT13</f>
        <v>7101</v>
      </c>
      <c r="AV13" s="103">
        <f t="shared" ref="AV13" si="287">AU13</f>
        <v>7101</v>
      </c>
      <c r="AW13" s="103">
        <f t="shared" ref="AW13" si="288">AV13</f>
        <v>7101</v>
      </c>
      <c r="AX13" s="103">
        <f>ROUND(AW13*(1+取值表!$D$2),0)</f>
        <v>7499</v>
      </c>
      <c r="AY13" s="103">
        <f t="shared" ref="AY13" si="289">AX13</f>
        <v>7499</v>
      </c>
      <c r="AZ13" s="103">
        <f t="shared" ref="AZ13" si="290">AY13</f>
        <v>7499</v>
      </c>
      <c r="BA13" s="103">
        <f t="shared" ref="BA13" si="291">AZ13</f>
        <v>7499</v>
      </c>
      <c r="BB13" s="103">
        <f>ROUND(BA13*(1+取值表!$D$2),0)</f>
        <v>7919</v>
      </c>
      <c r="BC13" s="103">
        <f t="shared" ref="BC13" si="292">BB13</f>
        <v>7919</v>
      </c>
      <c r="BD13" s="103">
        <f t="shared" ref="BD13" si="293">BC13</f>
        <v>7919</v>
      </c>
      <c r="BE13" s="103">
        <f t="shared" ref="BE13" si="294">BD13</f>
        <v>7919</v>
      </c>
      <c r="BF13" s="103">
        <f>ROUND(BE13*(1+取值表!$D$2),0)</f>
        <v>8362</v>
      </c>
      <c r="BG13" s="103">
        <f t="shared" ref="BG13" si="295">BF13</f>
        <v>8362</v>
      </c>
      <c r="BH13" s="103">
        <f t="shared" ref="BH13" si="296">BG13</f>
        <v>8362</v>
      </c>
      <c r="BI13" s="103">
        <f t="shared" ref="BI13" si="297">BH13</f>
        <v>8362</v>
      </c>
      <c r="BJ13" s="103">
        <f>ROUND(BI13*(1+取值表!$D$2),0)</f>
        <v>8830</v>
      </c>
      <c r="BK13" s="103">
        <f t="shared" ref="BK13" si="298">BJ13</f>
        <v>8830</v>
      </c>
      <c r="BL13" s="103">
        <f t="shared" ref="BL13" si="299">BK13</f>
        <v>8830</v>
      </c>
      <c r="BM13" s="103">
        <f t="shared" ref="BM13" si="300">BL13</f>
        <v>8830</v>
      </c>
      <c r="BN13" s="103">
        <f>ROUND(BM13*(1+取值表!$D$2),0)</f>
        <v>9324</v>
      </c>
      <c r="BO13" s="103">
        <f t="shared" ref="BO13" si="301">BN13</f>
        <v>9324</v>
      </c>
      <c r="BP13" s="103">
        <f t="shared" ref="BP13" si="302">BO13</f>
        <v>9324</v>
      </c>
      <c r="BQ13" s="103">
        <f t="shared" ref="BQ13" si="303">BP13</f>
        <v>9324</v>
      </c>
      <c r="BR13" s="103">
        <f>ROUND(BQ13*(1+取值表!$D$2),0)</f>
        <v>9846</v>
      </c>
      <c r="BS13" s="103">
        <f t="shared" ref="BS13" si="304">BR13</f>
        <v>9846</v>
      </c>
      <c r="BT13" s="103">
        <f t="shared" ref="BT13" si="305">BS13</f>
        <v>9846</v>
      </c>
      <c r="BU13" s="103">
        <f t="shared" ref="BU13" si="306">BT13</f>
        <v>9846</v>
      </c>
      <c r="BV13" s="103">
        <f>ROUND(BU13*(1+取值表!$D$2),0)</f>
        <v>10397</v>
      </c>
      <c r="BW13" s="103">
        <f t="shared" ref="BW13" si="307">BV13</f>
        <v>10397</v>
      </c>
      <c r="BX13" s="103">
        <f t="shared" ref="BX13" si="308">BW13</f>
        <v>10397</v>
      </c>
      <c r="BY13" s="103">
        <f t="shared" ref="BY13" si="309">BX13</f>
        <v>10397</v>
      </c>
      <c r="BZ13" s="103">
        <f>ROUND(BY13*(1+取值表!$D$2),0)</f>
        <v>10979</v>
      </c>
      <c r="CA13" s="103">
        <f t="shared" ref="CA13" si="310">BZ13</f>
        <v>10979</v>
      </c>
      <c r="CB13" s="103">
        <f t="shared" ref="CB13" si="311">CA13</f>
        <v>10979</v>
      </c>
      <c r="CC13" s="103">
        <f t="shared" ref="CC13" si="312">CB13</f>
        <v>10979</v>
      </c>
      <c r="CD13" s="103">
        <f>ROUND(CC13*(1+取值表!$D$2),0)</f>
        <v>11594</v>
      </c>
      <c r="CE13" s="103">
        <f t="shared" ref="CE13" si="313">CD13</f>
        <v>11594</v>
      </c>
      <c r="CF13" s="103">
        <f t="shared" ref="CF13" si="314">CE13</f>
        <v>11594</v>
      </c>
      <c r="CG13" s="103">
        <f t="shared" ref="CG13" si="315">CF13</f>
        <v>11594</v>
      </c>
      <c r="CH13" s="103">
        <f>ROUND(CG13*(1+取值表!$D$2),0)</f>
        <v>12243</v>
      </c>
      <c r="CI13" s="103">
        <f t="shared" ref="CI13" si="316">CH13</f>
        <v>12243</v>
      </c>
      <c r="CJ13" s="103">
        <f t="shared" ref="CJ13" si="317">CI13</f>
        <v>12243</v>
      </c>
      <c r="CK13" s="103">
        <f t="shared" ref="CK13" si="318">CJ13</f>
        <v>12243</v>
      </c>
      <c r="CL13" s="103">
        <f>ROUND(CK13*(1+取值表!$D$2),0)</f>
        <v>12929</v>
      </c>
      <c r="CM13" s="103">
        <f t="shared" ref="CM13" si="319">CL13</f>
        <v>12929</v>
      </c>
      <c r="CN13" s="103">
        <f t="shared" ref="CN13" si="320">CM13</f>
        <v>12929</v>
      </c>
      <c r="CO13" s="103">
        <f t="shared" ref="CO13" si="321">CN13</f>
        <v>12929</v>
      </c>
      <c r="CP13" s="104">
        <f t="shared" si="54"/>
        <v>665744</v>
      </c>
    </row>
    <row r="14" spans="1:94" s="58" customFormat="1" ht="12.75">
      <c r="A14" s="546"/>
      <c r="B14" s="550"/>
      <c r="C14" s="548"/>
      <c r="D14" s="549"/>
      <c r="E14" s="547"/>
      <c r="F14" s="562"/>
      <c r="G14" s="562"/>
      <c r="H14" s="563"/>
      <c r="I14" s="99"/>
      <c r="J14" s="101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>
        <f>ROUND(U14*(1+取值表!$D$2),0)</f>
        <v>0</v>
      </c>
      <c r="W14" s="103"/>
      <c r="X14" s="103"/>
      <c r="Y14" s="103"/>
      <c r="Z14" s="103">
        <f>ROUND(Y14*(1+取值表!$D$2),0)</f>
        <v>0</v>
      </c>
      <c r="AA14" s="103"/>
      <c r="AB14" s="103"/>
      <c r="AC14" s="103"/>
      <c r="AD14" s="103">
        <f>ROUND(AC14*(1+取值表!$D$2),0)</f>
        <v>0</v>
      </c>
      <c r="AE14" s="103"/>
      <c r="AF14" s="103"/>
      <c r="AG14" s="103"/>
      <c r="AH14" s="103">
        <f>ROUND(AG14*(1+取值表!$D$2),0)</f>
        <v>0</v>
      </c>
      <c r="AI14" s="103"/>
      <c r="AJ14" s="103"/>
      <c r="AK14" s="103"/>
      <c r="AL14" s="103">
        <f>ROUND(AK14*(1+取值表!$D$2),0)</f>
        <v>0</v>
      </c>
      <c r="AM14" s="103"/>
      <c r="AN14" s="103"/>
      <c r="AO14" s="103"/>
      <c r="AP14" s="103">
        <f>ROUND(AO14*(1+取值表!$D$2),0)</f>
        <v>0</v>
      </c>
      <c r="AQ14" s="103"/>
      <c r="AR14" s="103"/>
      <c r="AS14" s="103"/>
      <c r="AT14" s="103">
        <f>ROUND(AS14*(1+取值表!$D$2),0)</f>
        <v>0</v>
      </c>
      <c r="AU14" s="103"/>
      <c r="AV14" s="103"/>
      <c r="AW14" s="103"/>
      <c r="AX14" s="103">
        <f>ROUND(AW14*(1+取值表!$D$2),0)</f>
        <v>0</v>
      </c>
      <c r="AY14" s="103"/>
      <c r="AZ14" s="103"/>
      <c r="BA14" s="103"/>
      <c r="BB14" s="103">
        <f>ROUND(BA14*(1+取值表!$D$2),0)</f>
        <v>0</v>
      </c>
      <c r="BC14" s="103"/>
      <c r="BD14" s="103"/>
      <c r="BE14" s="103"/>
      <c r="BF14" s="103">
        <f>ROUND(BE14*(1+取值表!$D$2),0)</f>
        <v>0</v>
      </c>
      <c r="BG14" s="103"/>
      <c r="BH14" s="103"/>
      <c r="BI14" s="103"/>
      <c r="BJ14" s="103">
        <f>ROUND(BI14*(1+取值表!$D$2),0)</f>
        <v>0</v>
      </c>
      <c r="BK14" s="103"/>
      <c r="BL14" s="103"/>
      <c r="BM14" s="103"/>
      <c r="BN14" s="103">
        <f>ROUND(BM14*(1+取值表!$D$2),0)</f>
        <v>0</v>
      </c>
      <c r="BO14" s="103"/>
      <c r="BP14" s="103"/>
      <c r="BQ14" s="103"/>
      <c r="BR14" s="103">
        <f>ROUND(BQ14*(1+取值表!$D$2),0)</f>
        <v>0</v>
      </c>
      <c r="BS14" s="103"/>
      <c r="BT14" s="103"/>
      <c r="BU14" s="103"/>
      <c r="BV14" s="103">
        <f>ROUND(BU14*(1+取值表!$D$2),0)</f>
        <v>0</v>
      </c>
      <c r="BW14" s="103"/>
      <c r="BX14" s="103"/>
      <c r="BY14" s="103"/>
      <c r="BZ14" s="103">
        <f>ROUND(BY14*(1+取值表!$D$2),0)</f>
        <v>0</v>
      </c>
      <c r="CA14" s="103"/>
      <c r="CB14" s="103"/>
      <c r="CC14" s="103"/>
      <c r="CD14" s="103">
        <f>ROUND(CC14*(1+取值表!$D$2),0)</f>
        <v>0</v>
      </c>
      <c r="CE14" s="103"/>
      <c r="CF14" s="103"/>
      <c r="CG14" s="103"/>
      <c r="CH14" s="103">
        <f>ROUND(CG14*(1+取值表!$D$2),0)</f>
        <v>0</v>
      </c>
      <c r="CI14" s="103"/>
      <c r="CJ14" s="103"/>
      <c r="CK14" s="103"/>
      <c r="CL14" s="103">
        <f>ROUND(CK14*(1+取值表!$D$2),0)</f>
        <v>0</v>
      </c>
      <c r="CM14" s="103"/>
      <c r="CN14" s="103"/>
      <c r="CO14" s="103"/>
      <c r="CP14" s="104">
        <f t="shared" si="54"/>
        <v>0</v>
      </c>
    </row>
    <row r="15" spans="1:94" s="58" customFormat="1" ht="12" customHeight="1">
      <c r="A15" s="546">
        <v>7</v>
      </c>
      <c r="B15" s="550" t="s">
        <v>900</v>
      </c>
      <c r="C15" s="548" t="s">
        <v>901</v>
      </c>
      <c r="D15" s="549" t="s">
        <v>403</v>
      </c>
      <c r="E15" s="547" t="s">
        <v>398</v>
      </c>
      <c r="F15" s="562">
        <v>49.56</v>
      </c>
      <c r="G15" s="562">
        <f>H15/365/F15</f>
        <v>3.1232876712328768</v>
      </c>
      <c r="H15" s="563">
        <f>56498.4</f>
        <v>56498.400000000001</v>
      </c>
      <c r="I15" s="99"/>
      <c r="J15" s="101">
        <f>ROUND(56498.4/4,0)</f>
        <v>14125</v>
      </c>
      <c r="K15" s="102">
        <f>J15</f>
        <v>14125</v>
      </c>
      <c r="L15" s="103">
        <f>K15</f>
        <v>14125</v>
      </c>
      <c r="M15" s="103">
        <f>L15</f>
        <v>14125</v>
      </c>
      <c r="N15" s="103">
        <f>ROUND(M15*(1+取值表!$D$2)*取值表!$I$2,0)</f>
        <v>14036</v>
      </c>
      <c r="O15" s="103">
        <f>N15</f>
        <v>14036</v>
      </c>
      <c r="P15" s="103">
        <f>O15</f>
        <v>14036</v>
      </c>
      <c r="Q15" s="103">
        <f>P15</f>
        <v>14036</v>
      </c>
      <c r="R15" s="278">
        <f>ROUND(Q15*(1+取值表!$D$2),0)</f>
        <v>14822</v>
      </c>
      <c r="S15" s="103">
        <f t="shared" ref="S15:U15" si="322">R15</f>
        <v>14822</v>
      </c>
      <c r="T15" s="103">
        <f t="shared" si="322"/>
        <v>14822</v>
      </c>
      <c r="U15" s="103">
        <f t="shared" si="322"/>
        <v>14822</v>
      </c>
      <c r="V15" s="103">
        <f>ROUND(U15*(1+取值表!$D$2),0)</f>
        <v>15652</v>
      </c>
      <c r="W15" s="103">
        <f t="shared" ref="W15:Y15" si="323">V15</f>
        <v>15652</v>
      </c>
      <c r="X15" s="103">
        <f t="shared" si="323"/>
        <v>15652</v>
      </c>
      <c r="Y15" s="103">
        <f t="shared" si="323"/>
        <v>15652</v>
      </c>
      <c r="Z15" s="103">
        <f>ROUND(Y15*(1+取值表!$D$2),0)</f>
        <v>16529</v>
      </c>
      <c r="AA15" s="103">
        <f t="shared" ref="AA15" si="324">Z15</f>
        <v>16529</v>
      </c>
      <c r="AB15" s="103">
        <f t="shared" ref="AB15" si="325">AA15</f>
        <v>16529</v>
      </c>
      <c r="AC15" s="103">
        <f t="shared" ref="AC15" si="326">AB15</f>
        <v>16529</v>
      </c>
      <c r="AD15" s="103">
        <f>ROUND(AC15*(1+取值表!$D$2),0)</f>
        <v>17455</v>
      </c>
      <c r="AE15" s="103">
        <f t="shared" ref="AE15" si="327">AD15</f>
        <v>17455</v>
      </c>
      <c r="AF15" s="103">
        <f t="shared" ref="AF15" si="328">AE15</f>
        <v>17455</v>
      </c>
      <c r="AG15" s="103">
        <f t="shared" ref="AG15" si="329">AF15</f>
        <v>17455</v>
      </c>
      <c r="AH15" s="103">
        <f>ROUND(AG15*(1+取值表!$D$2),0)</f>
        <v>18432</v>
      </c>
      <c r="AI15" s="103">
        <f t="shared" ref="AI15" si="330">AH15</f>
        <v>18432</v>
      </c>
      <c r="AJ15" s="103">
        <f t="shared" ref="AJ15" si="331">AI15</f>
        <v>18432</v>
      </c>
      <c r="AK15" s="103">
        <f t="shared" ref="AK15" si="332">AJ15</f>
        <v>18432</v>
      </c>
      <c r="AL15" s="103">
        <f>ROUND(AK15*(1+取值表!$D$2),0)</f>
        <v>19464</v>
      </c>
      <c r="AM15" s="103">
        <f t="shared" ref="AM15" si="333">AL15</f>
        <v>19464</v>
      </c>
      <c r="AN15" s="103">
        <f t="shared" ref="AN15" si="334">AM15</f>
        <v>19464</v>
      </c>
      <c r="AO15" s="103">
        <f t="shared" ref="AO15" si="335">AN15</f>
        <v>19464</v>
      </c>
      <c r="AP15" s="103">
        <f>ROUND(AO15*(1+取值表!$D$2),0)</f>
        <v>20554</v>
      </c>
      <c r="AQ15" s="103">
        <f t="shared" ref="AQ15" si="336">AP15</f>
        <v>20554</v>
      </c>
      <c r="AR15" s="103">
        <f t="shared" ref="AR15" si="337">AQ15</f>
        <v>20554</v>
      </c>
      <c r="AS15" s="103">
        <f t="shared" ref="AS15" si="338">AR15</f>
        <v>20554</v>
      </c>
      <c r="AT15" s="103">
        <f>ROUND(AS15*(1+取值表!$D$2),0)</f>
        <v>21705</v>
      </c>
      <c r="AU15" s="103">
        <f t="shared" ref="AU15" si="339">AT15</f>
        <v>21705</v>
      </c>
      <c r="AV15" s="103">
        <f t="shared" ref="AV15" si="340">AU15</f>
        <v>21705</v>
      </c>
      <c r="AW15" s="103">
        <f t="shared" ref="AW15" si="341">AV15</f>
        <v>21705</v>
      </c>
      <c r="AX15" s="103">
        <f>ROUND(AW15*(1+取值表!$D$2),0)</f>
        <v>22920</v>
      </c>
      <c r="AY15" s="103">
        <f t="shared" ref="AY15" si="342">AX15</f>
        <v>22920</v>
      </c>
      <c r="AZ15" s="103">
        <f t="shared" ref="AZ15" si="343">AY15</f>
        <v>22920</v>
      </c>
      <c r="BA15" s="103">
        <f t="shared" ref="BA15" si="344">AZ15</f>
        <v>22920</v>
      </c>
      <c r="BB15" s="103">
        <f>ROUND(BA15*(1+取值表!$D$2),0)</f>
        <v>24204</v>
      </c>
      <c r="BC15" s="103">
        <f t="shared" ref="BC15" si="345">BB15</f>
        <v>24204</v>
      </c>
      <c r="BD15" s="103">
        <f t="shared" ref="BD15" si="346">BC15</f>
        <v>24204</v>
      </c>
      <c r="BE15" s="103">
        <f t="shared" ref="BE15" si="347">BD15</f>
        <v>24204</v>
      </c>
      <c r="BF15" s="103">
        <f>ROUND(BE15*(1+取值表!$D$2),0)</f>
        <v>25559</v>
      </c>
      <c r="BG15" s="103">
        <f t="shared" ref="BG15" si="348">BF15</f>
        <v>25559</v>
      </c>
      <c r="BH15" s="103">
        <f t="shared" ref="BH15" si="349">BG15</f>
        <v>25559</v>
      </c>
      <c r="BI15" s="103">
        <f t="shared" ref="BI15" si="350">BH15</f>
        <v>25559</v>
      </c>
      <c r="BJ15" s="103">
        <f>ROUND(BI15*(1+取值表!$D$2),0)</f>
        <v>26990</v>
      </c>
      <c r="BK15" s="103">
        <f t="shared" ref="BK15" si="351">BJ15</f>
        <v>26990</v>
      </c>
      <c r="BL15" s="103">
        <f t="shared" ref="BL15" si="352">BK15</f>
        <v>26990</v>
      </c>
      <c r="BM15" s="103">
        <f t="shared" ref="BM15" si="353">BL15</f>
        <v>26990</v>
      </c>
      <c r="BN15" s="103">
        <f>ROUND(BM15*(1+取值表!$D$2),0)</f>
        <v>28501</v>
      </c>
      <c r="BO15" s="103">
        <f t="shared" ref="BO15" si="354">BN15</f>
        <v>28501</v>
      </c>
      <c r="BP15" s="103">
        <f t="shared" ref="BP15" si="355">BO15</f>
        <v>28501</v>
      </c>
      <c r="BQ15" s="103">
        <f t="shared" ref="BQ15" si="356">BP15</f>
        <v>28501</v>
      </c>
      <c r="BR15" s="103">
        <f>ROUND(BQ15*(1+取值表!$D$2),0)</f>
        <v>30097</v>
      </c>
      <c r="BS15" s="103">
        <f t="shared" ref="BS15" si="357">BR15</f>
        <v>30097</v>
      </c>
      <c r="BT15" s="103">
        <f t="shared" ref="BT15" si="358">BS15</f>
        <v>30097</v>
      </c>
      <c r="BU15" s="103">
        <f t="shared" ref="BU15" si="359">BT15</f>
        <v>30097</v>
      </c>
      <c r="BV15" s="103">
        <f>ROUND(BU15*(1+取值表!$D$2),0)</f>
        <v>31782</v>
      </c>
      <c r="BW15" s="103">
        <f t="shared" ref="BW15" si="360">BV15</f>
        <v>31782</v>
      </c>
      <c r="BX15" s="103">
        <f t="shared" ref="BX15" si="361">BW15</f>
        <v>31782</v>
      </c>
      <c r="BY15" s="103">
        <f t="shared" ref="BY15" si="362">BX15</f>
        <v>31782</v>
      </c>
      <c r="BZ15" s="103">
        <f>ROUND(BY15*(1+取值表!$D$2),0)</f>
        <v>33562</v>
      </c>
      <c r="CA15" s="103">
        <f t="shared" ref="CA15" si="363">BZ15</f>
        <v>33562</v>
      </c>
      <c r="CB15" s="103">
        <f t="shared" ref="CB15" si="364">CA15</f>
        <v>33562</v>
      </c>
      <c r="CC15" s="103">
        <f t="shared" ref="CC15" si="365">CB15</f>
        <v>33562</v>
      </c>
      <c r="CD15" s="103">
        <f>ROUND(CC15*(1+取值表!$D$2),0)</f>
        <v>35441</v>
      </c>
      <c r="CE15" s="103">
        <f t="shared" ref="CE15" si="366">CD15</f>
        <v>35441</v>
      </c>
      <c r="CF15" s="103">
        <f t="shared" ref="CF15" si="367">CE15</f>
        <v>35441</v>
      </c>
      <c r="CG15" s="103">
        <f t="shared" ref="CG15" si="368">CF15</f>
        <v>35441</v>
      </c>
      <c r="CH15" s="103">
        <f>ROUND(CG15*(1+取值表!$D$2),0)</f>
        <v>37426</v>
      </c>
      <c r="CI15" s="103">
        <f t="shared" ref="CI15" si="369">CH15</f>
        <v>37426</v>
      </c>
      <c r="CJ15" s="103">
        <f t="shared" ref="CJ15" si="370">CI15</f>
        <v>37426</v>
      </c>
      <c r="CK15" s="103">
        <f t="shared" ref="CK15" si="371">CJ15</f>
        <v>37426</v>
      </c>
      <c r="CL15" s="103">
        <f>ROUND(CK15*(1+取值表!$D$2),0)</f>
        <v>39522</v>
      </c>
      <c r="CM15" s="103">
        <f t="shared" ref="CM15" si="372">CL15</f>
        <v>39522</v>
      </c>
      <c r="CN15" s="103">
        <f t="shared" ref="CN15" si="373">CM15</f>
        <v>39522</v>
      </c>
      <c r="CO15" s="103">
        <f t="shared" ref="CO15" si="374">CN15</f>
        <v>39522</v>
      </c>
      <c r="CP15" s="104">
        <f t="shared" si="54"/>
        <v>2035112</v>
      </c>
    </row>
    <row r="16" spans="1:94" s="58" customFormat="1" ht="12.75">
      <c r="A16" s="546"/>
      <c r="B16" s="550"/>
      <c r="C16" s="548"/>
      <c r="D16" s="549"/>
      <c r="E16" s="547"/>
      <c r="F16" s="562"/>
      <c r="G16" s="562"/>
      <c r="H16" s="563"/>
      <c r="I16" s="99"/>
      <c r="J16" s="101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>
        <f>ROUND(U16*(1+取值表!$D$2),0)</f>
        <v>0</v>
      </c>
      <c r="W16" s="103"/>
      <c r="X16" s="103"/>
      <c r="Y16" s="103"/>
      <c r="Z16" s="103">
        <f>ROUND(Y16*(1+取值表!$D$2),0)</f>
        <v>0</v>
      </c>
      <c r="AA16" s="103"/>
      <c r="AB16" s="103"/>
      <c r="AC16" s="103"/>
      <c r="AD16" s="103">
        <f>ROUND(AC16*(1+取值表!$D$2),0)</f>
        <v>0</v>
      </c>
      <c r="AE16" s="103"/>
      <c r="AF16" s="103"/>
      <c r="AG16" s="103"/>
      <c r="AH16" s="103">
        <f>ROUND(AG16*(1+取值表!$D$2),0)</f>
        <v>0</v>
      </c>
      <c r="AI16" s="103"/>
      <c r="AJ16" s="103"/>
      <c r="AK16" s="103"/>
      <c r="AL16" s="103">
        <f>ROUND(AK16*(1+取值表!$D$2),0)</f>
        <v>0</v>
      </c>
      <c r="AM16" s="103"/>
      <c r="AN16" s="103"/>
      <c r="AO16" s="103"/>
      <c r="AP16" s="103">
        <f>ROUND(AO16*(1+取值表!$D$2),0)</f>
        <v>0</v>
      </c>
      <c r="AQ16" s="103"/>
      <c r="AR16" s="103"/>
      <c r="AS16" s="103"/>
      <c r="AT16" s="103">
        <f>ROUND(AS16*(1+取值表!$D$2),0)</f>
        <v>0</v>
      </c>
      <c r="AU16" s="103"/>
      <c r="AV16" s="103"/>
      <c r="AW16" s="103"/>
      <c r="AX16" s="103">
        <f>ROUND(AW16*(1+取值表!$D$2),0)</f>
        <v>0</v>
      </c>
      <c r="AY16" s="103"/>
      <c r="AZ16" s="103"/>
      <c r="BA16" s="103"/>
      <c r="BB16" s="103">
        <f>ROUND(BA16*(1+取值表!$D$2),0)</f>
        <v>0</v>
      </c>
      <c r="BC16" s="103"/>
      <c r="BD16" s="103"/>
      <c r="BE16" s="103"/>
      <c r="BF16" s="103">
        <f>ROUND(BE16*(1+取值表!$D$2),0)</f>
        <v>0</v>
      </c>
      <c r="BG16" s="103"/>
      <c r="BH16" s="103"/>
      <c r="BI16" s="103"/>
      <c r="BJ16" s="103">
        <f>ROUND(BI16*(1+取值表!$D$2),0)</f>
        <v>0</v>
      </c>
      <c r="BK16" s="103"/>
      <c r="BL16" s="103"/>
      <c r="BM16" s="103"/>
      <c r="BN16" s="103">
        <f>ROUND(BM16*(1+取值表!$D$2),0)</f>
        <v>0</v>
      </c>
      <c r="BO16" s="103"/>
      <c r="BP16" s="103"/>
      <c r="BQ16" s="103"/>
      <c r="BR16" s="103">
        <f>ROUND(BQ16*(1+取值表!$D$2),0)</f>
        <v>0</v>
      </c>
      <c r="BS16" s="103"/>
      <c r="BT16" s="103"/>
      <c r="BU16" s="103"/>
      <c r="BV16" s="103">
        <f>ROUND(BU16*(1+取值表!$D$2),0)</f>
        <v>0</v>
      </c>
      <c r="BW16" s="103"/>
      <c r="BX16" s="103"/>
      <c r="BY16" s="103"/>
      <c r="BZ16" s="103">
        <f>ROUND(BY16*(1+取值表!$D$2),0)</f>
        <v>0</v>
      </c>
      <c r="CA16" s="103"/>
      <c r="CB16" s="103"/>
      <c r="CC16" s="103"/>
      <c r="CD16" s="103">
        <f>ROUND(CC16*(1+取值表!$D$2),0)</f>
        <v>0</v>
      </c>
      <c r="CE16" s="103"/>
      <c r="CF16" s="103"/>
      <c r="CG16" s="103"/>
      <c r="CH16" s="103">
        <f>ROUND(CG16*(1+取值表!$D$2),0)</f>
        <v>0</v>
      </c>
      <c r="CI16" s="103"/>
      <c r="CJ16" s="103"/>
      <c r="CK16" s="103"/>
      <c r="CL16" s="103">
        <f>ROUND(CK16*(1+取值表!$D$2),0)</f>
        <v>0</v>
      </c>
      <c r="CM16" s="103"/>
      <c r="CN16" s="103"/>
      <c r="CO16" s="103"/>
      <c r="CP16" s="104">
        <f t="shared" si="54"/>
        <v>0</v>
      </c>
    </row>
    <row r="17" spans="1:94" s="58" customFormat="1" ht="12" customHeight="1">
      <c r="A17" s="546">
        <v>8</v>
      </c>
      <c r="B17" s="550" t="s">
        <v>902</v>
      </c>
      <c r="C17" s="548" t="s">
        <v>893</v>
      </c>
      <c r="D17" s="549" t="s">
        <v>1317</v>
      </c>
      <c r="E17" s="547" t="s">
        <v>398</v>
      </c>
      <c r="F17" s="562">
        <v>16.52</v>
      </c>
      <c r="G17" s="562">
        <f>H17/365/F17</f>
        <v>3.1232876712328763</v>
      </c>
      <c r="H17" s="563">
        <v>18832.8</v>
      </c>
      <c r="I17" s="99"/>
      <c r="J17" s="101">
        <f>ROUND(18832.8/4,0)</f>
        <v>4708</v>
      </c>
      <c r="K17" s="102">
        <f>J17</f>
        <v>4708</v>
      </c>
      <c r="L17" s="103">
        <f>K17</f>
        <v>4708</v>
      </c>
      <c r="M17" s="103">
        <f>L17</f>
        <v>4708</v>
      </c>
      <c r="N17" s="103">
        <f>ROUND(M17*(1+取值表!$D$2)*取值表!$I$2,0)</f>
        <v>4678</v>
      </c>
      <c r="O17" s="103">
        <f>N17</f>
        <v>4678</v>
      </c>
      <c r="P17" s="103">
        <f t="shared" ref="P17:Q17" si="375">O17</f>
        <v>4678</v>
      </c>
      <c r="Q17" s="103">
        <f t="shared" si="375"/>
        <v>4678</v>
      </c>
      <c r="R17" s="278">
        <f>ROUND(Q17*(1+取值表!$D$2),0)</f>
        <v>4940</v>
      </c>
      <c r="S17" s="103">
        <f t="shared" ref="S17:U17" si="376">R17</f>
        <v>4940</v>
      </c>
      <c r="T17" s="103">
        <f t="shared" si="376"/>
        <v>4940</v>
      </c>
      <c r="U17" s="103">
        <f t="shared" si="376"/>
        <v>4940</v>
      </c>
      <c r="V17" s="103">
        <f>ROUND(U17*(1+取值表!$D$2),0)</f>
        <v>5217</v>
      </c>
      <c r="W17" s="103">
        <f t="shared" ref="W17:Y17" si="377">V17</f>
        <v>5217</v>
      </c>
      <c r="X17" s="103">
        <f t="shared" si="377"/>
        <v>5217</v>
      </c>
      <c r="Y17" s="103">
        <f t="shared" si="377"/>
        <v>5217</v>
      </c>
      <c r="Z17" s="103">
        <f>ROUND(Y17*(1+取值表!$D$2),0)</f>
        <v>5509</v>
      </c>
      <c r="AA17" s="103">
        <f t="shared" ref="AA17" si="378">Z17</f>
        <v>5509</v>
      </c>
      <c r="AB17" s="103">
        <f t="shared" ref="AB17" si="379">AA17</f>
        <v>5509</v>
      </c>
      <c r="AC17" s="103">
        <f t="shared" ref="AC17" si="380">AB17</f>
        <v>5509</v>
      </c>
      <c r="AD17" s="103">
        <f>ROUND(AC17*(1+取值表!$D$2),0)</f>
        <v>5818</v>
      </c>
      <c r="AE17" s="103">
        <f t="shared" ref="AE17" si="381">AD17</f>
        <v>5818</v>
      </c>
      <c r="AF17" s="103">
        <f t="shared" ref="AF17" si="382">AE17</f>
        <v>5818</v>
      </c>
      <c r="AG17" s="103">
        <f t="shared" ref="AG17" si="383">AF17</f>
        <v>5818</v>
      </c>
      <c r="AH17" s="103">
        <f>ROUND(AG17*(1+取值表!$D$2),0)</f>
        <v>6144</v>
      </c>
      <c r="AI17" s="103">
        <f t="shared" ref="AI17" si="384">AH17</f>
        <v>6144</v>
      </c>
      <c r="AJ17" s="103">
        <f t="shared" ref="AJ17" si="385">AI17</f>
        <v>6144</v>
      </c>
      <c r="AK17" s="103">
        <f t="shared" ref="AK17" si="386">AJ17</f>
        <v>6144</v>
      </c>
      <c r="AL17" s="103">
        <f>ROUND(AK17*(1+取值表!$D$2),0)</f>
        <v>6488</v>
      </c>
      <c r="AM17" s="103">
        <f t="shared" ref="AM17" si="387">AL17</f>
        <v>6488</v>
      </c>
      <c r="AN17" s="103">
        <f t="shared" ref="AN17" si="388">AM17</f>
        <v>6488</v>
      </c>
      <c r="AO17" s="103">
        <f t="shared" ref="AO17" si="389">AN17</f>
        <v>6488</v>
      </c>
      <c r="AP17" s="103">
        <f>ROUND(AO17*(1+取值表!$D$2),0)</f>
        <v>6851</v>
      </c>
      <c r="AQ17" s="103">
        <f t="shared" ref="AQ17" si="390">AP17</f>
        <v>6851</v>
      </c>
      <c r="AR17" s="103">
        <f t="shared" ref="AR17" si="391">AQ17</f>
        <v>6851</v>
      </c>
      <c r="AS17" s="103">
        <f t="shared" ref="AS17" si="392">AR17</f>
        <v>6851</v>
      </c>
      <c r="AT17" s="103">
        <f>ROUND(AS17*(1+取值表!$D$2),0)</f>
        <v>7235</v>
      </c>
      <c r="AU17" s="103">
        <f t="shared" ref="AU17" si="393">AT17</f>
        <v>7235</v>
      </c>
      <c r="AV17" s="103">
        <f t="shared" ref="AV17" si="394">AU17</f>
        <v>7235</v>
      </c>
      <c r="AW17" s="103">
        <f t="shared" ref="AW17" si="395">AV17</f>
        <v>7235</v>
      </c>
      <c r="AX17" s="103">
        <f>ROUND(AW17*(1+取值表!$D$2),0)</f>
        <v>7640</v>
      </c>
      <c r="AY17" s="103">
        <f t="shared" ref="AY17" si="396">AX17</f>
        <v>7640</v>
      </c>
      <c r="AZ17" s="103">
        <f t="shared" ref="AZ17" si="397">AY17</f>
        <v>7640</v>
      </c>
      <c r="BA17" s="103">
        <f t="shared" ref="BA17" si="398">AZ17</f>
        <v>7640</v>
      </c>
      <c r="BB17" s="103">
        <f>ROUND(BA17*(1+取值表!$D$2),0)</f>
        <v>8068</v>
      </c>
      <c r="BC17" s="103">
        <f t="shared" ref="BC17" si="399">BB17</f>
        <v>8068</v>
      </c>
      <c r="BD17" s="103">
        <f t="shared" ref="BD17" si="400">BC17</f>
        <v>8068</v>
      </c>
      <c r="BE17" s="103">
        <f t="shared" ref="BE17" si="401">BD17</f>
        <v>8068</v>
      </c>
      <c r="BF17" s="103">
        <f>ROUND(BE17*(1+取值表!$D$2),0)</f>
        <v>8520</v>
      </c>
      <c r="BG17" s="103">
        <f t="shared" ref="BG17" si="402">BF17</f>
        <v>8520</v>
      </c>
      <c r="BH17" s="103">
        <f t="shared" ref="BH17" si="403">BG17</f>
        <v>8520</v>
      </c>
      <c r="BI17" s="103">
        <f t="shared" ref="BI17" si="404">BH17</f>
        <v>8520</v>
      </c>
      <c r="BJ17" s="103">
        <f>ROUND(BI17*(1+取值表!$D$2),0)</f>
        <v>8997</v>
      </c>
      <c r="BK17" s="103">
        <f t="shared" ref="BK17" si="405">BJ17</f>
        <v>8997</v>
      </c>
      <c r="BL17" s="103">
        <f t="shared" ref="BL17" si="406">BK17</f>
        <v>8997</v>
      </c>
      <c r="BM17" s="103">
        <f t="shared" ref="BM17" si="407">BL17</f>
        <v>8997</v>
      </c>
      <c r="BN17" s="103">
        <f>ROUND(BM17*(1+取值表!$D$2),0)</f>
        <v>9501</v>
      </c>
      <c r="BO17" s="103">
        <f t="shared" ref="BO17" si="408">BN17</f>
        <v>9501</v>
      </c>
      <c r="BP17" s="103">
        <f t="shared" ref="BP17" si="409">BO17</f>
        <v>9501</v>
      </c>
      <c r="BQ17" s="103">
        <f t="shared" ref="BQ17" si="410">BP17</f>
        <v>9501</v>
      </c>
      <c r="BR17" s="103">
        <f>ROUND(BQ17*(1+取值表!$D$2),0)</f>
        <v>10033</v>
      </c>
      <c r="BS17" s="103">
        <f t="shared" ref="BS17" si="411">BR17</f>
        <v>10033</v>
      </c>
      <c r="BT17" s="103">
        <f t="shared" ref="BT17" si="412">BS17</f>
        <v>10033</v>
      </c>
      <c r="BU17" s="103">
        <f t="shared" ref="BU17" si="413">BT17</f>
        <v>10033</v>
      </c>
      <c r="BV17" s="103">
        <f>ROUND(BU17*(1+取值表!$D$2),0)</f>
        <v>10595</v>
      </c>
      <c r="BW17" s="103">
        <f t="shared" ref="BW17" si="414">BV17</f>
        <v>10595</v>
      </c>
      <c r="BX17" s="103">
        <f t="shared" ref="BX17" si="415">BW17</f>
        <v>10595</v>
      </c>
      <c r="BY17" s="103">
        <f t="shared" ref="BY17" si="416">BX17</f>
        <v>10595</v>
      </c>
      <c r="BZ17" s="103">
        <f>ROUND(BY17*(1+取值表!$D$2),0)</f>
        <v>11188</v>
      </c>
      <c r="CA17" s="103">
        <f t="shared" ref="CA17" si="417">BZ17</f>
        <v>11188</v>
      </c>
      <c r="CB17" s="103">
        <f t="shared" ref="CB17" si="418">CA17</f>
        <v>11188</v>
      </c>
      <c r="CC17" s="103">
        <f t="shared" ref="CC17" si="419">CB17</f>
        <v>11188</v>
      </c>
      <c r="CD17" s="103">
        <f>ROUND(CC17*(1+取值表!$D$2),0)</f>
        <v>11815</v>
      </c>
      <c r="CE17" s="103">
        <f t="shared" ref="CE17" si="420">CD17</f>
        <v>11815</v>
      </c>
      <c r="CF17" s="103">
        <f t="shared" ref="CF17" si="421">CE17</f>
        <v>11815</v>
      </c>
      <c r="CG17" s="103">
        <f t="shared" ref="CG17" si="422">CF17</f>
        <v>11815</v>
      </c>
      <c r="CH17" s="103">
        <f>ROUND(CG17*(1+取值表!$D$2),0)</f>
        <v>12477</v>
      </c>
      <c r="CI17" s="103">
        <f t="shared" ref="CI17" si="423">CH17</f>
        <v>12477</v>
      </c>
      <c r="CJ17" s="103">
        <f t="shared" ref="CJ17" si="424">CI17</f>
        <v>12477</v>
      </c>
      <c r="CK17" s="103">
        <f t="shared" ref="CK17" si="425">CJ17</f>
        <v>12477</v>
      </c>
      <c r="CL17" s="103">
        <f>ROUND(CK17*(1+取值表!$D$2),0)</f>
        <v>13176</v>
      </c>
      <c r="CM17" s="103">
        <f t="shared" ref="CM17" si="426">CL17</f>
        <v>13176</v>
      </c>
      <c r="CN17" s="103">
        <f t="shared" ref="CN17" si="427">CM17</f>
        <v>13176</v>
      </c>
      <c r="CO17" s="103">
        <f t="shared" ref="CO17" si="428">CN17</f>
        <v>13176</v>
      </c>
      <c r="CP17" s="104">
        <f>SUM(J17:CO17)</f>
        <v>678392</v>
      </c>
    </row>
    <row r="18" spans="1:94" s="58" customFormat="1" ht="12.75">
      <c r="A18" s="546"/>
      <c r="B18" s="550"/>
      <c r="C18" s="548"/>
      <c r="D18" s="549"/>
      <c r="E18" s="547"/>
      <c r="F18" s="562"/>
      <c r="G18" s="562"/>
      <c r="H18" s="563"/>
      <c r="I18" s="99"/>
      <c r="J18" s="101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>
        <f>ROUND(U18*(1+取值表!$D$2),0)</f>
        <v>0</v>
      </c>
      <c r="W18" s="103"/>
      <c r="X18" s="103"/>
      <c r="Y18" s="103"/>
      <c r="Z18" s="103">
        <f>ROUND(Y18*(1+取值表!$D$2),0)</f>
        <v>0</v>
      </c>
      <c r="AA18" s="103"/>
      <c r="AB18" s="103"/>
      <c r="AC18" s="103"/>
      <c r="AD18" s="103">
        <f>ROUND(AC18*(1+取值表!$D$2),0)</f>
        <v>0</v>
      </c>
      <c r="AE18" s="103"/>
      <c r="AF18" s="103"/>
      <c r="AG18" s="103"/>
      <c r="AH18" s="103">
        <f>ROUND(AG18*(1+取值表!$D$2),0)</f>
        <v>0</v>
      </c>
      <c r="AI18" s="103"/>
      <c r="AJ18" s="103"/>
      <c r="AK18" s="103"/>
      <c r="AL18" s="103">
        <f>ROUND(AK18*(1+取值表!$D$2),0)</f>
        <v>0</v>
      </c>
      <c r="AM18" s="103"/>
      <c r="AN18" s="103"/>
      <c r="AO18" s="103"/>
      <c r="AP18" s="103">
        <f>ROUND(AO18*(1+取值表!$D$2),0)</f>
        <v>0</v>
      </c>
      <c r="AQ18" s="103"/>
      <c r="AR18" s="103"/>
      <c r="AS18" s="103"/>
      <c r="AT18" s="103">
        <f>ROUND(AS18*(1+取值表!$D$2),0)</f>
        <v>0</v>
      </c>
      <c r="AU18" s="103"/>
      <c r="AV18" s="103"/>
      <c r="AW18" s="103"/>
      <c r="AX18" s="103">
        <f>ROUND(AW18*(1+取值表!$D$2),0)</f>
        <v>0</v>
      </c>
      <c r="AY18" s="103"/>
      <c r="AZ18" s="103"/>
      <c r="BA18" s="103"/>
      <c r="BB18" s="103">
        <f>ROUND(BA18*(1+取值表!$D$2),0)</f>
        <v>0</v>
      </c>
      <c r="BC18" s="103"/>
      <c r="BD18" s="103"/>
      <c r="BE18" s="103"/>
      <c r="BF18" s="103">
        <f>ROUND(BE18*(1+取值表!$D$2),0)</f>
        <v>0</v>
      </c>
      <c r="BG18" s="103"/>
      <c r="BH18" s="103"/>
      <c r="BI18" s="103"/>
      <c r="BJ18" s="103">
        <f>ROUND(BI18*(1+取值表!$D$2),0)</f>
        <v>0</v>
      </c>
      <c r="BK18" s="103"/>
      <c r="BL18" s="103"/>
      <c r="BM18" s="103"/>
      <c r="BN18" s="103">
        <f>ROUND(BM18*(1+取值表!$D$2),0)</f>
        <v>0</v>
      </c>
      <c r="BO18" s="103"/>
      <c r="BP18" s="103"/>
      <c r="BQ18" s="103"/>
      <c r="BR18" s="103">
        <f>ROUND(BQ18*(1+取值表!$D$2),0)</f>
        <v>0</v>
      </c>
      <c r="BS18" s="103"/>
      <c r="BT18" s="103"/>
      <c r="BU18" s="103"/>
      <c r="BV18" s="103">
        <f>ROUND(BU18*(1+取值表!$D$2),0)</f>
        <v>0</v>
      </c>
      <c r="BW18" s="103"/>
      <c r="BX18" s="103"/>
      <c r="BY18" s="103"/>
      <c r="BZ18" s="103">
        <f>ROUND(BY18*(1+取值表!$D$2),0)</f>
        <v>0</v>
      </c>
      <c r="CA18" s="103"/>
      <c r="CB18" s="103"/>
      <c r="CC18" s="103"/>
      <c r="CD18" s="103">
        <f>ROUND(CC18*(1+取值表!$D$2),0)</f>
        <v>0</v>
      </c>
      <c r="CE18" s="103"/>
      <c r="CF18" s="103"/>
      <c r="CG18" s="103"/>
      <c r="CH18" s="103">
        <f>ROUND(CG18*(1+取值表!$D$2),0)</f>
        <v>0</v>
      </c>
      <c r="CI18" s="103"/>
      <c r="CJ18" s="103"/>
      <c r="CK18" s="103"/>
      <c r="CL18" s="103">
        <f>ROUND(CK18*(1+取值表!$D$2),0)</f>
        <v>0</v>
      </c>
      <c r="CM18" s="103"/>
      <c r="CN18" s="103"/>
      <c r="CO18" s="103"/>
      <c r="CP18" s="104">
        <f t="shared" si="54"/>
        <v>0</v>
      </c>
    </row>
    <row r="19" spans="1:94" s="58" customFormat="1" ht="12" customHeight="1">
      <c r="A19" s="546">
        <v>9</v>
      </c>
      <c r="B19" s="550" t="s">
        <v>903</v>
      </c>
      <c r="C19" s="548" t="s">
        <v>904</v>
      </c>
      <c r="D19" s="549" t="s">
        <v>404</v>
      </c>
      <c r="E19" s="547" t="s">
        <v>398</v>
      </c>
      <c r="F19" s="562">
        <v>16.52</v>
      </c>
      <c r="G19" s="562">
        <f>H19/365/F19</f>
        <v>3.1232876712328763</v>
      </c>
      <c r="H19" s="563">
        <v>18832.8</v>
      </c>
      <c r="I19" s="99"/>
      <c r="J19" s="101">
        <f>ROUND(18832.8/4,0)</f>
        <v>4708</v>
      </c>
      <c r="K19" s="102">
        <f>J19</f>
        <v>4708</v>
      </c>
      <c r="L19" s="103">
        <f>K19</f>
        <v>4708</v>
      </c>
      <c r="M19" s="103">
        <f>L19</f>
        <v>4708</v>
      </c>
      <c r="N19" s="103">
        <f>ROUND(M19*(1+取值表!$D$2)*取值表!$I$2,0)</f>
        <v>4678</v>
      </c>
      <c r="O19" s="103">
        <f>N19</f>
        <v>4678</v>
      </c>
      <c r="P19" s="103">
        <f t="shared" ref="P19:Q19" si="429">O19</f>
        <v>4678</v>
      </c>
      <c r="Q19" s="103">
        <f t="shared" si="429"/>
        <v>4678</v>
      </c>
      <c r="R19" s="278">
        <f>ROUND(Q19*(1+取值表!$D$2),0)</f>
        <v>4940</v>
      </c>
      <c r="S19" s="103">
        <f t="shared" ref="S19:U19" si="430">R19</f>
        <v>4940</v>
      </c>
      <c r="T19" s="103">
        <f t="shared" si="430"/>
        <v>4940</v>
      </c>
      <c r="U19" s="103">
        <f t="shared" si="430"/>
        <v>4940</v>
      </c>
      <c r="V19" s="103">
        <f>ROUND(U19*(1+取值表!$D$2),0)</f>
        <v>5217</v>
      </c>
      <c r="W19" s="103">
        <f t="shared" ref="W19:Y19" si="431">V19</f>
        <v>5217</v>
      </c>
      <c r="X19" s="103">
        <f t="shared" si="431"/>
        <v>5217</v>
      </c>
      <c r="Y19" s="103">
        <f t="shared" si="431"/>
        <v>5217</v>
      </c>
      <c r="Z19" s="103">
        <f>ROUND(Y19*(1+取值表!$D$2),0)</f>
        <v>5509</v>
      </c>
      <c r="AA19" s="103">
        <f t="shared" ref="AA19" si="432">Z19</f>
        <v>5509</v>
      </c>
      <c r="AB19" s="103">
        <f t="shared" ref="AB19" si="433">AA19</f>
        <v>5509</v>
      </c>
      <c r="AC19" s="103">
        <f t="shared" ref="AC19" si="434">AB19</f>
        <v>5509</v>
      </c>
      <c r="AD19" s="103">
        <f>ROUND(AC19*(1+取值表!$D$2),0)</f>
        <v>5818</v>
      </c>
      <c r="AE19" s="103">
        <f t="shared" ref="AE19" si="435">AD19</f>
        <v>5818</v>
      </c>
      <c r="AF19" s="103">
        <f t="shared" ref="AF19" si="436">AE19</f>
        <v>5818</v>
      </c>
      <c r="AG19" s="103">
        <f t="shared" ref="AG19" si="437">AF19</f>
        <v>5818</v>
      </c>
      <c r="AH19" s="103">
        <f>ROUND(AG19*(1+取值表!$D$2),0)</f>
        <v>6144</v>
      </c>
      <c r="AI19" s="103">
        <f t="shared" ref="AI19" si="438">AH19</f>
        <v>6144</v>
      </c>
      <c r="AJ19" s="103">
        <f t="shared" ref="AJ19" si="439">AI19</f>
        <v>6144</v>
      </c>
      <c r="AK19" s="103">
        <f t="shared" ref="AK19" si="440">AJ19</f>
        <v>6144</v>
      </c>
      <c r="AL19" s="103">
        <f>ROUND(AK19*(1+取值表!$D$2),0)</f>
        <v>6488</v>
      </c>
      <c r="AM19" s="103">
        <f t="shared" ref="AM19" si="441">AL19</f>
        <v>6488</v>
      </c>
      <c r="AN19" s="103">
        <f t="shared" ref="AN19" si="442">AM19</f>
        <v>6488</v>
      </c>
      <c r="AO19" s="103">
        <f t="shared" ref="AO19" si="443">AN19</f>
        <v>6488</v>
      </c>
      <c r="AP19" s="103">
        <f>ROUND(AO19*(1+取值表!$D$2),0)</f>
        <v>6851</v>
      </c>
      <c r="AQ19" s="103">
        <f t="shared" ref="AQ19" si="444">AP19</f>
        <v>6851</v>
      </c>
      <c r="AR19" s="103">
        <f t="shared" ref="AR19" si="445">AQ19</f>
        <v>6851</v>
      </c>
      <c r="AS19" s="103">
        <f t="shared" ref="AS19" si="446">AR19</f>
        <v>6851</v>
      </c>
      <c r="AT19" s="103">
        <f>ROUND(AS19*(1+取值表!$D$2),0)</f>
        <v>7235</v>
      </c>
      <c r="AU19" s="103">
        <f t="shared" ref="AU19" si="447">AT19</f>
        <v>7235</v>
      </c>
      <c r="AV19" s="103">
        <f t="shared" ref="AV19" si="448">AU19</f>
        <v>7235</v>
      </c>
      <c r="AW19" s="103">
        <f t="shared" ref="AW19" si="449">AV19</f>
        <v>7235</v>
      </c>
      <c r="AX19" s="103">
        <f>ROUND(AW19*(1+取值表!$D$2),0)</f>
        <v>7640</v>
      </c>
      <c r="AY19" s="103">
        <f t="shared" ref="AY19" si="450">AX19</f>
        <v>7640</v>
      </c>
      <c r="AZ19" s="103">
        <f t="shared" ref="AZ19" si="451">AY19</f>
        <v>7640</v>
      </c>
      <c r="BA19" s="103">
        <f t="shared" ref="BA19" si="452">AZ19</f>
        <v>7640</v>
      </c>
      <c r="BB19" s="103">
        <f>ROUND(BA19*(1+取值表!$D$2),0)</f>
        <v>8068</v>
      </c>
      <c r="BC19" s="103">
        <f t="shared" ref="BC19" si="453">BB19</f>
        <v>8068</v>
      </c>
      <c r="BD19" s="103">
        <f t="shared" ref="BD19" si="454">BC19</f>
        <v>8068</v>
      </c>
      <c r="BE19" s="103">
        <f t="shared" ref="BE19" si="455">BD19</f>
        <v>8068</v>
      </c>
      <c r="BF19" s="103">
        <f>ROUND(BE19*(1+取值表!$D$2),0)</f>
        <v>8520</v>
      </c>
      <c r="BG19" s="103">
        <f t="shared" ref="BG19" si="456">BF19</f>
        <v>8520</v>
      </c>
      <c r="BH19" s="103">
        <f t="shared" ref="BH19" si="457">BG19</f>
        <v>8520</v>
      </c>
      <c r="BI19" s="103">
        <f t="shared" ref="BI19" si="458">BH19</f>
        <v>8520</v>
      </c>
      <c r="BJ19" s="103">
        <f>ROUND(BI19*(1+取值表!$D$2),0)</f>
        <v>8997</v>
      </c>
      <c r="BK19" s="103">
        <f t="shared" ref="BK19" si="459">BJ19</f>
        <v>8997</v>
      </c>
      <c r="BL19" s="103">
        <f t="shared" ref="BL19" si="460">BK19</f>
        <v>8997</v>
      </c>
      <c r="BM19" s="103">
        <f t="shared" ref="BM19" si="461">BL19</f>
        <v>8997</v>
      </c>
      <c r="BN19" s="103">
        <f>ROUND(BM19*(1+取值表!$D$2),0)</f>
        <v>9501</v>
      </c>
      <c r="BO19" s="103">
        <f t="shared" ref="BO19" si="462">BN19</f>
        <v>9501</v>
      </c>
      <c r="BP19" s="103">
        <f t="shared" ref="BP19" si="463">BO19</f>
        <v>9501</v>
      </c>
      <c r="BQ19" s="103">
        <f t="shared" ref="BQ19" si="464">BP19</f>
        <v>9501</v>
      </c>
      <c r="BR19" s="103">
        <f>ROUND(BQ19*(1+取值表!$D$2),0)</f>
        <v>10033</v>
      </c>
      <c r="BS19" s="103">
        <f t="shared" ref="BS19" si="465">BR19</f>
        <v>10033</v>
      </c>
      <c r="BT19" s="103">
        <f t="shared" ref="BT19" si="466">BS19</f>
        <v>10033</v>
      </c>
      <c r="BU19" s="103">
        <f t="shared" ref="BU19" si="467">BT19</f>
        <v>10033</v>
      </c>
      <c r="BV19" s="103">
        <f>ROUND(BU19*(1+取值表!$D$2),0)</f>
        <v>10595</v>
      </c>
      <c r="BW19" s="103">
        <f t="shared" ref="BW19" si="468">BV19</f>
        <v>10595</v>
      </c>
      <c r="BX19" s="103">
        <f t="shared" ref="BX19" si="469">BW19</f>
        <v>10595</v>
      </c>
      <c r="BY19" s="103">
        <f t="shared" ref="BY19" si="470">BX19</f>
        <v>10595</v>
      </c>
      <c r="BZ19" s="103">
        <f>ROUND(BY19*(1+取值表!$D$2),0)</f>
        <v>11188</v>
      </c>
      <c r="CA19" s="103">
        <f t="shared" ref="CA19" si="471">BZ19</f>
        <v>11188</v>
      </c>
      <c r="CB19" s="103">
        <f t="shared" ref="CB19" si="472">CA19</f>
        <v>11188</v>
      </c>
      <c r="CC19" s="103">
        <f t="shared" ref="CC19" si="473">CB19</f>
        <v>11188</v>
      </c>
      <c r="CD19" s="103">
        <f>ROUND(CC19*(1+取值表!$D$2),0)</f>
        <v>11815</v>
      </c>
      <c r="CE19" s="103">
        <f t="shared" ref="CE19" si="474">CD19</f>
        <v>11815</v>
      </c>
      <c r="CF19" s="103">
        <f t="shared" ref="CF19" si="475">CE19</f>
        <v>11815</v>
      </c>
      <c r="CG19" s="103">
        <f t="shared" ref="CG19" si="476">CF19</f>
        <v>11815</v>
      </c>
      <c r="CH19" s="103">
        <f>ROUND(CG19*(1+取值表!$D$2),0)</f>
        <v>12477</v>
      </c>
      <c r="CI19" s="103">
        <f t="shared" ref="CI19" si="477">CH19</f>
        <v>12477</v>
      </c>
      <c r="CJ19" s="103">
        <f t="shared" ref="CJ19" si="478">CI19</f>
        <v>12477</v>
      </c>
      <c r="CK19" s="103">
        <f t="shared" ref="CK19" si="479">CJ19</f>
        <v>12477</v>
      </c>
      <c r="CL19" s="103">
        <f>ROUND(CK19*(1+取值表!$D$2),0)</f>
        <v>13176</v>
      </c>
      <c r="CM19" s="103">
        <f t="shared" ref="CM19" si="480">CL19</f>
        <v>13176</v>
      </c>
      <c r="CN19" s="103">
        <f t="shared" ref="CN19" si="481">CM19</f>
        <v>13176</v>
      </c>
      <c r="CO19" s="103">
        <f t="shared" ref="CO19" si="482">CN19</f>
        <v>13176</v>
      </c>
      <c r="CP19" s="104">
        <f t="shared" si="54"/>
        <v>678392</v>
      </c>
    </row>
    <row r="20" spans="1:94" s="58" customFormat="1" ht="12.75">
      <c r="A20" s="546"/>
      <c r="B20" s="550"/>
      <c r="C20" s="548"/>
      <c r="D20" s="549"/>
      <c r="E20" s="547"/>
      <c r="F20" s="562"/>
      <c r="G20" s="562"/>
      <c r="H20" s="563"/>
      <c r="I20" s="99"/>
      <c r="J20" s="101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>
        <f>ROUND(U20*(1+取值表!$D$2),0)</f>
        <v>0</v>
      </c>
      <c r="W20" s="103"/>
      <c r="X20" s="103"/>
      <c r="Y20" s="103"/>
      <c r="Z20" s="103">
        <f>ROUND(Y20*(1+取值表!$D$2),0)</f>
        <v>0</v>
      </c>
      <c r="AA20" s="103"/>
      <c r="AB20" s="103"/>
      <c r="AC20" s="103"/>
      <c r="AD20" s="103">
        <f>ROUND(AC20*(1+取值表!$D$2),0)</f>
        <v>0</v>
      </c>
      <c r="AE20" s="103"/>
      <c r="AF20" s="103"/>
      <c r="AG20" s="103"/>
      <c r="AH20" s="103">
        <f>ROUND(AG20*(1+取值表!$D$2),0)</f>
        <v>0</v>
      </c>
      <c r="AI20" s="103"/>
      <c r="AJ20" s="103"/>
      <c r="AK20" s="103"/>
      <c r="AL20" s="103">
        <f>ROUND(AK20*(1+取值表!$D$2),0)</f>
        <v>0</v>
      </c>
      <c r="AM20" s="103"/>
      <c r="AN20" s="103"/>
      <c r="AO20" s="103"/>
      <c r="AP20" s="103">
        <f>ROUND(AO20*(1+取值表!$D$2),0)</f>
        <v>0</v>
      </c>
      <c r="AQ20" s="103"/>
      <c r="AR20" s="103"/>
      <c r="AS20" s="103"/>
      <c r="AT20" s="103">
        <f>ROUND(AS20*(1+取值表!$D$2),0)</f>
        <v>0</v>
      </c>
      <c r="AU20" s="103"/>
      <c r="AV20" s="103"/>
      <c r="AW20" s="103"/>
      <c r="AX20" s="103">
        <f>ROUND(AW20*(1+取值表!$D$2),0)</f>
        <v>0</v>
      </c>
      <c r="AY20" s="103"/>
      <c r="AZ20" s="103"/>
      <c r="BA20" s="103"/>
      <c r="BB20" s="103">
        <f>ROUND(BA20*(1+取值表!$D$2),0)</f>
        <v>0</v>
      </c>
      <c r="BC20" s="103"/>
      <c r="BD20" s="103"/>
      <c r="BE20" s="103"/>
      <c r="BF20" s="103">
        <f>ROUND(BE20*(1+取值表!$D$2),0)</f>
        <v>0</v>
      </c>
      <c r="BG20" s="103"/>
      <c r="BH20" s="103"/>
      <c r="BI20" s="103"/>
      <c r="BJ20" s="103">
        <f>ROUND(BI20*(1+取值表!$D$2),0)</f>
        <v>0</v>
      </c>
      <c r="BK20" s="103"/>
      <c r="BL20" s="103"/>
      <c r="BM20" s="103"/>
      <c r="BN20" s="103">
        <f>ROUND(BM20*(1+取值表!$D$2),0)</f>
        <v>0</v>
      </c>
      <c r="BO20" s="103"/>
      <c r="BP20" s="103"/>
      <c r="BQ20" s="103"/>
      <c r="BR20" s="103">
        <f>ROUND(BQ20*(1+取值表!$D$2),0)</f>
        <v>0</v>
      </c>
      <c r="BS20" s="103"/>
      <c r="BT20" s="103"/>
      <c r="BU20" s="103"/>
      <c r="BV20" s="103">
        <f>ROUND(BU20*(1+取值表!$D$2),0)</f>
        <v>0</v>
      </c>
      <c r="BW20" s="103"/>
      <c r="BX20" s="103"/>
      <c r="BY20" s="103"/>
      <c r="BZ20" s="103">
        <f>ROUND(BY20*(1+取值表!$D$2),0)</f>
        <v>0</v>
      </c>
      <c r="CA20" s="103"/>
      <c r="CB20" s="103"/>
      <c r="CC20" s="103"/>
      <c r="CD20" s="103">
        <f>ROUND(CC20*(1+取值表!$D$2),0)</f>
        <v>0</v>
      </c>
      <c r="CE20" s="103"/>
      <c r="CF20" s="103"/>
      <c r="CG20" s="103"/>
      <c r="CH20" s="103">
        <f>ROUND(CG20*(1+取值表!$D$2),0)</f>
        <v>0</v>
      </c>
      <c r="CI20" s="103"/>
      <c r="CJ20" s="103"/>
      <c r="CK20" s="103"/>
      <c r="CL20" s="103">
        <f>ROUND(CK20*(1+取值表!$D$2),0)</f>
        <v>0</v>
      </c>
      <c r="CM20" s="103"/>
      <c r="CN20" s="103"/>
      <c r="CO20" s="103"/>
      <c r="CP20" s="104">
        <f t="shared" si="54"/>
        <v>0</v>
      </c>
    </row>
    <row r="21" spans="1:94" s="58" customFormat="1" ht="13.5" customHeight="1">
      <c r="A21" s="546">
        <v>10</v>
      </c>
      <c r="B21" s="550" t="s">
        <v>905</v>
      </c>
      <c r="C21" s="548" t="s">
        <v>906</v>
      </c>
      <c r="D21" s="549" t="s">
        <v>400</v>
      </c>
      <c r="E21" s="547" t="s">
        <v>398</v>
      </c>
      <c r="F21" s="562">
        <v>16.23</v>
      </c>
      <c r="G21" s="562">
        <f>H21/365/F21</f>
        <v>2.4657534246575339</v>
      </c>
      <c r="H21" s="563">
        <v>14607</v>
      </c>
      <c r="I21" s="99"/>
      <c r="J21" s="101">
        <f>ROUND(14607/4,0)</f>
        <v>3652</v>
      </c>
      <c r="K21" s="102">
        <f>J21</f>
        <v>3652</v>
      </c>
      <c r="L21" s="103">
        <f>K21</f>
        <v>3652</v>
      </c>
      <c r="M21" s="103">
        <f>L21</f>
        <v>3652</v>
      </c>
      <c r="N21" s="103">
        <f>ROUND(M21*(1+取值表!$D$2)*取值表!$I$2,0)</f>
        <v>3629</v>
      </c>
      <c r="O21" s="103">
        <f>N21</f>
        <v>3629</v>
      </c>
      <c r="P21" s="103">
        <f t="shared" ref="P21:Q21" si="483">O21</f>
        <v>3629</v>
      </c>
      <c r="Q21" s="103">
        <f t="shared" si="483"/>
        <v>3629</v>
      </c>
      <c r="R21" s="278">
        <f>ROUND(Q21*(1+取值表!$D$2),0)</f>
        <v>3832</v>
      </c>
      <c r="S21" s="103">
        <f t="shared" ref="S21:U21" si="484">R21</f>
        <v>3832</v>
      </c>
      <c r="T21" s="103">
        <f t="shared" si="484"/>
        <v>3832</v>
      </c>
      <c r="U21" s="103">
        <f t="shared" si="484"/>
        <v>3832</v>
      </c>
      <c r="V21" s="103">
        <f>ROUND(U21*(1+取值表!$D$2),0)</f>
        <v>4047</v>
      </c>
      <c r="W21" s="103">
        <f t="shared" ref="W21:Y21" si="485">V21</f>
        <v>4047</v>
      </c>
      <c r="X21" s="103">
        <f t="shared" si="485"/>
        <v>4047</v>
      </c>
      <c r="Y21" s="103">
        <f t="shared" si="485"/>
        <v>4047</v>
      </c>
      <c r="Z21" s="103">
        <f>ROUND(Y21*(1+取值表!$D$2),0)</f>
        <v>4274</v>
      </c>
      <c r="AA21" s="103">
        <f t="shared" ref="AA21" si="486">Z21</f>
        <v>4274</v>
      </c>
      <c r="AB21" s="103">
        <f t="shared" ref="AB21" si="487">AA21</f>
        <v>4274</v>
      </c>
      <c r="AC21" s="103">
        <f t="shared" ref="AC21" si="488">AB21</f>
        <v>4274</v>
      </c>
      <c r="AD21" s="103">
        <f>ROUND(AC21*(1+取值表!$D$2),0)</f>
        <v>4513</v>
      </c>
      <c r="AE21" s="103">
        <f t="shared" ref="AE21" si="489">AD21</f>
        <v>4513</v>
      </c>
      <c r="AF21" s="103">
        <f t="shared" ref="AF21" si="490">AE21</f>
        <v>4513</v>
      </c>
      <c r="AG21" s="103">
        <f t="shared" ref="AG21" si="491">AF21</f>
        <v>4513</v>
      </c>
      <c r="AH21" s="103">
        <f>ROUND(AG21*(1+取值表!$D$2),0)</f>
        <v>4766</v>
      </c>
      <c r="AI21" s="103">
        <f t="shared" ref="AI21" si="492">AH21</f>
        <v>4766</v>
      </c>
      <c r="AJ21" s="103">
        <f t="shared" ref="AJ21" si="493">AI21</f>
        <v>4766</v>
      </c>
      <c r="AK21" s="103">
        <f t="shared" ref="AK21" si="494">AJ21</f>
        <v>4766</v>
      </c>
      <c r="AL21" s="103">
        <f>ROUND(AK21*(1+取值表!$D$2),0)</f>
        <v>5033</v>
      </c>
      <c r="AM21" s="103">
        <f t="shared" ref="AM21" si="495">AL21</f>
        <v>5033</v>
      </c>
      <c r="AN21" s="103">
        <f t="shared" ref="AN21" si="496">AM21</f>
        <v>5033</v>
      </c>
      <c r="AO21" s="103">
        <f t="shared" ref="AO21" si="497">AN21</f>
        <v>5033</v>
      </c>
      <c r="AP21" s="103">
        <f>ROUND(AO21*(1+取值表!$D$2),0)</f>
        <v>5315</v>
      </c>
      <c r="AQ21" s="103">
        <f t="shared" ref="AQ21" si="498">AP21</f>
        <v>5315</v>
      </c>
      <c r="AR21" s="103">
        <f t="shared" ref="AR21" si="499">AQ21</f>
        <v>5315</v>
      </c>
      <c r="AS21" s="103">
        <f t="shared" ref="AS21" si="500">AR21</f>
        <v>5315</v>
      </c>
      <c r="AT21" s="103">
        <f>ROUND(AS21*(1+取值表!$D$2),0)</f>
        <v>5613</v>
      </c>
      <c r="AU21" s="103">
        <f t="shared" ref="AU21" si="501">AT21</f>
        <v>5613</v>
      </c>
      <c r="AV21" s="103">
        <f t="shared" ref="AV21" si="502">AU21</f>
        <v>5613</v>
      </c>
      <c r="AW21" s="103">
        <f t="shared" ref="AW21" si="503">AV21</f>
        <v>5613</v>
      </c>
      <c r="AX21" s="103">
        <f>ROUND(AW21*(1+取值表!$D$2),0)</f>
        <v>5927</v>
      </c>
      <c r="AY21" s="103">
        <f t="shared" ref="AY21" si="504">AX21</f>
        <v>5927</v>
      </c>
      <c r="AZ21" s="103">
        <f t="shared" ref="AZ21" si="505">AY21</f>
        <v>5927</v>
      </c>
      <c r="BA21" s="103">
        <f t="shared" ref="BA21" si="506">AZ21</f>
        <v>5927</v>
      </c>
      <c r="BB21" s="103">
        <f>ROUND(BA21*(1+取值表!$D$2),0)</f>
        <v>6259</v>
      </c>
      <c r="BC21" s="103">
        <f t="shared" ref="BC21" si="507">BB21</f>
        <v>6259</v>
      </c>
      <c r="BD21" s="103">
        <f t="shared" ref="BD21" si="508">BC21</f>
        <v>6259</v>
      </c>
      <c r="BE21" s="103">
        <f t="shared" ref="BE21" si="509">BD21</f>
        <v>6259</v>
      </c>
      <c r="BF21" s="103">
        <f>ROUND(BE21*(1+取值表!$D$2),0)</f>
        <v>6610</v>
      </c>
      <c r="BG21" s="103">
        <f t="shared" ref="BG21" si="510">BF21</f>
        <v>6610</v>
      </c>
      <c r="BH21" s="103">
        <f t="shared" ref="BH21" si="511">BG21</f>
        <v>6610</v>
      </c>
      <c r="BI21" s="103">
        <f t="shared" ref="BI21" si="512">BH21</f>
        <v>6610</v>
      </c>
      <c r="BJ21" s="103">
        <f>ROUND(BI21*(1+取值表!$D$2),0)</f>
        <v>6980</v>
      </c>
      <c r="BK21" s="103">
        <f t="shared" ref="BK21" si="513">BJ21</f>
        <v>6980</v>
      </c>
      <c r="BL21" s="103">
        <f t="shared" ref="BL21" si="514">BK21</f>
        <v>6980</v>
      </c>
      <c r="BM21" s="103">
        <f t="shared" ref="BM21" si="515">BL21</f>
        <v>6980</v>
      </c>
      <c r="BN21" s="103">
        <f>ROUND(BM21*(1+取值表!$D$2),0)</f>
        <v>7371</v>
      </c>
      <c r="BO21" s="103">
        <f t="shared" ref="BO21" si="516">BN21</f>
        <v>7371</v>
      </c>
      <c r="BP21" s="103">
        <f t="shared" ref="BP21" si="517">BO21</f>
        <v>7371</v>
      </c>
      <c r="BQ21" s="103">
        <f t="shared" ref="BQ21" si="518">BP21</f>
        <v>7371</v>
      </c>
      <c r="BR21" s="103">
        <f>ROUND(BQ21*(1+取值表!$D$2),0)</f>
        <v>7784</v>
      </c>
      <c r="BS21" s="103">
        <f t="shared" ref="BS21" si="519">BR21</f>
        <v>7784</v>
      </c>
      <c r="BT21" s="103">
        <f t="shared" ref="BT21" si="520">BS21</f>
        <v>7784</v>
      </c>
      <c r="BU21" s="103">
        <f t="shared" ref="BU21" si="521">BT21</f>
        <v>7784</v>
      </c>
      <c r="BV21" s="103">
        <f>ROUND(BU21*(1+取值表!$D$2),0)</f>
        <v>8220</v>
      </c>
      <c r="BW21" s="103">
        <f t="shared" ref="BW21" si="522">BV21</f>
        <v>8220</v>
      </c>
      <c r="BX21" s="103">
        <f t="shared" ref="BX21" si="523">BW21</f>
        <v>8220</v>
      </c>
      <c r="BY21" s="103">
        <f t="shared" ref="BY21" si="524">BX21</f>
        <v>8220</v>
      </c>
      <c r="BZ21" s="103">
        <f>ROUND(BY21*(1+取值表!$D$2),0)</f>
        <v>8680</v>
      </c>
      <c r="CA21" s="103">
        <f t="shared" ref="CA21" si="525">BZ21</f>
        <v>8680</v>
      </c>
      <c r="CB21" s="103">
        <f t="shared" ref="CB21" si="526">CA21</f>
        <v>8680</v>
      </c>
      <c r="CC21" s="103">
        <f t="shared" ref="CC21" si="527">CB21</f>
        <v>8680</v>
      </c>
      <c r="CD21" s="103">
        <f>ROUND(CC21*(1+取值表!$D$2),0)</f>
        <v>9166</v>
      </c>
      <c r="CE21" s="103">
        <f t="shared" ref="CE21" si="528">CD21</f>
        <v>9166</v>
      </c>
      <c r="CF21" s="103">
        <f t="shared" ref="CF21" si="529">CE21</f>
        <v>9166</v>
      </c>
      <c r="CG21" s="103">
        <f t="shared" ref="CG21" si="530">CF21</f>
        <v>9166</v>
      </c>
      <c r="CH21" s="103">
        <f>ROUND(CG21*(1+取值表!$D$2),0)</f>
        <v>9679</v>
      </c>
      <c r="CI21" s="103">
        <f t="shared" ref="CI21" si="531">CH21</f>
        <v>9679</v>
      </c>
      <c r="CJ21" s="103">
        <f t="shared" ref="CJ21" si="532">CI21</f>
        <v>9679</v>
      </c>
      <c r="CK21" s="103">
        <f t="shared" ref="CK21" si="533">CJ21</f>
        <v>9679</v>
      </c>
      <c r="CL21" s="103">
        <f>ROUND(CK21*(1+取值表!$D$2),0)</f>
        <v>10221</v>
      </c>
      <c r="CM21" s="103">
        <f t="shared" ref="CM21" si="534">CL21</f>
        <v>10221</v>
      </c>
      <c r="CN21" s="103">
        <f t="shared" ref="CN21" si="535">CM21</f>
        <v>10221</v>
      </c>
      <c r="CO21" s="103">
        <f t="shared" ref="CO21" si="536">CN21</f>
        <v>10221</v>
      </c>
      <c r="CP21" s="104">
        <f t="shared" si="54"/>
        <v>526284</v>
      </c>
    </row>
    <row r="22" spans="1:94" s="58" customFormat="1" ht="13.5" customHeight="1">
      <c r="A22" s="546"/>
      <c r="B22" s="550"/>
      <c r="C22" s="548"/>
      <c r="D22" s="549"/>
      <c r="E22" s="547"/>
      <c r="F22" s="562"/>
      <c r="G22" s="562"/>
      <c r="H22" s="563"/>
      <c r="I22" s="99"/>
      <c r="J22" s="101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>
        <f>ROUND(U22*(1+取值表!$D$2),0)</f>
        <v>0</v>
      </c>
      <c r="W22" s="103"/>
      <c r="X22" s="103"/>
      <c r="Y22" s="103"/>
      <c r="Z22" s="103">
        <f>ROUND(Y22*(1+取值表!$D$2),0)</f>
        <v>0</v>
      </c>
      <c r="AA22" s="103"/>
      <c r="AB22" s="103"/>
      <c r="AC22" s="103"/>
      <c r="AD22" s="103">
        <f>ROUND(AC22*(1+取值表!$D$2),0)</f>
        <v>0</v>
      </c>
      <c r="AE22" s="103"/>
      <c r="AF22" s="103"/>
      <c r="AG22" s="103"/>
      <c r="AH22" s="103">
        <f>ROUND(AG22*(1+取值表!$D$2),0)</f>
        <v>0</v>
      </c>
      <c r="AI22" s="103"/>
      <c r="AJ22" s="103"/>
      <c r="AK22" s="103"/>
      <c r="AL22" s="103">
        <f>ROUND(AK22*(1+取值表!$D$2),0)</f>
        <v>0</v>
      </c>
      <c r="AM22" s="103"/>
      <c r="AN22" s="103"/>
      <c r="AO22" s="103"/>
      <c r="AP22" s="103">
        <f>ROUND(AO22*(1+取值表!$D$2),0)</f>
        <v>0</v>
      </c>
      <c r="AQ22" s="103"/>
      <c r="AR22" s="103"/>
      <c r="AS22" s="103"/>
      <c r="AT22" s="103">
        <f>ROUND(AS22*(1+取值表!$D$2),0)</f>
        <v>0</v>
      </c>
      <c r="AU22" s="103"/>
      <c r="AV22" s="103"/>
      <c r="AW22" s="103"/>
      <c r="AX22" s="103">
        <f>ROUND(AW22*(1+取值表!$D$2),0)</f>
        <v>0</v>
      </c>
      <c r="AY22" s="103"/>
      <c r="AZ22" s="103"/>
      <c r="BA22" s="103"/>
      <c r="BB22" s="103">
        <f>ROUND(BA22*(1+取值表!$D$2),0)</f>
        <v>0</v>
      </c>
      <c r="BC22" s="103"/>
      <c r="BD22" s="103"/>
      <c r="BE22" s="103"/>
      <c r="BF22" s="103">
        <f>ROUND(BE22*(1+取值表!$D$2),0)</f>
        <v>0</v>
      </c>
      <c r="BG22" s="103"/>
      <c r="BH22" s="103"/>
      <c r="BI22" s="103"/>
      <c r="BJ22" s="103">
        <f>ROUND(BI22*(1+取值表!$D$2),0)</f>
        <v>0</v>
      </c>
      <c r="BK22" s="103"/>
      <c r="BL22" s="103"/>
      <c r="BM22" s="103"/>
      <c r="BN22" s="103">
        <f>ROUND(BM22*(1+取值表!$D$2),0)</f>
        <v>0</v>
      </c>
      <c r="BO22" s="103"/>
      <c r="BP22" s="103"/>
      <c r="BQ22" s="103"/>
      <c r="BR22" s="103">
        <f>ROUND(BQ22*(1+取值表!$D$2),0)</f>
        <v>0</v>
      </c>
      <c r="BS22" s="103"/>
      <c r="BT22" s="103"/>
      <c r="BU22" s="103"/>
      <c r="BV22" s="103">
        <f>ROUND(BU22*(1+取值表!$D$2),0)</f>
        <v>0</v>
      </c>
      <c r="BW22" s="103"/>
      <c r="BX22" s="103"/>
      <c r="BY22" s="103"/>
      <c r="BZ22" s="103">
        <f>ROUND(BY22*(1+取值表!$D$2),0)</f>
        <v>0</v>
      </c>
      <c r="CA22" s="103"/>
      <c r="CB22" s="103"/>
      <c r="CC22" s="103"/>
      <c r="CD22" s="103">
        <f>ROUND(CC22*(1+取值表!$D$2),0)</f>
        <v>0</v>
      </c>
      <c r="CE22" s="103"/>
      <c r="CF22" s="103"/>
      <c r="CG22" s="103"/>
      <c r="CH22" s="103">
        <f>ROUND(CG22*(1+取值表!$D$2),0)</f>
        <v>0</v>
      </c>
      <c r="CI22" s="103"/>
      <c r="CJ22" s="103"/>
      <c r="CK22" s="103"/>
      <c r="CL22" s="103">
        <f>ROUND(CK22*(1+取值表!$D$2),0)</f>
        <v>0</v>
      </c>
      <c r="CM22" s="103"/>
      <c r="CN22" s="103"/>
      <c r="CO22" s="103"/>
      <c r="CP22" s="104">
        <f t="shared" si="54"/>
        <v>0</v>
      </c>
    </row>
    <row r="23" spans="1:94" s="58" customFormat="1" ht="12" customHeight="1">
      <c r="A23" s="546">
        <v>11</v>
      </c>
      <c r="B23" s="550" t="s">
        <v>907</v>
      </c>
      <c r="C23" s="548" t="s">
        <v>901</v>
      </c>
      <c r="D23" s="549" t="s">
        <v>405</v>
      </c>
      <c r="E23" s="547" t="s">
        <v>398</v>
      </c>
      <c r="F23" s="562">
        <v>17.63</v>
      </c>
      <c r="G23" s="562">
        <f>H23/365/F23</f>
        <v>3.1232876712328772</v>
      </c>
      <c r="H23" s="563">
        <v>20098.2</v>
      </c>
      <c r="I23" s="99"/>
      <c r="J23" s="101">
        <f>ROUND(20098.2/4,0)</f>
        <v>5025</v>
      </c>
      <c r="K23" s="102">
        <f>J23</f>
        <v>5025</v>
      </c>
      <c r="L23" s="103">
        <f>K23</f>
        <v>5025</v>
      </c>
      <c r="M23" s="103">
        <f>L23</f>
        <v>5025</v>
      </c>
      <c r="N23" s="103">
        <f>ROUND(M23*(1+取值表!$D$2)*取值表!$I$2,0)</f>
        <v>4993</v>
      </c>
      <c r="O23" s="103">
        <f>N23</f>
        <v>4993</v>
      </c>
      <c r="P23" s="103">
        <f t="shared" ref="P23:Q23" si="537">O23</f>
        <v>4993</v>
      </c>
      <c r="Q23" s="103">
        <f t="shared" si="537"/>
        <v>4993</v>
      </c>
      <c r="R23" s="278">
        <f>ROUND(Q23*(1+取值表!$D$2),0)</f>
        <v>5273</v>
      </c>
      <c r="S23" s="103">
        <f t="shared" ref="S23:U23" si="538">R23</f>
        <v>5273</v>
      </c>
      <c r="T23" s="103">
        <f t="shared" si="538"/>
        <v>5273</v>
      </c>
      <c r="U23" s="103">
        <f t="shared" si="538"/>
        <v>5273</v>
      </c>
      <c r="V23" s="103">
        <f>ROUND(U23*(1+取值表!$D$2),0)</f>
        <v>5568</v>
      </c>
      <c r="W23" s="103">
        <f t="shared" ref="W23:Y23" si="539">V23</f>
        <v>5568</v>
      </c>
      <c r="X23" s="103">
        <f t="shared" si="539"/>
        <v>5568</v>
      </c>
      <c r="Y23" s="103">
        <f t="shared" si="539"/>
        <v>5568</v>
      </c>
      <c r="Z23" s="103">
        <f>ROUND(Y23*(1+取值表!$D$2),0)</f>
        <v>5880</v>
      </c>
      <c r="AA23" s="103">
        <f t="shared" ref="AA23" si="540">Z23</f>
        <v>5880</v>
      </c>
      <c r="AB23" s="103">
        <f t="shared" ref="AB23" si="541">AA23</f>
        <v>5880</v>
      </c>
      <c r="AC23" s="103">
        <f t="shared" ref="AC23" si="542">AB23</f>
        <v>5880</v>
      </c>
      <c r="AD23" s="103">
        <f>ROUND(AC23*(1+取值表!$D$2),0)</f>
        <v>6209</v>
      </c>
      <c r="AE23" s="103">
        <f t="shared" ref="AE23" si="543">AD23</f>
        <v>6209</v>
      </c>
      <c r="AF23" s="103">
        <f t="shared" ref="AF23" si="544">AE23</f>
        <v>6209</v>
      </c>
      <c r="AG23" s="103">
        <f t="shared" ref="AG23" si="545">AF23</f>
        <v>6209</v>
      </c>
      <c r="AH23" s="103">
        <f>ROUND(AG23*(1+取值表!$D$2),0)</f>
        <v>6557</v>
      </c>
      <c r="AI23" s="103">
        <f t="shared" ref="AI23" si="546">AH23</f>
        <v>6557</v>
      </c>
      <c r="AJ23" s="103">
        <f t="shared" ref="AJ23" si="547">AI23</f>
        <v>6557</v>
      </c>
      <c r="AK23" s="103">
        <f t="shared" ref="AK23" si="548">AJ23</f>
        <v>6557</v>
      </c>
      <c r="AL23" s="103">
        <f>ROUND(AK23*(1+取值表!$D$2),0)</f>
        <v>6924</v>
      </c>
      <c r="AM23" s="103">
        <f t="shared" ref="AM23" si="549">AL23</f>
        <v>6924</v>
      </c>
      <c r="AN23" s="103">
        <f t="shared" ref="AN23" si="550">AM23</f>
        <v>6924</v>
      </c>
      <c r="AO23" s="103">
        <f t="shared" ref="AO23" si="551">AN23</f>
        <v>6924</v>
      </c>
      <c r="AP23" s="103">
        <f>ROUND(AO23*(1+取值表!$D$2),0)</f>
        <v>7312</v>
      </c>
      <c r="AQ23" s="103">
        <f t="shared" ref="AQ23" si="552">AP23</f>
        <v>7312</v>
      </c>
      <c r="AR23" s="103">
        <f t="shared" ref="AR23" si="553">AQ23</f>
        <v>7312</v>
      </c>
      <c r="AS23" s="103">
        <f t="shared" ref="AS23" si="554">AR23</f>
        <v>7312</v>
      </c>
      <c r="AT23" s="103">
        <f>ROUND(AS23*(1+取值表!$D$2),0)</f>
        <v>7721</v>
      </c>
      <c r="AU23" s="103">
        <f t="shared" ref="AU23" si="555">AT23</f>
        <v>7721</v>
      </c>
      <c r="AV23" s="103">
        <f t="shared" ref="AV23" si="556">AU23</f>
        <v>7721</v>
      </c>
      <c r="AW23" s="103">
        <f t="shared" ref="AW23" si="557">AV23</f>
        <v>7721</v>
      </c>
      <c r="AX23" s="103">
        <f>ROUND(AW23*(1+取值表!$D$2),0)</f>
        <v>8153</v>
      </c>
      <c r="AY23" s="103">
        <f t="shared" ref="AY23" si="558">AX23</f>
        <v>8153</v>
      </c>
      <c r="AZ23" s="103">
        <f t="shared" ref="AZ23" si="559">AY23</f>
        <v>8153</v>
      </c>
      <c r="BA23" s="103">
        <f t="shared" ref="BA23" si="560">AZ23</f>
        <v>8153</v>
      </c>
      <c r="BB23" s="103">
        <f>ROUND(BA23*(1+取值表!$D$2),0)</f>
        <v>8610</v>
      </c>
      <c r="BC23" s="103">
        <f t="shared" ref="BC23" si="561">BB23</f>
        <v>8610</v>
      </c>
      <c r="BD23" s="103">
        <f t="shared" ref="BD23" si="562">BC23</f>
        <v>8610</v>
      </c>
      <c r="BE23" s="103">
        <f t="shared" ref="BE23" si="563">BD23</f>
        <v>8610</v>
      </c>
      <c r="BF23" s="103">
        <f>ROUND(BE23*(1+取值表!$D$2),0)</f>
        <v>9092</v>
      </c>
      <c r="BG23" s="103">
        <f t="shared" ref="BG23" si="564">BF23</f>
        <v>9092</v>
      </c>
      <c r="BH23" s="103">
        <f t="shared" ref="BH23" si="565">BG23</f>
        <v>9092</v>
      </c>
      <c r="BI23" s="103">
        <f t="shared" ref="BI23" si="566">BH23</f>
        <v>9092</v>
      </c>
      <c r="BJ23" s="103">
        <f>ROUND(BI23*(1+取值表!$D$2),0)</f>
        <v>9601</v>
      </c>
      <c r="BK23" s="103">
        <f t="shared" ref="BK23" si="567">BJ23</f>
        <v>9601</v>
      </c>
      <c r="BL23" s="103">
        <f t="shared" ref="BL23" si="568">BK23</f>
        <v>9601</v>
      </c>
      <c r="BM23" s="103">
        <f t="shared" ref="BM23" si="569">BL23</f>
        <v>9601</v>
      </c>
      <c r="BN23" s="103">
        <f>ROUND(BM23*(1+取值表!$D$2),0)</f>
        <v>10139</v>
      </c>
      <c r="BO23" s="103">
        <f t="shared" ref="BO23" si="570">BN23</f>
        <v>10139</v>
      </c>
      <c r="BP23" s="103">
        <f t="shared" ref="BP23" si="571">BO23</f>
        <v>10139</v>
      </c>
      <c r="BQ23" s="103">
        <f t="shared" ref="BQ23" si="572">BP23</f>
        <v>10139</v>
      </c>
      <c r="BR23" s="103">
        <f>ROUND(BQ23*(1+取值表!$D$2),0)</f>
        <v>10707</v>
      </c>
      <c r="BS23" s="103">
        <f t="shared" ref="BS23" si="573">BR23</f>
        <v>10707</v>
      </c>
      <c r="BT23" s="103">
        <f t="shared" ref="BT23" si="574">BS23</f>
        <v>10707</v>
      </c>
      <c r="BU23" s="103">
        <f t="shared" ref="BU23" si="575">BT23</f>
        <v>10707</v>
      </c>
      <c r="BV23" s="103">
        <f>ROUND(BU23*(1+取值表!$D$2),0)</f>
        <v>11307</v>
      </c>
      <c r="BW23" s="103">
        <f t="shared" ref="BW23" si="576">BV23</f>
        <v>11307</v>
      </c>
      <c r="BX23" s="103">
        <f t="shared" ref="BX23" si="577">BW23</f>
        <v>11307</v>
      </c>
      <c r="BY23" s="103">
        <f t="shared" ref="BY23" si="578">BX23</f>
        <v>11307</v>
      </c>
      <c r="BZ23" s="103">
        <f>ROUND(BY23*(1+取值表!$D$2),0)</f>
        <v>11940</v>
      </c>
      <c r="CA23" s="103">
        <f t="shared" ref="CA23" si="579">BZ23</f>
        <v>11940</v>
      </c>
      <c r="CB23" s="103">
        <f t="shared" ref="CB23" si="580">CA23</f>
        <v>11940</v>
      </c>
      <c r="CC23" s="103">
        <f t="shared" ref="CC23" si="581">CB23</f>
        <v>11940</v>
      </c>
      <c r="CD23" s="103">
        <f>ROUND(CC23*(1+取值表!$D$2),0)</f>
        <v>12609</v>
      </c>
      <c r="CE23" s="103">
        <f t="shared" ref="CE23" si="582">CD23</f>
        <v>12609</v>
      </c>
      <c r="CF23" s="103">
        <f t="shared" ref="CF23" si="583">CE23</f>
        <v>12609</v>
      </c>
      <c r="CG23" s="103">
        <f t="shared" ref="CG23" si="584">CF23</f>
        <v>12609</v>
      </c>
      <c r="CH23" s="103">
        <f>ROUND(CG23*(1+取值表!$D$2),0)</f>
        <v>13315</v>
      </c>
      <c r="CI23" s="103">
        <f t="shared" ref="CI23" si="585">CH23</f>
        <v>13315</v>
      </c>
      <c r="CJ23" s="103">
        <f t="shared" ref="CJ23" si="586">CI23</f>
        <v>13315</v>
      </c>
      <c r="CK23" s="103">
        <f t="shared" ref="CK23" si="587">CJ23</f>
        <v>13315</v>
      </c>
      <c r="CL23" s="103">
        <f>ROUND(CK23*(1+取值表!$D$2),0)</f>
        <v>14061</v>
      </c>
      <c r="CM23" s="103">
        <f t="shared" ref="CM23" si="588">CL23</f>
        <v>14061</v>
      </c>
      <c r="CN23" s="103">
        <f t="shared" ref="CN23" si="589">CM23</f>
        <v>14061</v>
      </c>
      <c r="CO23" s="103">
        <f t="shared" ref="CO23" si="590">CN23</f>
        <v>14061</v>
      </c>
      <c r="CP23" s="104">
        <f t="shared" si="54"/>
        <v>723984</v>
      </c>
    </row>
    <row r="24" spans="1:94" s="58" customFormat="1" ht="12.75">
      <c r="A24" s="546"/>
      <c r="B24" s="550"/>
      <c r="C24" s="548"/>
      <c r="D24" s="549"/>
      <c r="E24" s="547"/>
      <c r="F24" s="562"/>
      <c r="G24" s="562"/>
      <c r="H24" s="563"/>
      <c r="I24" s="99"/>
      <c r="J24" s="101"/>
      <c r="K24" s="57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>
        <f>ROUND(U24*(1+取值表!$D$2),0)</f>
        <v>0</v>
      </c>
      <c r="W24" s="103"/>
      <c r="X24" s="103"/>
      <c r="Y24" s="103"/>
      <c r="Z24" s="103">
        <f>ROUND(Y24*(1+取值表!$D$2),0)</f>
        <v>0</v>
      </c>
      <c r="AA24" s="103"/>
      <c r="AB24" s="103"/>
      <c r="AC24" s="103"/>
      <c r="AD24" s="103">
        <f>ROUND(AC24*(1+取值表!$D$2),0)</f>
        <v>0</v>
      </c>
      <c r="AE24" s="103"/>
      <c r="AF24" s="103"/>
      <c r="AG24" s="103"/>
      <c r="AH24" s="103">
        <f>ROUND(AG24*(1+取值表!$D$2),0)</f>
        <v>0</v>
      </c>
      <c r="AI24" s="103"/>
      <c r="AJ24" s="103"/>
      <c r="AK24" s="103"/>
      <c r="AL24" s="103">
        <f>ROUND(AK24*(1+取值表!$D$2),0)</f>
        <v>0</v>
      </c>
      <c r="AM24" s="103"/>
      <c r="AN24" s="103"/>
      <c r="AO24" s="103"/>
      <c r="AP24" s="103">
        <f>ROUND(AO24*(1+取值表!$D$2),0)</f>
        <v>0</v>
      </c>
      <c r="AQ24" s="103"/>
      <c r="AR24" s="103"/>
      <c r="AS24" s="103"/>
      <c r="AT24" s="103">
        <f>ROUND(AS24*(1+取值表!$D$2),0)</f>
        <v>0</v>
      </c>
      <c r="AU24" s="103"/>
      <c r="AV24" s="103"/>
      <c r="AW24" s="103"/>
      <c r="AX24" s="103">
        <f>ROUND(AW24*(1+取值表!$D$2),0)</f>
        <v>0</v>
      </c>
      <c r="AY24" s="103"/>
      <c r="AZ24" s="103"/>
      <c r="BA24" s="103"/>
      <c r="BB24" s="103">
        <f>ROUND(BA24*(1+取值表!$D$2),0)</f>
        <v>0</v>
      </c>
      <c r="BC24" s="103"/>
      <c r="BD24" s="103"/>
      <c r="BE24" s="103"/>
      <c r="BF24" s="103">
        <f>ROUND(BE24*(1+取值表!$D$2),0)</f>
        <v>0</v>
      </c>
      <c r="BG24" s="103"/>
      <c r="BH24" s="103"/>
      <c r="BI24" s="103"/>
      <c r="BJ24" s="103">
        <f>ROUND(BI24*(1+取值表!$D$2),0)</f>
        <v>0</v>
      </c>
      <c r="BK24" s="103"/>
      <c r="BL24" s="103"/>
      <c r="BM24" s="103"/>
      <c r="BN24" s="103">
        <f>ROUND(BM24*(1+取值表!$D$2),0)</f>
        <v>0</v>
      </c>
      <c r="BO24" s="103"/>
      <c r="BP24" s="103"/>
      <c r="BQ24" s="103"/>
      <c r="BR24" s="103">
        <f>ROUND(BQ24*(1+取值表!$D$2),0)</f>
        <v>0</v>
      </c>
      <c r="BS24" s="103"/>
      <c r="BT24" s="103"/>
      <c r="BU24" s="103"/>
      <c r="BV24" s="103">
        <f>ROUND(BU24*(1+取值表!$D$2),0)</f>
        <v>0</v>
      </c>
      <c r="BW24" s="103"/>
      <c r="BX24" s="103"/>
      <c r="BY24" s="103"/>
      <c r="BZ24" s="103">
        <f>ROUND(BY24*(1+取值表!$D$2),0)</f>
        <v>0</v>
      </c>
      <c r="CA24" s="103"/>
      <c r="CB24" s="103"/>
      <c r="CC24" s="103"/>
      <c r="CD24" s="103">
        <f>ROUND(CC24*(1+取值表!$D$2),0)</f>
        <v>0</v>
      </c>
      <c r="CE24" s="103"/>
      <c r="CF24" s="103"/>
      <c r="CG24" s="103"/>
      <c r="CH24" s="103">
        <f>ROUND(CG24*(1+取值表!$D$2),0)</f>
        <v>0</v>
      </c>
      <c r="CI24" s="103"/>
      <c r="CJ24" s="103"/>
      <c r="CK24" s="103"/>
      <c r="CL24" s="103">
        <f>ROUND(CK24*(1+取值表!$D$2),0)</f>
        <v>0</v>
      </c>
      <c r="CM24" s="103"/>
      <c r="CN24" s="103"/>
      <c r="CO24" s="103"/>
      <c r="CP24" s="104">
        <f t="shared" si="54"/>
        <v>0</v>
      </c>
    </row>
    <row r="25" spans="1:94" s="58" customFormat="1" ht="12" customHeight="1">
      <c r="A25" s="546">
        <v>12</v>
      </c>
      <c r="B25" s="550" t="s">
        <v>908</v>
      </c>
      <c r="C25" s="548" t="s">
        <v>909</v>
      </c>
      <c r="D25" s="549" t="s">
        <v>406</v>
      </c>
      <c r="E25" s="547" t="s">
        <v>398</v>
      </c>
      <c r="F25" s="562">
        <v>17.63</v>
      </c>
      <c r="G25" s="562">
        <f>H25/365/F25</f>
        <v>3.1232876712328772</v>
      </c>
      <c r="H25" s="563">
        <v>20098.2</v>
      </c>
      <c r="I25" s="99"/>
      <c r="J25" s="101">
        <f>ROUND(20098.2/4,0)</f>
        <v>5025</v>
      </c>
      <c r="K25" s="102">
        <f>J25</f>
        <v>5025</v>
      </c>
      <c r="L25" s="103">
        <f>K25</f>
        <v>5025</v>
      </c>
      <c r="M25" s="103">
        <f>L25</f>
        <v>5025</v>
      </c>
      <c r="N25" s="103">
        <f>ROUND(M25*(1+取值表!$D$2)*取值表!$I$2,0)</f>
        <v>4993</v>
      </c>
      <c r="O25" s="103">
        <f>N25</f>
        <v>4993</v>
      </c>
      <c r="P25" s="103">
        <f t="shared" ref="P25:Q25" si="591">O25</f>
        <v>4993</v>
      </c>
      <c r="Q25" s="103">
        <f t="shared" si="591"/>
        <v>4993</v>
      </c>
      <c r="R25" s="278">
        <f>ROUND(Q25*(1+取值表!$D$2),0)</f>
        <v>5273</v>
      </c>
      <c r="S25" s="103">
        <f t="shared" ref="S25:U25" si="592">R25</f>
        <v>5273</v>
      </c>
      <c r="T25" s="103">
        <f t="shared" si="592"/>
        <v>5273</v>
      </c>
      <c r="U25" s="103">
        <f t="shared" si="592"/>
        <v>5273</v>
      </c>
      <c r="V25" s="103">
        <f>ROUND(U25*(1+取值表!$D$2),0)</f>
        <v>5568</v>
      </c>
      <c r="W25" s="103">
        <f t="shared" ref="W25:Y25" si="593">V25</f>
        <v>5568</v>
      </c>
      <c r="X25" s="103">
        <f t="shared" si="593"/>
        <v>5568</v>
      </c>
      <c r="Y25" s="103">
        <f t="shared" si="593"/>
        <v>5568</v>
      </c>
      <c r="Z25" s="103">
        <f>ROUND(Y25*(1+取值表!$D$2),0)</f>
        <v>5880</v>
      </c>
      <c r="AA25" s="103">
        <f t="shared" ref="AA25" si="594">Z25</f>
        <v>5880</v>
      </c>
      <c r="AB25" s="103">
        <f t="shared" ref="AB25" si="595">AA25</f>
        <v>5880</v>
      </c>
      <c r="AC25" s="103">
        <f t="shared" ref="AC25" si="596">AB25</f>
        <v>5880</v>
      </c>
      <c r="AD25" s="103">
        <f>ROUND(AC25*(1+取值表!$D$2),0)</f>
        <v>6209</v>
      </c>
      <c r="AE25" s="103">
        <f t="shared" ref="AE25" si="597">AD25</f>
        <v>6209</v>
      </c>
      <c r="AF25" s="103">
        <f t="shared" ref="AF25" si="598">AE25</f>
        <v>6209</v>
      </c>
      <c r="AG25" s="103">
        <f t="shared" ref="AG25" si="599">AF25</f>
        <v>6209</v>
      </c>
      <c r="AH25" s="103">
        <f>ROUND(AG25*(1+取值表!$D$2),0)</f>
        <v>6557</v>
      </c>
      <c r="AI25" s="103">
        <f t="shared" ref="AI25" si="600">AH25</f>
        <v>6557</v>
      </c>
      <c r="AJ25" s="103">
        <f t="shared" ref="AJ25" si="601">AI25</f>
        <v>6557</v>
      </c>
      <c r="AK25" s="103">
        <f t="shared" ref="AK25" si="602">AJ25</f>
        <v>6557</v>
      </c>
      <c r="AL25" s="103">
        <f>ROUND(AK25*(1+取值表!$D$2),0)</f>
        <v>6924</v>
      </c>
      <c r="AM25" s="103">
        <f t="shared" ref="AM25" si="603">AL25</f>
        <v>6924</v>
      </c>
      <c r="AN25" s="103">
        <f t="shared" ref="AN25" si="604">AM25</f>
        <v>6924</v>
      </c>
      <c r="AO25" s="103">
        <f t="shared" ref="AO25" si="605">AN25</f>
        <v>6924</v>
      </c>
      <c r="AP25" s="103">
        <f>ROUND(AO25*(1+取值表!$D$2),0)</f>
        <v>7312</v>
      </c>
      <c r="AQ25" s="103">
        <f t="shared" ref="AQ25" si="606">AP25</f>
        <v>7312</v>
      </c>
      <c r="AR25" s="103">
        <f t="shared" ref="AR25" si="607">AQ25</f>
        <v>7312</v>
      </c>
      <c r="AS25" s="103">
        <f t="shared" ref="AS25" si="608">AR25</f>
        <v>7312</v>
      </c>
      <c r="AT25" s="103">
        <f>ROUND(AS25*(1+取值表!$D$2),0)</f>
        <v>7721</v>
      </c>
      <c r="AU25" s="103">
        <f t="shared" ref="AU25" si="609">AT25</f>
        <v>7721</v>
      </c>
      <c r="AV25" s="103">
        <f t="shared" ref="AV25" si="610">AU25</f>
        <v>7721</v>
      </c>
      <c r="AW25" s="103">
        <f t="shared" ref="AW25" si="611">AV25</f>
        <v>7721</v>
      </c>
      <c r="AX25" s="103">
        <f>ROUND(AW25*(1+取值表!$D$2),0)</f>
        <v>8153</v>
      </c>
      <c r="AY25" s="103">
        <f t="shared" ref="AY25" si="612">AX25</f>
        <v>8153</v>
      </c>
      <c r="AZ25" s="103">
        <f t="shared" ref="AZ25" si="613">AY25</f>
        <v>8153</v>
      </c>
      <c r="BA25" s="103">
        <f t="shared" ref="BA25" si="614">AZ25</f>
        <v>8153</v>
      </c>
      <c r="BB25" s="103">
        <f>ROUND(BA25*(1+取值表!$D$2),0)</f>
        <v>8610</v>
      </c>
      <c r="BC25" s="103">
        <f t="shared" ref="BC25" si="615">BB25</f>
        <v>8610</v>
      </c>
      <c r="BD25" s="103">
        <f t="shared" ref="BD25" si="616">BC25</f>
        <v>8610</v>
      </c>
      <c r="BE25" s="103">
        <f t="shared" ref="BE25" si="617">BD25</f>
        <v>8610</v>
      </c>
      <c r="BF25" s="103">
        <f>ROUND(BE25*(1+取值表!$D$2),0)</f>
        <v>9092</v>
      </c>
      <c r="BG25" s="103">
        <f t="shared" ref="BG25" si="618">BF25</f>
        <v>9092</v>
      </c>
      <c r="BH25" s="103">
        <f t="shared" ref="BH25" si="619">BG25</f>
        <v>9092</v>
      </c>
      <c r="BI25" s="103">
        <f t="shared" ref="BI25" si="620">BH25</f>
        <v>9092</v>
      </c>
      <c r="BJ25" s="103">
        <f>ROUND(BI25*(1+取值表!$D$2),0)</f>
        <v>9601</v>
      </c>
      <c r="BK25" s="103">
        <f t="shared" ref="BK25" si="621">BJ25</f>
        <v>9601</v>
      </c>
      <c r="BL25" s="103">
        <f t="shared" ref="BL25" si="622">BK25</f>
        <v>9601</v>
      </c>
      <c r="BM25" s="103">
        <f t="shared" ref="BM25" si="623">BL25</f>
        <v>9601</v>
      </c>
      <c r="BN25" s="103">
        <f>ROUND(BM25*(1+取值表!$D$2),0)</f>
        <v>10139</v>
      </c>
      <c r="BO25" s="103">
        <f t="shared" ref="BO25" si="624">BN25</f>
        <v>10139</v>
      </c>
      <c r="BP25" s="103">
        <f t="shared" ref="BP25" si="625">BO25</f>
        <v>10139</v>
      </c>
      <c r="BQ25" s="103">
        <f t="shared" ref="BQ25" si="626">BP25</f>
        <v>10139</v>
      </c>
      <c r="BR25" s="103">
        <f>ROUND(BQ25*(1+取值表!$D$2),0)</f>
        <v>10707</v>
      </c>
      <c r="BS25" s="103">
        <f t="shared" ref="BS25" si="627">BR25</f>
        <v>10707</v>
      </c>
      <c r="BT25" s="103">
        <f t="shared" ref="BT25" si="628">BS25</f>
        <v>10707</v>
      </c>
      <c r="BU25" s="103">
        <f t="shared" ref="BU25" si="629">BT25</f>
        <v>10707</v>
      </c>
      <c r="BV25" s="103">
        <f>ROUND(BU25*(1+取值表!$D$2),0)</f>
        <v>11307</v>
      </c>
      <c r="BW25" s="103">
        <f t="shared" ref="BW25" si="630">BV25</f>
        <v>11307</v>
      </c>
      <c r="BX25" s="103">
        <f t="shared" ref="BX25" si="631">BW25</f>
        <v>11307</v>
      </c>
      <c r="BY25" s="103">
        <f t="shared" ref="BY25" si="632">BX25</f>
        <v>11307</v>
      </c>
      <c r="BZ25" s="103">
        <f>ROUND(BY25*(1+取值表!$D$2),0)</f>
        <v>11940</v>
      </c>
      <c r="CA25" s="103">
        <f t="shared" ref="CA25" si="633">BZ25</f>
        <v>11940</v>
      </c>
      <c r="CB25" s="103">
        <f t="shared" ref="CB25" si="634">CA25</f>
        <v>11940</v>
      </c>
      <c r="CC25" s="103">
        <f t="shared" ref="CC25" si="635">CB25</f>
        <v>11940</v>
      </c>
      <c r="CD25" s="103">
        <f>ROUND(CC25*(1+取值表!$D$2),0)</f>
        <v>12609</v>
      </c>
      <c r="CE25" s="103">
        <f t="shared" ref="CE25" si="636">CD25</f>
        <v>12609</v>
      </c>
      <c r="CF25" s="103">
        <f t="shared" ref="CF25" si="637">CE25</f>
        <v>12609</v>
      </c>
      <c r="CG25" s="103">
        <f t="shared" ref="CG25" si="638">CF25</f>
        <v>12609</v>
      </c>
      <c r="CH25" s="103">
        <f>ROUND(CG25*(1+取值表!$D$2),0)</f>
        <v>13315</v>
      </c>
      <c r="CI25" s="103">
        <f t="shared" ref="CI25" si="639">CH25</f>
        <v>13315</v>
      </c>
      <c r="CJ25" s="103">
        <f t="shared" ref="CJ25" si="640">CI25</f>
        <v>13315</v>
      </c>
      <c r="CK25" s="103">
        <f t="shared" ref="CK25" si="641">CJ25</f>
        <v>13315</v>
      </c>
      <c r="CL25" s="103">
        <f>ROUND(CK25*(1+取值表!$D$2),0)</f>
        <v>14061</v>
      </c>
      <c r="CM25" s="103">
        <f t="shared" ref="CM25" si="642">CL25</f>
        <v>14061</v>
      </c>
      <c r="CN25" s="103">
        <f t="shared" ref="CN25" si="643">CM25</f>
        <v>14061</v>
      </c>
      <c r="CO25" s="103">
        <f t="shared" ref="CO25" si="644">CN25</f>
        <v>14061</v>
      </c>
      <c r="CP25" s="104">
        <f t="shared" si="54"/>
        <v>723984</v>
      </c>
    </row>
    <row r="26" spans="1:94" s="58" customFormat="1" ht="12.75">
      <c r="A26" s="546"/>
      <c r="B26" s="550"/>
      <c r="C26" s="548"/>
      <c r="D26" s="549"/>
      <c r="E26" s="547"/>
      <c r="F26" s="562"/>
      <c r="G26" s="562"/>
      <c r="H26" s="563"/>
      <c r="I26" s="99"/>
      <c r="J26" s="101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>
        <f>ROUND(U26*(1+取值表!$D$2),0)</f>
        <v>0</v>
      </c>
      <c r="W26" s="103"/>
      <c r="X26" s="103"/>
      <c r="Y26" s="103"/>
      <c r="Z26" s="103">
        <f>ROUND(Y26*(1+取值表!$D$2),0)</f>
        <v>0</v>
      </c>
      <c r="AA26" s="103"/>
      <c r="AB26" s="103"/>
      <c r="AC26" s="103"/>
      <c r="AD26" s="103">
        <f>ROUND(AC26*(1+取值表!$D$2),0)</f>
        <v>0</v>
      </c>
      <c r="AE26" s="103"/>
      <c r="AF26" s="103"/>
      <c r="AG26" s="103"/>
      <c r="AH26" s="103">
        <f>ROUND(AG26*(1+取值表!$D$2),0)</f>
        <v>0</v>
      </c>
      <c r="AI26" s="103"/>
      <c r="AJ26" s="103"/>
      <c r="AK26" s="103"/>
      <c r="AL26" s="103">
        <f>ROUND(AK26*(1+取值表!$D$2),0)</f>
        <v>0</v>
      </c>
      <c r="AM26" s="103"/>
      <c r="AN26" s="103"/>
      <c r="AO26" s="103"/>
      <c r="AP26" s="103">
        <f>ROUND(AO26*(1+取值表!$D$2),0)</f>
        <v>0</v>
      </c>
      <c r="AQ26" s="103"/>
      <c r="AR26" s="103"/>
      <c r="AS26" s="103"/>
      <c r="AT26" s="103">
        <f>ROUND(AS26*(1+取值表!$D$2),0)</f>
        <v>0</v>
      </c>
      <c r="AU26" s="103"/>
      <c r="AV26" s="103"/>
      <c r="AW26" s="103"/>
      <c r="AX26" s="103">
        <f>ROUND(AW26*(1+取值表!$D$2),0)</f>
        <v>0</v>
      </c>
      <c r="AY26" s="103"/>
      <c r="AZ26" s="103"/>
      <c r="BA26" s="103"/>
      <c r="BB26" s="103">
        <f>ROUND(BA26*(1+取值表!$D$2),0)</f>
        <v>0</v>
      </c>
      <c r="BC26" s="103"/>
      <c r="BD26" s="103"/>
      <c r="BE26" s="103"/>
      <c r="BF26" s="103">
        <f>ROUND(BE26*(1+取值表!$D$2),0)</f>
        <v>0</v>
      </c>
      <c r="BG26" s="103"/>
      <c r="BH26" s="103"/>
      <c r="BI26" s="103"/>
      <c r="BJ26" s="103">
        <f>ROUND(BI26*(1+取值表!$D$2),0)</f>
        <v>0</v>
      </c>
      <c r="BK26" s="103"/>
      <c r="BL26" s="103"/>
      <c r="BM26" s="103"/>
      <c r="BN26" s="103">
        <f>ROUND(BM26*(1+取值表!$D$2),0)</f>
        <v>0</v>
      </c>
      <c r="BO26" s="103"/>
      <c r="BP26" s="103"/>
      <c r="BQ26" s="103"/>
      <c r="BR26" s="103">
        <f>ROUND(BQ26*(1+取值表!$D$2),0)</f>
        <v>0</v>
      </c>
      <c r="BS26" s="103"/>
      <c r="BT26" s="103"/>
      <c r="BU26" s="103"/>
      <c r="BV26" s="103">
        <f>ROUND(BU26*(1+取值表!$D$2),0)</f>
        <v>0</v>
      </c>
      <c r="BW26" s="103"/>
      <c r="BX26" s="103"/>
      <c r="BY26" s="103"/>
      <c r="BZ26" s="103">
        <f>ROUND(BY26*(1+取值表!$D$2),0)</f>
        <v>0</v>
      </c>
      <c r="CA26" s="103"/>
      <c r="CB26" s="103"/>
      <c r="CC26" s="103"/>
      <c r="CD26" s="103">
        <f>ROUND(CC26*(1+取值表!$D$2),0)</f>
        <v>0</v>
      </c>
      <c r="CE26" s="103"/>
      <c r="CF26" s="103"/>
      <c r="CG26" s="103"/>
      <c r="CH26" s="103">
        <f>ROUND(CG26*(1+取值表!$D$2),0)</f>
        <v>0</v>
      </c>
      <c r="CI26" s="103"/>
      <c r="CJ26" s="103"/>
      <c r="CK26" s="103"/>
      <c r="CL26" s="103">
        <f>ROUND(CK26*(1+取值表!$D$2),0)</f>
        <v>0</v>
      </c>
      <c r="CM26" s="103"/>
      <c r="CN26" s="103"/>
      <c r="CO26" s="103"/>
      <c r="CP26" s="104">
        <f t="shared" si="54"/>
        <v>0</v>
      </c>
    </row>
    <row r="27" spans="1:94" s="58" customFormat="1" ht="12" customHeight="1">
      <c r="A27" s="546">
        <v>13</v>
      </c>
      <c r="B27" s="550" t="s">
        <v>910</v>
      </c>
      <c r="C27" s="548" t="s">
        <v>911</v>
      </c>
      <c r="D27" s="549" t="s">
        <v>400</v>
      </c>
      <c r="E27" s="547" t="s">
        <v>398</v>
      </c>
      <c r="F27" s="562">
        <v>11.89</v>
      </c>
      <c r="G27" s="562">
        <f>H27/365/F27</f>
        <v>3.1232876712328768</v>
      </c>
      <c r="H27" s="563">
        <v>13554.6</v>
      </c>
      <c r="I27" s="99"/>
      <c r="J27" s="101">
        <f>ROUND(13554.6/4,0)</f>
        <v>3389</v>
      </c>
      <c r="K27" s="102">
        <f>J27</f>
        <v>3389</v>
      </c>
      <c r="L27" s="103">
        <f>K27</f>
        <v>3389</v>
      </c>
      <c r="M27" s="103">
        <f>L27</f>
        <v>3389</v>
      </c>
      <c r="N27" s="103">
        <f>ROUND(M27*(1+取值表!$D$2)*取值表!$I$2,0)</f>
        <v>3368</v>
      </c>
      <c r="O27" s="103">
        <f>N27</f>
        <v>3368</v>
      </c>
      <c r="P27" s="103">
        <f t="shared" ref="P27:Q27" si="645">O27</f>
        <v>3368</v>
      </c>
      <c r="Q27" s="103">
        <f t="shared" si="645"/>
        <v>3368</v>
      </c>
      <c r="R27" s="278">
        <f>ROUND(Q27*(1+取值表!$D$2),0)</f>
        <v>3557</v>
      </c>
      <c r="S27" s="103">
        <f t="shared" ref="S27:U27" si="646">R27</f>
        <v>3557</v>
      </c>
      <c r="T27" s="103">
        <f t="shared" si="646"/>
        <v>3557</v>
      </c>
      <c r="U27" s="103">
        <f t="shared" si="646"/>
        <v>3557</v>
      </c>
      <c r="V27" s="103">
        <f>ROUND(U27*(1+取值表!$D$2),0)</f>
        <v>3756</v>
      </c>
      <c r="W27" s="103">
        <f t="shared" ref="W27:Y27" si="647">V27</f>
        <v>3756</v>
      </c>
      <c r="X27" s="103">
        <f t="shared" si="647"/>
        <v>3756</v>
      </c>
      <c r="Y27" s="103">
        <f t="shared" si="647"/>
        <v>3756</v>
      </c>
      <c r="Z27" s="103">
        <f>ROUND(Y27*(1+取值表!$D$2),0)</f>
        <v>3966</v>
      </c>
      <c r="AA27" s="103">
        <f t="shared" ref="AA27" si="648">Z27</f>
        <v>3966</v>
      </c>
      <c r="AB27" s="103">
        <f t="shared" ref="AB27" si="649">AA27</f>
        <v>3966</v>
      </c>
      <c r="AC27" s="103">
        <f t="shared" ref="AC27" si="650">AB27</f>
        <v>3966</v>
      </c>
      <c r="AD27" s="103">
        <f>ROUND(AC27*(1+取值表!$D$2),0)</f>
        <v>4188</v>
      </c>
      <c r="AE27" s="103">
        <f t="shared" ref="AE27" si="651">AD27</f>
        <v>4188</v>
      </c>
      <c r="AF27" s="103">
        <f t="shared" ref="AF27" si="652">AE27</f>
        <v>4188</v>
      </c>
      <c r="AG27" s="103">
        <f t="shared" ref="AG27" si="653">AF27</f>
        <v>4188</v>
      </c>
      <c r="AH27" s="103">
        <f>ROUND(AG27*(1+取值表!$D$2),0)</f>
        <v>4423</v>
      </c>
      <c r="AI27" s="103">
        <f t="shared" ref="AI27" si="654">AH27</f>
        <v>4423</v>
      </c>
      <c r="AJ27" s="103">
        <f t="shared" ref="AJ27" si="655">AI27</f>
        <v>4423</v>
      </c>
      <c r="AK27" s="103">
        <f t="shared" ref="AK27" si="656">AJ27</f>
        <v>4423</v>
      </c>
      <c r="AL27" s="103">
        <f>ROUND(AK27*(1+取值表!$D$2),0)</f>
        <v>4671</v>
      </c>
      <c r="AM27" s="103">
        <f t="shared" ref="AM27" si="657">AL27</f>
        <v>4671</v>
      </c>
      <c r="AN27" s="103">
        <f t="shared" ref="AN27" si="658">AM27</f>
        <v>4671</v>
      </c>
      <c r="AO27" s="103">
        <f t="shared" ref="AO27" si="659">AN27</f>
        <v>4671</v>
      </c>
      <c r="AP27" s="103">
        <f>ROUND(AO27*(1+取值表!$D$2),0)</f>
        <v>4933</v>
      </c>
      <c r="AQ27" s="103">
        <f t="shared" ref="AQ27" si="660">AP27</f>
        <v>4933</v>
      </c>
      <c r="AR27" s="103">
        <f t="shared" ref="AR27" si="661">AQ27</f>
        <v>4933</v>
      </c>
      <c r="AS27" s="103">
        <f t="shared" ref="AS27" si="662">AR27</f>
        <v>4933</v>
      </c>
      <c r="AT27" s="103">
        <f>ROUND(AS27*(1+取值表!$D$2),0)</f>
        <v>5209</v>
      </c>
      <c r="AU27" s="103">
        <f t="shared" ref="AU27" si="663">AT27</f>
        <v>5209</v>
      </c>
      <c r="AV27" s="103">
        <f t="shared" ref="AV27" si="664">AU27</f>
        <v>5209</v>
      </c>
      <c r="AW27" s="103">
        <f t="shared" ref="AW27" si="665">AV27</f>
        <v>5209</v>
      </c>
      <c r="AX27" s="103">
        <f>ROUND(AW27*(1+取值表!$D$2),0)</f>
        <v>5501</v>
      </c>
      <c r="AY27" s="103">
        <f t="shared" ref="AY27" si="666">AX27</f>
        <v>5501</v>
      </c>
      <c r="AZ27" s="103">
        <f t="shared" ref="AZ27" si="667">AY27</f>
        <v>5501</v>
      </c>
      <c r="BA27" s="103">
        <f t="shared" ref="BA27" si="668">AZ27</f>
        <v>5501</v>
      </c>
      <c r="BB27" s="103">
        <f>ROUND(BA27*(1+取值表!$D$2),0)</f>
        <v>5809</v>
      </c>
      <c r="BC27" s="103">
        <f t="shared" ref="BC27" si="669">BB27</f>
        <v>5809</v>
      </c>
      <c r="BD27" s="103">
        <f t="shared" ref="BD27" si="670">BC27</f>
        <v>5809</v>
      </c>
      <c r="BE27" s="103">
        <f t="shared" ref="BE27" si="671">BD27</f>
        <v>5809</v>
      </c>
      <c r="BF27" s="103">
        <f>ROUND(BE27*(1+取值表!$D$2),0)</f>
        <v>6134</v>
      </c>
      <c r="BG27" s="103">
        <f t="shared" ref="BG27" si="672">BF27</f>
        <v>6134</v>
      </c>
      <c r="BH27" s="103">
        <f t="shared" ref="BH27" si="673">BG27</f>
        <v>6134</v>
      </c>
      <c r="BI27" s="103">
        <f t="shared" ref="BI27" si="674">BH27</f>
        <v>6134</v>
      </c>
      <c r="BJ27" s="103">
        <f>ROUND(BI27*(1+取值表!$D$2),0)</f>
        <v>6478</v>
      </c>
      <c r="BK27" s="103">
        <f t="shared" ref="BK27" si="675">BJ27</f>
        <v>6478</v>
      </c>
      <c r="BL27" s="103">
        <f t="shared" ref="BL27" si="676">BK27</f>
        <v>6478</v>
      </c>
      <c r="BM27" s="103">
        <f t="shared" ref="BM27" si="677">BL27</f>
        <v>6478</v>
      </c>
      <c r="BN27" s="103">
        <f>ROUND(BM27*(1+取值表!$D$2),0)</f>
        <v>6841</v>
      </c>
      <c r="BO27" s="103">
        <f t="shared" ref="BO27" si="678">BN27</f>
        <v>6841</v>
      </c>
      <c r="BP27" s="103">
        <f t="shared" ref="BP27" si="679">BO27</f>
        <v>6841</v>
      </c>
      <c r="BQ27" s="103">
        <f t="shared" ref="BQ27" si="680">BP27</f>
        <v>6841</v>
      </c>
      <c r="BR27" s="103">
        <f>ROUND(BQ27*(1+取值表!$D$2),0)</f>
        <v>7224</v>
      </c>
      <c r="BS27" s="103">
        <f t="shared" ref="BS27" si="681">BR27</f>
        <v>7224</v>
      </c>
      <c r="BT27" s="103">
        <f t="shared" ref="BT27" si="682">BS27</f>
        <v>7224</v>
      </c>
      <c r="BU27" s="103">
        <f t="shared" ref="BU27" si="683">BT27</f>
        <v>7224</v>
      </c>
      <c r="BV27" s="103">
        <f>ROUND(BU27*(1+取值表!$D$2),0)</f>
        <v>7629</v>
      </c>
      <c r="BW27" s="103">
        <f t="shared" ref="BW27" si="684">BV27</f>
        <v>7629</v>
      </c>
      <c r="BX27" s="103">
        <f t="shared" ref="BX27" si="685">BW27</f>
        <v>7629</v>
      </c>
      <c r="BY27" s="103">
        <f t="shared" ref="BY27" si="686">BX27</f>
        <v>7629</v>
      </c>
      <c r="BZ27" s="103">
        <f>ROUND(BY27*(1+取值表!$D$2),0)</f>
        <v>8056</v>
      </c>
      <c r="CA27" s="103">
        <f t="shared" ref="CA27" si="687">BZ27</f>
        <v>8056</v>
      </c>
      <c r="CB27" s="103">
        <f t="shared" ref="CB27" si="688">CA27</f>
        <v>8056</v>
      </c>
      <c r="CC27" s="103">
        <f t="shared" ref="CC27" si="689">CB27</f>
        <v>8056</v>
      </c>
      <c r="CD27" s="103">
        <f>ROUND(CC27*(1+取值表!$D$2),0)</f>
        <v>8507</v>
      </c>
      <c r="CE27" s="103">
        <f t="shared" ref="CE27" si="690">CD27</f>
        <v>8507</v>
      </c>
      <c r="CF27" s="103">
        <f t="shared" ref="CF27" si="691">CE27</f>
        <v>8507</v>
      </c>
      <c r="CG27" s="103">
        <f t="shared" ref="CG27" si="692">CF27</f>
        <v>8507</v>
      </c>
      <c r="CH27" s="103">
        <f>ROUND(CG27*(1+取值表!$D$2),0)</f>
        <v>8983</v>
      </c>
      <c r="CI27" s="103">
        <f t="shared" ref="CI27" si="693">CH27</f>
        <v>8983</v>
      </c>
      <c r="CJ27" s="103">
        <f t="shared" ref="CJ27" si="694">CI27</f>
        <v>8983</v>
      </c>
      <c r="CK27" s="103">
        <f t="shared" ref="CK27" si="695">CJ27</f>
        <v>8983</v>
      </c>
      <c r="CL27" s="103">
        <f>ROUND(CK27*(1+取值表!$D$2),0)</f>
        <v>9486</v>
      </c>
      <c r="CM27" s="103">
        <f t="shared" ref="CM27" si="696">CL27</f>
        <v>9486</v>
      </c>
      <c r="CN27" s="103">
        <f t="shared" ref="CN27" si="697">CM27</f>
        <v>9486</v>
      </c>
      <c r="CO27" s="103">
        <f t="shared" ref="CO27" si="698">CN27</f>
        <v>9486</v>
      </c>
      <c r="CP27" s="104">
        <f t="shared" si="54"/>
        <v>488432</v>
      </c>
    </row>
    <row r="28" spans="1:94" s="58" customFormat="1" ht="12.75">
      <c r="A28" s="546"/>
      <c r="B28" s="550"/>
      <c r="C28" s="548"/>
      <c r="D28" s="549"/>
      <c r="E28" s="547"/>
      <c r="F28" s="562"/>
      <c r="G28" s="562"/>
      <c r="H28" s="563"/>
      <c r="I28" s="99"/>
      <c r="J28" s="101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>
        <f>ROUND(U28*(1+取值表!$D$2),0)</f>
        <v>0</v>
      </c>
      <c r="W28" s="103"/>
      <c r="X28" s="103"/>
      <c r="Y28" s="103"/>
      <c r="Z28" s="103">
        <f>ROUND(Y28*(1+取值表!$D$2),0)</f>
        <v>0</v>
      </c>
      <c r="AA28" s="103"/>
      <c r="AB28" s="103"/>
      <c r="AC28" s="103"/>
      <c r="AD28" s="103">
        <f>ROUND(AC28*(1+取值表!$D$2),0)</f>
        <v>0</v>
      </c>
      <c r="AE28" s="103"/>
      <c r="AF28" s="103"/>
      <c r="AG28" s="103"/>
      <c r="AH28" s="103">
        <f>ROUND(AG28*(1+取值表!$D$2),0)</f>
        <v>0</v>
      </c>
      <c r="AI28" s="103"/>
      <c r="AJ28" s="103"/>
      <c r="AK28" s="103"/>
      <c r="AL28" s="103">
        <f>ROUND(AK28*(1+取值表!$D$2),0)</f>
        <v>0</v>
      </c>
      <c r="AM28" s="103"/>
      <c r="AN28" s="103"/>
      <c r="AO28" s="103"/>
      <c r="AP28" s="103">
        <f>ROUND(AO28*(1+取值表!$D$2),0)</f>
        <v>0</v>
      </c>
      <c r="AQ28" s="103"/>
      <c r="AR28" s="103"/>
      <c r="AS28" s="103"/>
      <c r="AT28" s="103">
        <f>ROUND(AS28*(1+取值表!$D$2),0)</f>
        <v>0</v>
      </c>
      <c r="AU28" s="103"/>
      <c r="AV28" s="103"/>
      <c r="AW28" s="103"/>
      <c r="AX28" s="103">
        <f>ROUND(AW28*(1+取值表!$D$2),0)</f>
        <v>0</v>
      </c>
      <c r="AY28" s="103"/>
      <c r="AZ28" s="103"/>
      <c r="BA28" s="103"/>
      <c r="BB28" s="103">
        <f>ROUND(BA28*(1+取值表!$D$2),0)</f>
        <v>0</v>
      </c>
      <c r="BC28" s="103"/>
      <c r="BD28" s="103"/>
      <c r="BE28" s="103"/>
      <c r="BF28" s="103">
        <f>ROUND(BE28*(1+取值表!$D$2),0)</f>
        <v>0</v>
      </c>
      <c r="BG28" s="103"/>
      <c r="BH28" s="103"/>
      <c r="BI28" s="103"/>
      <c r="BJ28" s="103">
        <f>ROUND(BI28*(1+取值表!$D$2),0)</f>
        <v>0</v>
      </c>
      <c r="BK28" s="103"/>
      <c r="BL28" s="103"/>
      <c r="BM28" s="103"/>
      <c r="BN28" s="103">
        <f>ROUND(BM28*(1+取值表!$D$2),0)</f>
        <v>0</v>
      </c>
      <c r="BO28" s="103"/>
      <c r="BP28" s="103"/>
      <c r="BQ28" s="103"/>
      <c r="BR28" s="103">
        <f>ROUND(BQ28*(1+取值表!$D$2),0)</f>
        <v>0</v>
      </c>
      <c r="BS28" s="103"/>
      <c r="BT28" s="103"/>
      <c r="BU28" s="103"/>
      <c r="BV28" s="103">
        <f>ROUND(BU28*(1+取值表!$D$2),0)</f>
        <v>0</v>
      </c>
      <c r="BW28" s="103"/>
      <c r="BX28" s="103"/>
      <c r="BY28" s="103"/>
      <c r="BZ28" s="103">
        <f>ROUND(BY28*(1+取值表!$D$2),0)</f>
        <v>0</v>
      </c>
      <c r="CA28" s="103"/>
      <c r="CB28" s="103"/>
      <c r="CC28" s="103"/>
      <c r="CD28" s="103">
        <f>ROUND(CC28*(1+取值表!$D$2),0)</f>
        <v>0</v>
      </c>
      <c r="CE28" s="103"/>
      <c r="CF28" s="103"/>
      <c r="CG28" s="103"/>
      <c r="CH28" s="103">
        <f>ROUND(CG28*(1+取值表!$D$2),0)</f>
        <v>0</v>
      </c>
      <c r="CI28" s="103"/>
      <c r="CJ28" s="103"/>
      <c r="CK28" s="103"/>
      <c r="CL28" s="103">
        <f>ROUND(CK28*(1+取值表!$D$2),0)</f>
        <v>0</v>
      </c>
      <c r="CM28" s="103"/>
      <c r="CN28" s="103"/>
      <c r="CO28" s="103"/>
      <c r="CP28" s="104">
        <f t="shared" si="54"/>
        <v>0</v>
      </c>
    </row>
    <row r="29" spans="1:94" s="58" customFormat="1" ht="12" customHeight="1">
      <c r="A29" s="546">
        <v>14</v>
      </c>
      <c r="B29" s="550" t="s">
        <v>912</v>
      </c>
      <c r="C29" s="548" t="s">
        <v>913</v>
      </c>
      <c r="D29" s="549" t="s">
        <v>407</v>
      </c>
      <c r="E29" s="547" t="s">
        <v>398</v>
      </c>
      <c r="F29" s="562">
        <v>13.65</v>
      </c>
      <c r="G29" s="562">
        <f>H29/365/F29</f>
        <v>3.1232876712328768</v>
      </c>
      <c r="H29" s="563">
        <v>15561</v>
      </c>
      <c r="I29" s="99"/>
      <c r="J29" s="101">
        <f>ROUND(15561/4,0)</f>
        <v>3890</v>
      </c>
      <c r="K29" s="102">
        <f>J29</f>
        <v>3890</v>
      </c>
      <c r="L29" s="103">
        <f>K29</f>
        <v>3890</v>
      </c>
      <c r="M29" s="103">
        <f>L29</f>
        <v>3890</v>
      </c>
      <c r="N29" s="103">
        <f>ROUND(M29*(1+取值表!$D$2)*取值表!$I$2,0)</f>
        <v>3865</v>
      </c>
      <c r="O29" s="103">
        <f>N29</f>
        <v>3865</v>
      </c>
      <c r="P29" s="103">
        <f t="shared" ref="P29:Q29" si="699">O29</f>
        <v>3865</v>
      </c>
      <c r="Q29" s="103">
        <f t="shared" si="699"/>
        <v>3865</v>
      </c>
      <c r="R29" s="278">
        <f>ROUND(Q29*(1+取值表!$D$2),0)</f>
        <v>4081</v>
      </c>
      <c r="S29" s="103">
        <f t="shared" ref="S29:U29" si="700">R29</f>
        <v>4081</v>
      </c>
      <c r="T29" s="103">
        <f t="shared" si="700"/>
        <v>4081</v>
      </c>
      <c r="U29" s="103">
        <f t="shared" si="700"/>
        <v>4081</v>
      </c>
      <c r="V29" s="103">
        <f>ROUND(U29*(1+取值表!$D$2),0)</f>
        <v>4310</v>
      </c>
      <c r="W29" s="103">
        <f t="shared" ref="W29:Y29" si="701">V29</f>
        <v>4310</v>
      </c>
      <c r="X29" s="103">
        <f t="shared" si="701"/>
        <v>4310</v>
      </c>
      <c r="Y29" s="103">
        <f t="shared" si="701"/>
        <v>4310</v>
      </c>
      <c r="Z29" s="103">
        <f>ROUND(Y29*(1+取值表!$D$2),0)</f>
        <v>4551</v>
      </c>
      <c r="AA29" s="103">
        <f t="shared" ref="AA29" si="702">Z29</f>
        <v>4551</v>
      </c>
      <c r="AB29" s="103">
        <f t="shared" ref="AB29" si="703">AA29</f>
        <v>4551</v>
      </c>
      <c r="AC29" s="103">
        <f t="shared" ref="AC29" si="704">AB29</f>
        <v>4551</v>
      </c>
      <c r="AD29" s="103">
        <f>ROUND(AC29*(1+取值表!$D$2),0)</f>
        <v>4806</v>
      </c>
      <c r="AE29" s="103">
        <f t="shared" ref="AE29" si="705">AD29</f>
        <v>4806</v>
      </c>
      <c r="AF29" s="103">
        <f t="shared" ref="AF29" si="706">AE29</f>
        <v>4806</v>
      </c>
      <c r="AG29" s="103">
        <f t="shared" ref="AG29" si="707">AF29</f>
        <v>4806</v>
      </c>
      <c r="AH29" s="103">
        <f>ROUND(AG29*(1+取值表!$D$2),0)</f>
        <v>5075</v>
      </c>
      <c r="AI29" s="103">
        <f t="shared" ref="AI29" si="708">AH29</f>
        <v>5075</v>
      </c>
      <c r="AJ29" s="103">
        <f t="shared" ref="AJ29" si="709">AI29</f>
        <v>5075</v>
      </c>
      <c r="AK29" s="103">
        <f t="shared" ref="AK29" si="710">AJ29</f>
        <v>5075</v>
      </c>
      <c r="AL29" s="103">
        <f>ROUND(AK29*(1+取值表!$D$2),0)</f>
        <v>5359</v>
      </c>
      <c r="AM29" s="103">
        <f t="shared" ref="AM29" si="711">AL29</f>
        <v>5359</v>
      </c>
      <c r="AN29" s="103">
        <f t="shared" ref="AN29" si="712">AM29</f>
        <v>5359</v>
      </c>
      <c r="AO29" s="103">
        <f t="shared" ref="AO29" si="713">AN29</f>
        <v>5359</v>
      </c>
      <c r="AP29" s="103">
        <f>ROUND(AO29*(1+取值表!$D$2),0)</f>
        <v>5659</v>
      </c>
      <c r="AQ29" s="103">
        <f t="shared" ref="AQ29" si="714">AP29</f>
        <v>5659</v>
      </c>
      <c r="AR29" s="103">
        <f t="shared" ref="AR29" si="715">AQ29</f>
        <v>5659</v>
      </c>
      <c r="AS29" s="103">
        <f t="shared" ref="AS29" si="716">AR29</f>
        <v>5659</v>
      </c>
      <c r="AT29" s="103">
        <f>ROUND(AS29*(1+取值表!$D$2),0)</f>
        <v>5976</v>
      </c>
      <c r="AU29" s="103">
        <f t="shared" ref="AU29" si="717">AT29</f>
        <v>5976</v>
      </c>
      <c r="AV29" s="103">
        <f t="shared" ref="AV29" si="718">AU29</f>
        <v>5976</v>
      </c>
      <c r="AW29" s="103">
        <f t="shared" ref="AW29" si="719">AV29</f>
        <v>5976</v>
      </c>
      <c r="AX29" s="103">
        <f>ROUND(AW29*(1+取值表!$D$2),0)</f>
        <v>6311</v>
      </c>
      <c r="AY29" s="103">
        <f t="shared" ref="AY29" si="720">AX29</f>
        <v>6311</v>
      </c>
      <c r="AZ29" s="103">
        <f t="shared" ref="AZ29" si="721">AY29</f>
        <v>6311</v>
      </c>
      <c r="BA29" s="103">
        <f t="shared" ref="BA29" si="722">AZ29</f>
        <v>6311</v>
      </c>
      <c r="BB29" s="103">
        <f>ROUND(BA29*(1+取值表!$D$2),0)</f>
        <v>6664</v>
      </c>
      <c r="BC29" s="103">
        <f t="shared" ref="BC29" si="723">BB29</f>
        <v>6664</v>
      </c>
      <c r="BD29" s="103">
        <f t="shared" ref="BD29" si="724">BC29</f>
        <v>6664</v>
      </c>
      <c r="BE29" s="103">
        <f t="shared" ref="BE29" si="725">BD29</f>
        <v>6664</v>
      </c>
      <c r="BF29" s="103">
        <f>ROUND(BE29*(1+取值表!$D$2),0)</f>
        <v>7037</v>
      </c>
      <c r="BG29" s="103">
        <f t="shared" ref="BG29" si="726">BF29</f>
        <v>7037</v>
      </c>
      <c r="BH29" s="103">
        <f t="shared" ref="BH29" si="727">BG29</f>
        <v>7037</v>
      </c>
      <c r="BI29" s="103">
        <f t="shared" ref="BI29" si="728">BH29</f>
        <v>7037</v>
      </c>
      <c r="BJ29" s="103">
        <f>ROUND(BI29*(1+取值表!$D$2),0)</f>
        <v>7431</v>
      </c>
      <c r="BK29" s="103">
        <f t="shared" ref="BK29" si="729">BJ29</f>
        <v>7431</v>
      </c>
      <c r="BL29" s="103">
        <f t="shared" ref="BL29" si="730">BK29</f>
        <v>7431</v>
      </c>
      <c r="BM29" s="103">
        <f t="shared" ref="BM29" si="731">BL29</f>
        <v>7431</v>
      </c>
      <c r="BN29" s="103">
        <f>ROUND(BM29*(1+取值表!$D$2),0)</f>
        <v>7847</v>
      </c>
      <c r="BO29" s="103">
        <f t="shared" ref="BO29" si="732">BN29</f>
        <v>7847</v>
      </c>
      <c r="BP29" s="103">
        <f t="shared" ref="BP29" si="733">BO29</f>
        <v>7847</v>
      </c>
      <c r="BQ29" s="103">
        <f t="shared" ref="BQ29" si="734">BP29</f>
        <v>7847</v>
      </c>
      <c r="BR29" s="103">
        <f>ROUND(BQ29*(1+取值表!$D$2),0)</f>
        <v>8286</v>
      </c>
      <c r="BS29" s="103">
        <f t="shared" ref="BS29" si="735">BR29</f>
        <v>8286</v>
      </c>
      <c r="BT29" s="103">
        <f t="shared" ref="BT29" si="736">BS29</f>
        <v>8286</v>
      </c>
      <c r="BU29" s="103">
        <f t="shared" ref="BU29" si="737">BT29</f>
        <v>8286</v>
      </c>
      <c r="BV29" s="103">
        <f>ROUND(BU29*(1+取值表!$D$2),0)</f>
        <v>8750</v>
      </c>
      <c r="BW29" s="103">
        <f t="shared" ref="BW29" si="738">BV29</f>
        <v>8750</v>
      </c>
      <c r="BX29" s="103">
        <f t="shared" ref="BX29" si="739">BW29</f>
        <v>8750</v>
      </c>
      <c r="BY29" s="103">
        <f t="shared" ref="BY29" si="740">BX29</f>
        <v>8750</v>
      </c>
      <c r="BZ29" s="103">
        <f>ROUND(BY29*(1+取值表!$D$2),0)</f>
        <v>9240</v>
      </c>
      <c r="CA29" s="103">
        <f t="shared" ref="CA29" si="741">BZ29</f>
        <v>9240</v>
      </c>
      <c r="CB29" s="103">
        <f t="shared" ref="CB29" si="742">CA29</f>
        <v>9240</v>
      </c>
      <c r="CC29" s="103">
        <f t="shared" ref="CC29" si="743">CB29</f>
        <v>9240</v>
      </c>
      <c r="CD29" s="103">
        <f>ROUND(CC29*(1+取值表!$D$2),0)</f>
        <v>9757</v>
      </c>
      <c r="CE29" s="103">
        <f t="shared" ref="CE29" si="744">CD29</f>
        <v>9757</v>
      </c>
      <c r="CF29" s="103">
        <f t="shared" ref="CF29" si="745">CE29</f>
        <v>9757</v>
      </c>
      <c r="CG29" s="103">
        <f t="shared" ref="CG29" si="746">CF29</f>
        <v>9757</v>
      </c>
      <c r="CH29" s="103">
        <f>ROUND(CG29*(1+取值表!$D$2),0)</f>
        <v>10303</v>
      </c>
      <c r="CI29" s="103">
        <f t="shared" ref="CI29" si="747">CH29</f>
        <v>10303</v>
      </c>
      <c r="CJ29" s="103">
        <f t="shared" ref="CJ29" si="748">CI29</f>
        <v>10303</v>
      </c>
      <c r="CK29" s="103">
        <f t="shared" ref="CK29" si="749">CJ29</f>
        <v>10303</v>
      </c>
      <c r="CL29" s="103">
        <f>ROUND(CK29*(1+取值表!$D$2),0)</f>
        <v>10880</v>
      </c>
      <c r="CM29" s="103">
        <f t="shared" ref="CM29" si="750">CL29</f>
        <v>10880</v>
      </c>
      <c r="CN29" s="103">
        <f t="shared" ref="CN29" si="751">CM29</f>
        <v>10880</v>
      </c>
      <c r="CO29" s="103">
        <f t="shared" ref="CO29" si="752">CN29</f>
        <v>10880</v>
      </c>
      <c r="CP29" s="104">
        <f t="shared" si="54"/>
        <v>560312</v>
      </c>
    </row>
    <row r="30" spans="1:94" s="58" customFormat="1" ht="12.75">
      <c r="A30" s="546"/>
      <c r="B30" s="550"/>
      <c r="C30" s="548"/>
      <c r="D30" s="549"/>
      <c r="E30" s="547"/>
      <c r="F30" s="562"/>
      <c r="G30" s="562"/>
      <c r="H30" s="563"/>
      <c r="I30" s="99"/>
      <c r="J30" s="101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>
        <f>ROUND(U30*(1+取值表!$D$2),0)</f>
        <v>0</v>
      </c>
      <c r="W30" s="103"/>
      <c r="X30" s="103"/>
      <c r="Y30" s="103"/>
      <c r="Z30" s="103">
        <f>ROUND(Y30*(1+取值表!$D$2),0)</f>
        <v>0</v>
      </c>
      <c r="AA30" s="103"/>
      <c r="AB30" s="103"/>
      <c r="AC30" s="103"/>
      <c r="AD30" s="103">
        <f>ROUND(AC30*(1+取值表!$D$2),0)</f>
        <v>0</v>
      </c>
      <c r="AE30" s="103"/>
      <c r="AF30" s="103"/>
      <c r="AG30" s="103"/>
      <c r="AH30" s="103">
        <f>ROUND(AG30*(1+取值表!$D$2),0)</f>
        <v>0</v>
      </c>
      <c r="AI30" s="103"/>
      <c r="AJ30" s="103"/>
      <c r="AK30" s="103"/>
      <c r="AL30" s="103">
        <f>ROUND(AK30*(1+取值表!$D$2),0)</f>
        <v>0</v>
      </c>
      <c r="AM30" s="103"/>
      <c r="AN30" s="103"/>
      <c r="AO30" s="103"/>
      <c r="AP30" s="103">
        <f>ROUND(AO30*(1+取值表!$D$2),0)</f>
        <v>0</v>
      </c>
      <c r="AQ30" s="103"/>
      <c r="AR30" s="103"/>
      <c r="AS30" s="103"/>
      <c r="AT30" s="103">
        <f>ROUND(AS30*(1+取值表!$D$2),0)</f>
        <v>0</v>
      </c>
      <c r="AU30" s="103"/>
      <c r="AV30" s="103"/>
      <c r="AW30" s="103"/>
      <c r="AX30" s="103">
        <f>ROUND(AW30*(1+取值表!$D$2),0)</f>
        <v>0</v>
      </c>
      <c r="AY30" s="103"/>
      <c r="AZ30" s="103"/>
      <c r="BA30" s="103"/>
      <c r="BB30" s="103">
        <f>ROUND(BA30*(1+取值表!$D$2),0)</f>
        <v>0</v>
      </c>
      <c r="BC30" s="103"/>
      <c r="BD30" s="103"/>
      <c r="BE30" s="103"/>
      <c r="BF30" s="103">
        <f>ROUND(BE30*(1+取值表!$D$2),0)</f>
        <v>0</v>
      </c>
      <c r="BG30" s="103"/>
      <c r="BH30" s="103"/>
      <c r="BI30" s="103"/>
      <c r="BJ30" s="103">
        <f>ROUND(BI30*(1+取值表!$D$2),0)</f>
        <v>0</v>
      </c>
      <c r="BK30" s="103"/>
      <c r="BL30" s="103"/>
      <c r="BM30" s="103"/>
      <c r="BN30" s="103">
        <f>ROUND(BM30*(1+取值表!$D$2),0)</f>
        <v>0</v>
      </c>
      <c r="BO30" s="103"/>
      <c r="BP30" s="103"/>
      <c r="BQ30" s="103"/>
      <c r="BR30" s="103">
        <f>ROUND(BQ30*(1+取值表!$D$2),0)</f>
        <v>0</v>
      </c>
      <c r="BS30" s="103"/>
      <c r="BT30" s="103"/>
      <c r="BU30" s="103"/>
      <c r="BV30" s="103">
        <f>ROUND(BU30*(1+取值表!$D$2),0)</f>
        <v>0</v>
      </c>
      <c r="BW30" s="103"/>
      <c r="BX30" s="103"/>
      <c r="BY30" s="103"/>
      <c r="BZ30" s="103">
        <f>ROUND(BY30*(1+取值表!$D$2),0)</f>
        <v>0</v>
      </c>
      <c r="CA30" s="103"/>
      <c r="CB30" s="103"/>
      <c r="CC30" s="103"/>
      <c r="CD30" s="103">
        <f>ROUND(CC30*(1+取值表!$D$2),0)</f>
        <v>0</v>
      </c>
      <c r="CE30" s="103"/>
      <c r="CF30" s="103"/>
      <c r="CG30" s="103"/>
      <c r="CH30" s="103">
        <f>ROUND(CG30*(1+取值表!$D$2),0)</f>
        <v>0</v>
      </c>
      <c r="CI30" s="103"/>
      <c r="CJ30" s="103"/>
      <c r="CK30" s="103"/>
      <c r="CL30" s="103">
        <f>ROUND(CK30*(1+取值表!$D$2),0)</f>
        <v>0</v>
      </c>
      <c r="CM30" s="103"/>
      <c r="CN30" s="103"/>
      <c r="CO30" s="103"/>
      <c r="CP30" s="104">
        <f t="shared" si="54"/>
        <v>0</v>
      </c>
    </row>
    <row r="31" spans="1:94" s="58" customFormat="1" ht="13.5" customHeight="1">
      <c r="A31" s="546">
        <v>15</v>
      </c>
      <c r="B31" s="536" t="s">
        <v>914</v>
      </c>
      <c r="C31" s="548" t="s">
        <v>901</v>
      </c>
      <c r="D31" s="549" t="s">
        <v>1318</v>
      </c>
      <c r="E31" s="547" t="s">
        <v>398</v>
      </c>
      <c r="F31" s="562">
        <v>16</v>
      </c>
      <c r="G31" s="562">
        <f>H31/365/F31</f>
        <v>3.1232876712328768</v>
      </c>
      <c r="H31" s="563">
        <v>18240</v>
      </c>
      <c r="I31" s="99"/>
      <c r="J31" s="101">
        <f>ROUND(18240/4,0)</f>
        <v>4560</v>
      </c>
      <c r="K31" s="102">
        <f>J31</f>
        <v>4560</v>
      </c>
      <c r="L31" s="103">
        <f>K31</f>
        <v>4560</v>
      </c>
      <c r="M31" s="103">
        <f>L31</f>
        <v>4560</v>
      </c>
      <c r="N31" s="103">
        <f>ROUND(M31*(1+取值表!$D$2)*取值表!$I$2,0)</f>
        <v>4531</v>
      </c>
      <c r="O31" s="103">
        <f>N31</f>
        <v>4531</v>
      </c>
      <c r="P31" s="103">
        <f t="shared" ref="P31:Q31" si="753">O31</f>
        <v>4531</v>
      </c>
      <c r="Q31" s="103">
        <f t="shared" si="753"/>
        <v>4531</v>
      </c>
      <c r="R31" s="278">
        <f>ROUND(Q31*(1+取值表!$D$2),0)</f>
        <v>4785</v>
      </c>
      <c r="S31" s="103">
        <f t="shared" ref="S31:U31" si="754">R31</f>
        <v>4785</v>
      </c>
      <c r="T31" s="103">
        <f t="shared" si="754"/>
        <v>4785</v>
      </c>
      <c r="U31" s="103">
        <f t="shared" si="754"/>
        <v>4785</v>
      </c>
      <c r="V31" s="103">
        <f>ROUND(U31*(1+取值表!$D$2),0)</f>
        <v>5053</v>
      </c>
      <c r="W31" s="103">
        <f t="shared" ref="W31:Y31" si="755">V31</f>
        <v>5053</v>
      </c>
      <c r="X31" s="103">
        <f t="shared" si="755"/>
        <v>5053</v>
      </c>
      <c r="Y31" s="103">
        <f t="shared" si="755"/>
        <v>5053</v>
      </c>
      <c r="Z31" s="103">
        <f>ROUND(Y31*(1+取值表!$D$2),0)</f>
        <v>5336</v>
      </c>
      <c r="AA31" s="103">
        <f t="shared" ref="AA31" si="756">Z31</f>
        <v>5336</v>
      </c>
      <c r="AB31" s="103">
        <f t="shared" ref="AB31" si="757">AA31</f>
        <v>5336</v>
      </c>
      <c r="AC31" s="103">
        <f t="shared" ref="AC31" si="758">AB31</f>
        <v>5336</v>
      </c>
      <c r="AD31" s="103">
        <f>ROUND(AC31*(1+取值表!$D$2),0)</f>
        <v>5635</v>
      </c>
      <c r="AE31" s="103">
        <f t="shared" ref="AE31" si="759">AD31</f>
        <v>5635</v>
      </c>
      <c r="AF31" s="103">
        <f t="shared" ref="AF31" si="760">AE31</f>
        <v>5635</v>
      </c>
      <c r="AG31" s="103">
        <f t="shared" ref="AG31" si="761">AF31</f>
        <v>5635</v>
      </c>
      <c r="AH31" s="103">
        <f>ROUND(AG31*(1+取值表!$D$2),0)</f>
        <v>5951</v>
      </c>
      <c r="AI31" s="103">
        <f t="shared" ref="AI31" si="762">AH31</f>
        <v>5951</v>
      </c>
      <c r="AJ31" s="103">
        <f t="shared" ref="AJ31" si="763">AI31</f>
        <v>5951</v>
      </c>
      <c r="AK31" s="103">
        <f t="shared" ref="AK31" si="764">AJ31</f>
        <v>5951</v>
      </c>
      <c r="AL31" s="103">
        <f>ROUND(AK31*(1+取值表!$D$2),0)</f>
        <v>6284</v>
      </c>
      <c r="AM31" s="103">
        <f t="shared" ref="AM31" si="765">AL31</f>
        <v>6284</v>
      </c>
      <c r="AN31" s="103">
        <f t="shared" ref="AN31" si="766">AM31</f>
        <v>6284</v>
      </c>
      <c r="AO31" s="103">
        <f t="shared" ref="AO31" si="767">AN31</f>
        <v>6284</v>
      </c>
      <c r="AP31" s="103">
        <f>ROUND(AO31*(1+取值表!$D$2),0)</f>
        <v>6636</v>
      </c>
      <c r="AQ31" s="103">
        <f t="shared" ref="AQ31" si="768">AP31</f>
        <v>6636</v>
      </c>
      <c r="AR31" s="103">
        <f t="shared" ref="AR31" si="769">AQ31</f>
        <v>6636</v>
      </c>
      <c r="AS31" s="103">
        <f t="shared" ref="AS31" si="770">AR31</f>
        <v>6636</v>
      </c>
      <c r="AT31" s="103">
        <f>ROUND(AS31*(1+取值表!$D$2),0)</f>
        <v>7008</v>
      </c>
      <c r="AU31" s="103">
        <f t="shared" ref="AU31" si="771">AT31</f>
        <v>7008</v>
      </c>
      <c r="AV31" s="103">
        <f t="shared" ref="AV31" si="772">AU31</f>
        <v>7008</v>
      </c>
      <c r="AW31" s="103">
        <f t="shared" ref="AW31" si="773">AV31</f>
        <v>7008</v>
      </c>
      <c r="AX31" s="103">
        <f>ROUND(AW31*(1+取值表!$D$2),0)</f>
        <v>7400</v>
      </c>
      <c r="AY31" s="103">
        <f t="shared" ref="AY31" si="774">AX31</f>
        <v>7400</v>
      </c>
      <c r="AZ31" s="103">
        <f t="shared" ref="AZ31" si="775">AY31</f>
        <v>7400</v>
      </c>
      <c r="BA31" s="103">
        <f t="shared" ref="BA31" si="776">AZ31</f>
        <v>7400</v>
      </c>
      <c r="BB31" s="103">
        <f>ROUND(BA31*(1+取值表!$D$2),0)</f>
        <v>7814</v>
      </c>
      <c r="BC31" s="103">
        <f t="shared" ref="BC31" si="777">BB31</f>
        <v>7814</v>
      </c>
      <c r="BD31" s="103">
        <f t="shared" ref="BD31" si="778">BC31</f>
        <v>7814</v>
      </c>
      <c r="BE31" s="103">
        <f t="shared" ref="BE31" si="779">BD31</f>
        <v>7814</v>
      </c>
      <c r="BF31" s="103">
        <f>ROUND(BE31*(1+取值表!$D$2),0)</f>
        <v>8252</v>
      </c>
      <c r="BG31" s="103">
        <f t="shared" ref="BG31" si="780">BF31</f>
        <v>8252</v>
      </c>
      <c r="BH31" s="103">
        <f t="shared" ref="BH31" si="781">BG31</f>
        <v>8252</v>
      </c>
      <c r="BI31" s="103">
        <f t="shared" ref="BI31" si="782">BH31</f>
        <v>8252</v>
      </c>
      <c r="BJ31" s="103">
        <f>ROUND(BI31*(1+取值表!$D$2),0)</f>
        <v>8714</v>
      </c>
      <c r="BK31" s="103">
        <f t="shared" ref="BK31" si="783">BJ31</f>
        <v>8714</v>
      </c>
      <c r="BL31" s="103">
        <f t="shared" ref="BL31" si="784">BK31</f>
        <v>8714</v>
      </c>
      <c r="BM31" s="103">
        <f t="shared" ref="BM31" si="785">BL31</f>
        <v>8714</v>
      </c>
      <c r="BN31" s="103">
        <f>ROUND(BM31*(1+取值表!$D$2),0)</f>
        <v>9202</v>
      </c>
      <c r="BO31" s="103">
        <f t="shared" ref="BO31" si="786">BN31</f>
        <v>9202</v>
      </c>
      <c r="BP31" s="103">
        <f t="shared" ref="BP31" si="787">BO31</f>
        <v>9202</v>
      </c>
      <c r="BQ31" s="103">
        <f t="shared" ref="BQ31" si="788">BP31</f>
        <v>9202</v>
      </c>
      <c r="BR31" s="103">
        <f>ROUND(BQ31*(1+取值表!$D$2),0)</f>
        <v>9717</v>
      </c>
      <c r="BS31" s="103">
        <f t="shared" ref="BS31" si="789">BR31</f>
        <v>9717</v>
      </c>
      <c r="BT31" s="103">
        <f t="shared" ref="BT31" si="790">BS31</f>
        <v>9717</v>
      </c>
      <c r="BU31" s="103">
        <f t="shared" ref="BU31" si="791">BT31</f>
        <v>9717</v>
      </c>
      <c r="BV31" s="103">
        <f>ROUND(BU31*(1+取值表!$D$2),0)</f>
        <v>10261</v>
      </c>
      <c r="BW31" s="103">
        <f t="shared" ref="BW31" si="792">BV31</f>
        <v>10261</v>
      </c>
      <c r="BX31" s="103">
        <f t="shared" ref="BX31" si="793">BW31</f>
        <v>10261</v>
      </c>
      <c r="BY31" s="103">
        <f t="shared" ref="BY31" si="794">BX31</f>
        <v>10261</v>
      </c>
      <c r="BZ31" s="103">
        <f>ROUND(BY31*(1+取值表!$D$2),0)</f>
        <v>10836</v>
      </c>
      <c r="CA31" s="103">
        <f t="shared" ref="CA31" si="795">BZ31</f>
        <v>10836</v>
      </c>
      <c r="CB31" s="103">
        <f t="shared" ref="CB31" si="796">CA31</f>
        <v>10836</v>
      </c>
      <c r="CC31" s="103">
        <f t="shared" ref="CC31" si="797">CB31</f>
        <v>10836</v>
      </c>
      <c r="CD31" s="103">
        <f>ROUND(CC31*(1+取值表!$D$2),0)</f>
        <v>11443</v>
      </c>
      <c r="CE31" s="103">
        <f t="shared" ref="CE31" si="798">CD31</f>
        <v>11443</v>
      </c>
      <c r="CF31" s="103">
        <f t="shared" ref="CF31" si="799">CE31</f>
        <v>11443</v>
      </c>
      <c r="CG31" s="103">
        <f t="shared" ref="CG31" si="800">CF31</f>
        <v>11443</v>
      </c>
      <c r="CH31" s="103">
        <f>ROUND(CG31*(1+取值表!$D$2),0)</f>
        <v>12084</v>
      </c>
      <c r="CI31" s="103">
        <f t="shared" ref="CI31" si="801">CH31</f>
        <v>12084</v>
      </c>
      <c r="CJ31" s="103">
        <f t="shared" ref="CJ31" si="802">CI31</f>
        <v>12084</v>
      </c>
      <c r="CK31" s="103">
        <f t="shared" ref="CK31" si="803">CJ31</f>
        <v>12084</v>
      </c>
      <c r="CL31" s="103">
        <f>ROUND(CK31*(1+取值表!$D$2),0)</f>
        <v>12761</v>
      </c>
      <c r="CM31" s="103">
        <f t="shared" ref="CM31" si="804">CL31</f>
        <v>12761</v>
      </c>
      <c r="CN31" s="103">
        <f t="shared" ref="CN31" si="805">CM31</f>
        <v>12761</v>
      </c>
      <c r="CO31" s="103">
        <f t="shared" ref="CO31" si="806">CN31</f>
        <v>12761</v>
      </c>
      <c r="CP31" s="104">
        <f t="shared" si="54"/>
        <v>657052</v>
      </c>
    </row>
    <row r="32" spans="1:94" s="58" customFormat="1" ht="12.75">
      <c r="A32" s="546"/>
      <c r="B32" s="536"/>
      <c r="C32" s="548"/>
      <c r="D32" s="549"/>
      <c r="E32" s="547"/>
      <c r="F32" s="562"/>
      <c r="G32" s="562"/>
      <c r="H32" s="563"/>
      <c r="I32" s="99"/>
      <c r="J32" s="101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>
        <f>ROUND(U32*(1+取值表!$D$2),0)</f>
        <v>0</v>
      </c>
      <c r="W32" s="103"/>
      <c r="X32" s="103"/>
      <c r="Y32" s="103"/>
      <c r="Z32" s="103">
        <f>ROUND(Y32*(1+取值表!$D$2),0)</f>
        <v>0</v>
      </c>
      <c r="AA32" s="103"/>
      <c r="AB32" s="103"/>
      <c r="AC32" s="103"/>
      <c r="AD32" s="103">
        <f>ROUND(AC32*(1+取值表!$D$2),0)</f>
        <v>0</v>
      </c>
      <c r="AE32" s="103"/>
      <c r="AF32" s="103"/>
      <c r="AG32" s="103"/>
      <c r="AH32" s="103">
        <f>ROUND(AG32*(1+取值表!$D$2),0)</f>
        <v>0</v>
      </c>
      <c r="AI32" s="103"/>
      <c r="AJ32" s="103"/>
      <c r="AK32" s="103"/>
      <c r="AL32" s="103">
        <f>ROUND(AK32*(1+取值表!$D$2),0)</f>
        <v>0</v>
      </c>
      <c r="AM32" s="103"/>
      <c r="AN32" s="103"/>
      <c r="AO32" s="103"/>
      <c r="AP32" s="103">
        <f>ROUND(AO32*(1+取值表!$D$2),0)</f>
        <v>0</v>
      </c>
      <c r="AQ32" s="103"/>
      <c r="AR32" s="103"/>
      <c r="AS32" s="103"/>
      <c r="AT32" s="103">
        <f>ROUND(AS32*(1+取值表!$D$2),0)</f>
        <v>0</v>
      </c>
      <c r="AU32" s="103"/>
      <c r="AV32" s="103"/>
      <c r="AW32" s="103"/>
      <c r="AX32" s="103">
        <f>ROUND(AW32*(1+取值表!$D$2),0)</f>
        <v>0</v>
      </c>
      <c r="AY32" s="103"/>
      <c r="AZ32" s="103"/>
      <c r="BA32" s="103"/>
      <c r="BB32" s="103">
        <f>ROUND(BA32*(1+取值表!$D$2),0)</f>
        <v>0</v>
      </c>
      <c r="BC32" s="103"/>
      <c r="BD32" s="103"/>
      <c r="BE32" s="103"/>
      <c r="BF32" s="103">
        <f>ROUND(BE32*(1+取值表!$D$2),0)</f>
        <v>0</v>
      </c>
      <c r="BG32" s="103"/>
      <c r="BH32" s="103"/>
      <c r="BI32" s="103"/>
      <c r="BJ32" s="103">
        <f>ROUND(BI32*(1+取值表!$D$2),0)</f>
        <v>0</v>
      </c>
      <c r="BK32" s="103"/>
      <c r="BL32" s="103"/>
      <c r="BM32" s="103"/>
      <c r="BN32" s="103">
        <f>ROUND(BM32*(1+取值表!$D$2),0)</f>
        <v>0</v>
      </c>
      <c r="BO32" s="103"/>
      <c r="BP32" s="103"/>
      <c r="BQ32" s="103"/>
      <c r="BR32" s="103">
        <f>ROUND(BQ32*(1+取值表!$D$2),0)</f>
        <v>0</v>
      </c>
      <c r="BS32" s="103"/>
      <c r="BT32" s="103"/>
      <c r="BU32" s="103"/>
      <c r="BV32" s="103">
        <f>ROUND(BU32*(1+取值表!$D$2),0)</f>
        <v>0</v>
      </c>
      <c r="BW32" s="103"/>
      <c r="BX32" s="103"/>
      <c r="BY32" s="103"/>
      <c r="BZ32" s="103">
        <f>ROUND(BY32*(1+取值表!$D$2),0)</f>
        <v>0</v>
      </c>
      <c r="CA32" s="103"/>
      <c r="CB32" s="103"/>
      <c r="CC32" s="103"/>
      <c r="CD32" s="103">
        <f>ROUND(CC32*(1+取值表!$D$2),0)</f>
        <v>0</v>
      </c>
      <c r="CE32" s="103"/>
      <c r="CF32" s="103"/>
      <c r="CG32" s="103"/>
      <c r="CH32" s="103">
        <f>ROUND(CG32*(1+取值表!$D$2),0)</f>
        <v>0</v>
      </c>
      <c r="CI32" s="103"/>
      <c r="CJ32" s="103"/>
      <c r="CK32" s="103"/>
      <c r="CL32" s="103">
        <f>ROUND(CK32*(1+取值表!$D$2),0)</f>
        <v>0</v>
      </c>
      <c r="CM32" s="103"/>
      <c r="CN32" s="103"/>
      <c r="CO32" s="103"/>
      <c r="CP32" s="104">
        <f t="shared" si="54"/>
        <v>0</v>
      </c>
    </row>
    <row r="33" spans="1:94" s="58" customFormat="1" ht="12" customHeight="1">
      <c r="A33" s="546">
        <v>16</v>
      </c>
      <c r="B33" s="550" t="s">
        <v>915</v>
      </c>
      <c r="C33" s="548" t="s">
        <v>901</v>
      </c>
      <c r="D33" s="549" t="s">
        <v>408</v>
      </c>
      <c r="E33" s="547" t="s">
        <v>398</v>
      </c>
      <c r="F33" s="562">
        <v>16</v>
      </c>
      <c r="G33" s="562">
        <f>H33/365/F33</f>
        <v>3.1232876712328768</v>
      </c>
      <c r="H33" s="563">
        <v>18240</v>
      </c>
      <c r="I33" s="99"/>
      <c r="J33" s="101">
        <f>ROUND(18240/4,0)</f>
        <v>4560</v>
      </c>
      <c r="K33" s="103">
        <f>J33</f>
        <v>4560</v>
      </c>
      <c r="L33" s="102">
        <f>K33</f>
        <v>4560</v>
      </c>
      <c r="M33" s="103">
        <f>L33</f>
        <v>4560</v>
      </c>
      <c r="N33" s="103">
        <f>ROUND(M33*(1+取值表!$D$2)*取值表!$I$2,0)</f>
        <v>4531</v>
      </c>
      <c r="O33" s="103">
        <f>N33</f>
        <v>4531</v>
      </c>
      <c r="P33" s="103">
        <f t="shared" ref="P33:Q33" si="807">O33</f>
        <v>4531</v>
      </c>
      <c r="Q33" s="103">
        <f t="shared" si="807"/>
        <v>4531</v>
      </c>
      <c r="R33" s="278">
        <f>ROUND(Q33*(1+取值表!$D$2),0)</f>
        <v>4785</v>
      </c>
      <c r="S33" s="103">
        <f t="shared" ref="S33:U33" si="808">R33</f>
        <v>4785</v>
      </c>
      <c r="T33" s="103">
        <f t="shared" si="808"/>
        <v>4785</v>
      </c>
      <c r="U33" s="103">
        <f t="shared" si="808"/>
        <v>4785</v>
      </c>
      <c r="V33" s="103">
        <f>ROUND(U33*(1+取值表!$D$2),0)</f>
        <v>5053</v>
      </c>
      <c r="W33" s="103">
        <f t="shared" ref="W33:Y33" si="809">V33</f>
        <v>5053</v>
      </c>
      <c r="X33" s="103">
        <f t="shared" si="809"/>
        <v>5053</v>
      </c>
      <c r="Y33" s="103">
        <f t="shared" si="809"/>
        <v>5053</v>
      </c>
      <c r="Z33" s="103">
        <f>ROUND(Y33*(1+取值表!$D$2),0)</f>
        <v>5336</v>
      </c>
      <c r="AA33" s="103">
        <f t="shared" ref="AA33" si="810">Z33</f>
        <v>5336</v>
      </c>
      <c r="AB33" s="103">
        <f t="shared" ref="AB33" si="811">AA33</f>
        <v>5336</v>
      </c>
      <c r="AC33" s="103">
        <f t="shared" ref="AC33" si="812">AB33</f>
        <v>5336</v>
      </c>
      <c r="AD33" s="103">
        <f>ROUND(AC33*(1+取值表!$D$2),0)</f>
        <v>5635</v>
      </c>
      <c r="AE33" s="103">
        <f t="shared" ref="AE33" si="813">AD33</f>
        <v>5635</v>
      </c>
      <c r="AF33" s="103">
        <f t="shared" ref="AF33" si="814">AE33</f>
        <v>5635</v>
      </c>
      <c r="AG33" s="103">
        <f t="shared" ref="AG33" si="815">AF33</f>
        <v>5635</v>
      </c>
      <c r="AH33" s="103">
        <f>ROUND(AG33*(1+取值表!$D$2),0)</f>
        <v>5951</v>
      </c>
      <c r="AI33" s="103">
        <f t="shared" ref="AI33" si="816">AH33</f>
        <v>5951</v>
      </c>
      <c r="AJ33" s="103">
        <f t="shared" ref="AJ33" si="817">AI33</f>
        <v>5951</v>
      </c>
      <c r="AK33" s="103">
        <f t="shared" ref="AK33" si="818">AJ33</f>
        <v>5951</v>
      </c>
      <c r="AL33" s="103">
        <f>ROUND(AK33*(1+取值表!$D$2),0)</f>
        <v>6284</v>
      </c>
      <c r="AM33" s="103">
        <f t="shared" ref="AM33" si="819">AL33</f>
        <v>6284</v>
      </c>
      <c r="AN33" s="103">
        <f t="shared" ref="AN33" si="820">AM33</f>
        <v>6284</v>
      </c>
      <c r="AO33" s="103">
        <f t="shared" ref="AO33" si="821">AN33</f>
        <v>6284</v>
      </c>
      <c r="AP33" s="103">
        <f>ROUND(AO33*(1+取值表!$D$2),0)</f>
        <v>6636</v>
      </c>
      <c r="AQ33" s="103">
        <f t="shared" ref="AQ33" si="822">AP33</f>
        <v>6636</v>
      </c>
      <c r="AR33" s="103">
        <f t="shared" ref="AR33" si="823">AQ33</f>
        <v>6636</v>
      </c>
      <c r="AS33" s="103">
        <f t="shared" ref="AS33" si="824">AR33</f>
        <v>6636</v>
      </c>
      <c r="AT33" s="103">
        <f>ROUND(AS33*(1+取值表!$D$2),0)</f>
        <v>7008</v>
      </c>
      <c r="AU33" s="103">
        <f t="shared" ref="AU33" si="825">AT33</f>
        <v>7008</v>
      </c>
      <c r="AV33" s="103">
        <f t="shared" ref="AV33" si="826">AU33</f>
        <v>7008</v>
      </c>
      <c r="AW33" s="103">
        <f t="shared" ref="AW33" si="827">AV33</f>
        <v>7008</v>
      </c>
      <c r="AX33" s="103">
        <f>ROUND(AW33*(1+取值表!$D$2),0)</f>
        <v>7400</v>
      </c>
      <c r="AY33" s="103">
        <f t="shared" ref="AY33" si="828">AX33</f>
        <v>7400</v>
      </c>
      <c r="AZ33" s="103">
        <f t="shared" ref="AZ33" si="829">AY33</f>
        <v>7400</v>
      </c>
      <c r="BA33" s="103">
        <f t="shared" ref="BA33" si="830">AZ33</f>
        <v>7400</v>
      </c>
      <c r="BB33" s="103">
        <f>ROUND(BA33*(1+取值表!$D$2),0)</f>
        <v>7814</v>
      </c>
      <c r="BC33" s="103">
        <f t="shared" ref="BC33" si="831">BB33</f>
        <v>7814</v>
      </c>
      <c r="BD33" s="103">
        <f t="shared" ref="BD33" si="832">BC33</f>
        <v>7814</v>
      </c>
      <c r="BE33" s="103">
        <f t="shared" ref="BE33" si="833">BD33</f>
        <v>7814</v>
      </c>
      <c r="BF33" s="103">
        <f>ROUND(BE33*(1+取值表!$D$2),0)</f>
        <v>8252</v>
      </c>
      <c r="BG33" s="103">
        <f t="shared" ref="BG33" si="834">BF33</f>
        <v>8252</v>
      </c>
      <c r="BH33" s="103">
        <f t="shared" ref="BH33" si="835">BG33</f>
        <v>8252</v>
      </c>
      <c r="BI33" s="103">
        <f t="shared" ref="BI33" si="836">BH33</f>
        <v>8252</v>
      </c>
      <c r="BJ33" s="103">
        <f>ROUND(BI33*(1+取值表!$D$2),0)</f>
        <v>8714</v>
      </c>
      <c r="BK33" s="103">
        <f t="shared" ref="BK33" si="837">BJ33</f>
        <v>8714</v>
      </c>
      <c r="BL33" s="103">
        <f t="shared" ref="BL33" si="838">BK33</f>
        <v>8714</v>
      </c>
      <c r="BM33" s="103">
        <f t="shared" ref="BM33" si="839">BL33</f>
        <v>8714</v>
      </c>
      <c r="BN33" s="103">
        <f>ROUND(BM33*(1+取值表!$D$2),0)</f>
        <v>9202</v>
      </c>
      <c r="BO33" s="103">
        <f t="shared" ref="BO33" si="840">BN33</f>
        <v>9202</v>
      </c>
      <c r="BP33" s="103">
        <f t="shared" ref="BP33" si="841">BO33</f>
        <v>9202</v>
      </c>
      <c r="BQ33" s="103">
        <f t="shared" ref="BQ33" si="842">BP33</f>
        <v>9202</v>
      </c>
      <c r="BR33" s="103">
        <f>ROUND(BQ33*(1+取值表!$D$2),0)</f>
        <v>9717</v>
      </c>
      <c r="BS33" s="103">
        <f t="shared" ref="BS33" si="843">BR33</f>
        <v>9717</v>
      </c>
      <c r="BT33" s="103">
        <f t="shared" ref="BT33" si="844">BS33</f>
        <v>9717</v>
      </c>
      <c r="BU33" s="103">
        <f t="shared" ref="BU33" si="845">BT33</f>
        <v>9717</v>
      </c>
      <c r="BV33" s="103">
        <f>ROUND(BU33*(1+取值表!$D$2),0)</f>
        <v>10261</v>
      </c>
      <c r="BW33" s="103">
        <f t="shared" ref="BW33" si="846">BV33</f>
        <v>10261</v>
      </c>
      <c r="BX33" s="103">
        <f t="shared" ref="BX33" si="847">BW33</f>
        <v>10261</v>
      </c>
      <c r="BY33" s="103">
        <f t="shared" ref="BY33" si="848">BX33</f>
        <v>10261</v>
      </c>
      <c r="BZ33" s="103">
        <f>ROUND(BY33*(1+取值表!$D$2),0)</f>
        <v>10836</v>
      </c>
      <c r="CA33" s="103">
        <f t="shared" ref="CA33" si="849">BZ33</f>
        <v>10836</v>
      </c>
      <c r="CB33" s="103">
        <f t="shared" ref="CB33" si="850">CA33</f>
        <v>10836</v>
      </c>
      <c r="CC33" s="103">
        <f t="shared" ref="CC33" si="851">CB33</f>
        <v>10836</v>
      </c>
      <c r="CD33" s="103">
        <f>ROUND(CC33*(1+取值表!$D$2),0)</f>
        <v>11443</v>
      </c>
      <c r="CE33" s="103">
        <f t="shared" ref="CE33" si="852">CD33</f>
        <v>11443</v>
      </c>
      <c r="CF33" s="103">
        <f t="shared" ref="CF33" si="853">CE33</f>
        <v>11443</v>
      </c>
      <c r="CG33" s="103">
        <f t="shared" ref="CG33" si="854">CF33</f>
        <v>11443</v>
      </c>
      <c r="CH33" s="103">
        <f>ROUND(CG33*(1+取值表!$D$2),0)</f>
        <v>12084</v>
      </c>
      <c r="CI33" s="103">
        <f t="shared" ref="CI33" si="855">CH33</f>
        <v>12084</v>
      </c>
      <c r="CJ33" s="103">
        <f t="shared" ref="CJ33" si="856">CI33</f>
        <v>12084</v>
      </c>
      <c r="CK33" s="103">
        <f t="shared" ref="CK33" si="857">CJ33</f>
        <v>12084</v>
      </c>
      <c r="CL33" s="103">
        <f>ROUND(CK33*(1+取值表!$D$2),0)</f>
        <v>12761</v>
      </c>
      <c r="CM33" s="103">
        <f t="shared" ref="CM33" si="858">CL33</f>
        <v>12761</v>
      </c>
      <c r="CN33" s="103">
        <f t="shared" ref="CN33" si="859">CM33</f>
        <v>12761</v>
      </c>
      <c r="CO33" s="103">
        <f t="shared" ref="CO33" si="860">CN33</f>
        <v>12761</v>
      </c>
      <c r="CP33" s="104">
        <f t="shared" ref="CP33:CP56" si="861">SUM(J33:CO33)</f>
        <v>657052</v>
      </c>
    </row>
    <row r="34" spans="1:94" s="58" customFormat="1" ht="12.75">
      <c r="A34" s="546"/>
      <c r="B34" s="550"/>
      <c r="C34" s="548"/>
      <c r="D34" s="549"/>
      <c r="E34" s="547"/>
      <c r="F34" s="562"/>
      <c r="G34" s="562"/>
      <c r="H34" s="563"/>
      <c r="I34" s="99"/>
      <c r="J34" s="101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>
        <f>ROUND(U34*(1+取值表!$D$2),0)</f>
        <v>0</v>
      </c>
      <c r="W34" s="103"/>
      <c r="X34" s="103"/>
      <c r="Y34" s="103"/>
      <c r="Z34" s="103">
        <f>ROUND(Y34*(1+取值表!$D$2),0)</f>
        <v>0</v>
      </c>
      <c r="AA34" s="103"/>
      <c r="AB34" s="103"/>
      <c r="AC34" s="103"/>
      <c r="AD34" s="103">
        <f>ROUND(AC34*(1+取值表!$D$2),0)</f>
        <v>0</v>
      </c>
      <c r="AE34" s="103"/>
      <c r="AF34" s="103"/>
      <c r="AG34" s="103"/>
      <c r="AH34" s="103">
        <f>ROUND(AG34*(1+取值表!$D$2),0)</f>
        <v>0</v>
      </c>
      <c r="AI34" s="103"/>
      <c r="AJ34" s="103"/>
      <c r="AK34" s="103"/>
      <c r="AL34" s="103">
        <f>ROUND(AK34*(1+取值表!$D$2),0)</f>
        <v>0</v>
      </c>
      <c r="AM34" s="103"/>
      <c r="AN34" s="103"/>
      <c r="AO34" s="103"/>
      <c r="AP34" s="103">
        <f>ROUND(AO34*(1+取值表!$D$2),0)</f>
        <v>0</v>
      </c>
      <c r="AQ34" s="103"/>
      <c r="AR34" s="103"/>
      <c r="AS34" s="103"/>
      <c r="AT34" s="103">
        <f>ROUND(AS34*(1+取值表!$D$2),0)</f>
        <v>0</v>
      </c>
      <c r="AU34" s="103"/>
      <c r="AV34" s="103"/>
      <c r="AW34" s="103"/>
      <c r="AX34" s="103">
        <f>ROUND(AW34*(1+取值表!$D$2),0)</f>
        <v>0</v>
      </c>
      <c r="AY34" s="103"/>
      <c r="AZ34" s="103"/>
      <c r="BA34" s="103"/>
      <c r="BB34" s="103">
        <f>ROUND(BA34*(1+取值表!$D$2),0)</f>
        <v>0</v>
      </c>
      <c r="BC34" s="103"/>
      <c r="BD34" s="103"/>
      <c r="BE34" s="103"/>
      <c r="BF34" s="103">
        <f>ROUND(BE34*(1+取值表!$D$2),0)</f>
        <v>0</v>
      </c>
      <c r="BG34" s="103"/>
      <c r="BH34" s="103"/>
      <c r="BI34" s="103"/>
      <c r="BJ34" s="103">
        <f>ROUND(BI34*(1+取值表!$D$2),0)</f>
        <v>0</v>
      </c>
      <c r="BK34" s="103"/>
      <c r="BL34" s="103"/>
      <c r="BM34" s="103"/>
      <c r="BN34" s="103">
        <f>ROUND(BM34*(1+取值表!$D$2),0)</f>
        <v>0</v>
      </c>
      <c r="BO34" s="103"/>
      <c r="BP34" s="103"/>
      <c r="BQ34" s="103"/>
      <c r="BR34" s="103">
        <f>ROUND(BQ34*(1+取值表!$D$2),0)</f>
        <v>0</v>
      </c>
      <c r="BS34" s="103"/>
      <c r="BT34" s="103"/>
      <c r="BU34" s="103"/>
      <c r="BV34" s="103">
        <f>ROUND(BU34*(1+取值表!$D$2),0)</f>
        <v>0</v>
      </c>
      <c r="BW34" s="103"/>
      <c r="BX34" s="103"/>
      <c r="BY34" s="103"/>
      <c r="BZ34" s="103">
        <f>ROUND(BY34*(1+取值表!$D$2),0)</f>
        <v>0</v>
      </c>
      <c r="CA34" s="103"/>
      <c r="CB34" s="103"/>
      <c r="CC34" s="103"/>
      <c r="CD34" s="103">
        <f>ROUND(CC34*(1+取值表!$D$2),0)</f>
        <v>0</v>
      </c>
      <c r="CE34" s="103"/>
      <c r="CF34" s="103"/>
      <c r="CG34" s="103"/>
      <c r="CH34" s="103">
        <f>ROUND(CG34*(1+取值表!$D$2),0)</f>
        <v>0</v>
      </c>
      <c r="CI34" s="103"/>
      <c r="CJ34" s="103"/>
      <c r="CK34" s="103"/>
      <c r="CL34" s="103">
        <f>ROUND(CK34*(1+取值表!$D$2),0)</f>
        <v>0</v>
      </c>
      <c r="CM34" s="103"/>
      <c r="CN34" s="103"/>
      <c r="CO34" s="103"/>
      <c r="CP34" s="104">
        <f t="shared" si="861"/>
        <v>0</v>
      </c>
    </row>
    <row r="35" spans="1:94" s="58" customFormat="1" ht="12" customHeight="1">
      <c r="A35" s="546">
        <v>17</v>
      </c>
      <c r="B35" s="550" t="s">
        <v>916</v>
      </c>
      <c r="C35" s="548" t="s">
        <v>917</v>
      </c>
      <c r="D35" s="549" t="s">
        <v>400</v>
      </c>
      <c r="E35" s="547" t="s">
        <v>398</v>
      </c>
      <c r="F35" s="562">
        <v>16</v>
      </c>
      <c r="G35" s="562">
        <f>H35/365/F35</f>
        <v>2.4657534246575343</v>
      </c>
      <c r="H35" s="563">
        <v>14400</v>
      </c>
      <c r="I35" s="99"/>
      <c r="J35" s="101">
        <f>ROUND(14400/4,0)</f>
        <v>3600</v>
      </c>
      <c r="K35" s="102">
        <f>J35</f>
        <v>3600</v>
      </c>
      <c r="L35" s="103">
        <f>K35</f>
        <v>3600</v>
      </c>
      <c r="M35" s="103">
        <f>L35</f>
        <v>3600</v>
      </c>
      <c r="N35" s="103">
        <f>ROUND(M35*(1+取值表!$D$2)*取值表!$I$2,0)</f>
        <v>3577</v>
      </c>
      <c r="O35" s="103">
        <f>N35</f>
        <v>3577</v>
      </c>
      <c r="P35" s="103">
        <f t="shared" ref="P35:Q35" si="862">O35</f>
        <v>3577</v>
      </c>
      <c r="Q35" s="103">
        <f t="shared" si="862"/>
        <v>3577</v>
      </c>
      <c r="R35" s="278">
        <f>ROUND(Q35*(1+取值表!$D$2),0)</f>
        <v>3777</v>
      </c>
      <c r="S35" s="103">
        <f t="shared" ref="S35:U35" si="863">R35</f>
        <v>3777</v>
      </c>
      <c r="T35" s="103">
        <f t="shared" si="863"/>
        <v>3777</v>
      </c>
      <c r="U35" s="103">
        <f t="shared" si="863"/>
        <v>3777</v>
      </c>
      <c r="V35" s="103">
        <f>ROUND(U35*(1+取值表!$D$2),0)</f>
        <v>3989</v>
      </c>
      <c r="W35" s="103">
        <f t="shared" ref="W35:Y35" si="864">V35</f>
        <v>3989</v>
      </c>
      <c r="X35" s="103">
        <f t="shared" si="864"/>
        <v>3989</v>
      </c>
      <c r="Y35" s="103">
        <f t="shared" si="864"/>
        <v>3989</v>
      </c>
      <c r="Z35" s="103">
        <f>ROUND(Y35*(1+取值表!$D$2),0)</f>
        <v>4212</v>
      </c>
      <c r="AA35" s="103">
        <f t="shared" ref="AA35" si="865">Z35</f>
        <v>4212</v>
      </c>
      <c r="AB35" s="103">
        <f t="shared" ref="AB35" si="866">AA35</f>
        <v>4212</v>
      </c>
      <c r="AC35" s="103">
        <f t="shared" ref="AC35" si="867">AB35</f>
        <v>4212</v>
      </c>
      <c r="AD35" s="103">
        <f>ROUND(AC35*(1+取值表!$D$2),0)</f>
        <v>4448</v>
      </c>
      <c r="AE35" s="103">
        <f t="shared" ref="AE35" si="868">AD35</f>
        <v>4448</v>
      </c>
      <c r="AF35" s="103">
        <f t="shared" ref="AF35" si="869">AE35</f>
        <v>4448</v>
      </c>
      <c r="AG35" s="103">
        <f t="shared" ref="AG35" si="870">AF35</f>
        <v>4448</v>
      </c>
      <c r="AH35" s="103">
        <f>ROUND(AG35*(1+取值表!$D$2),0)</f>
        <v>4697</v>
      </c>
      <c r="AI35" s="103">
        <f t="shared" ref="AI35" si="871">AH35</f>
        <v>4697</v>
      </c>
      <c r="AJ35" s="103">
        <f t="shared" ref="AJ35" si="872">AI35</f>
        <v>4697</v>
      </c>
      <c r="AK35" s="103">
        <f t="shared" ref="AK35" si="873">AJ35</f>
        <v>4697</v>
      </c>
      <c r="AL35" s="103">
        <f>ROUND(AK35*(1+取值表!$D$2),0)</f>
        <v>4960</v>
      </c>
      <c r="AM35" s="103">
        <f t="shared" ref="AM35" si="874">AL35</f>
        <v>4960</v>
      </c>
      <c r="AN35" s="103">
        <f t="shared" ref="AN35" si="875">AM35</f>
        <v>4960</v>
      </c>
      <c r="AO35" s="103">
        <f t="shared" ref="AO35" si="876">AN35</f>
        <v>4960</v>
      </c>
      <c r="AP35" s="103">
        <f>ROUND(AO35*(1+取值表!$D$2),0)</f>
        <v>5238</v>
      </c>
      <c r="AQ35" s="103">
        <f t="shared" ref="AQ35" si="877">AP35</f>
        <v>5238</v>
      </c>
      <c r="AR35" s="103">
        <f t="shared" ref="AR35" si="878">AQ35</f>
        <v>5238</v>
      </c>
      <c r="AS35" s="103">
        <f t="shared" ref="AS35" si="879">AR35</f>
        <v>5238</v>
      </c>
      <c r="AT35" s="103">
        <f>ROUND(AS35*(1+取值表!$D$2),0)</f>
        <v>5531</v>
      </c>
      <c r="AU35" s="103">
        <f t="shared" ref="AU35" si="880">AT35</f>
        <v>5531</v>
      </c>
      <c r="AV35" s="103">
        <f t="shared" ref="AV35" si="881">AU35</f>
        <v>5531</v>
      </c>
      <c r="AW35" s="103">
        <f t="shared" ref="AW35" si="882">AV35</f>
        <v>5531</v>
      </c>
      <c r="AX35" s="103">
        <f>ROUND(AW35*(1+取值表!$D$2),0)</f>
        <v>5841</v>
      </c>
      <c r="AY35" s="103">
        <f t="shared" ref="AY35" si="883">AX35</f>
        <v>5841</v>
      </c>
      <c r="AZ35" s="103">
        <f t="shared" ref="AZ35" si="884">AY35</f>
        <v>5841</v>
      </c>
      <c r="BA35" s="103">
        <f t="shared" ref="BA35" si="885">AZ35</f>
        <v>5841</v>
      </c>
      <c r="BB35" s="103">
        <f>ROUND(BA35*(1+取值表!$D$2),0)</f>
        <v>6168</v>
      </c>
      <c r="BC35" s="103">
        <f t="shared" ref="BC35" si="886">BB35</f>
        <v>6168</v>
      </c>
      <c r="BD35" s="103">
        <f t="shared" ref="BD35" si="887">BC35</f>
        <v>6168</v>
      </c>
      <c r="BE35" s="103">
        <f t="shared" ref="BE35" si="888">BD35</f>
        <v>6168</v>
      </c>
      <c r="BF35" s="103">
        <f>ROUND(BE35*(1+取值表!$D$2),0)</f>
        <v>6513</v>
      </c>
      <c r="BG35" s="103">
        <f t="shared" ref="BG35" si="889">BF35</f>
        <v>6513</v>
      </c>
      <c r="BH35" s="103">
        <f t="shared" ref="BH35" si="890">BG35</f>
        <v>6513</v>
      </c>
      <c r="BI35" s="103">
        <f t="shared" ref="BI35" si="891">BH35</f>
        <v>6513</v>
      </c>
      <c r="BJ35" s="103">
        <f>ROUND(BI35*(1+取值表!$D$2),0)</f>
        <v>6878</v>
      </c>
      <c r="BK35" s="103">
        <f t="shared" ref="BK35" si="892">BJ35</f>
        <v>6878</v>
      </c>
      <c r="BL35" s="103">
        <f t="shared" ref="BL35" si="893">BK35</f>
        <v>6878</v>
      </c>
      <c r="BM35" s="103">
        <f t="shared" ref="BM35" si="894">BL35</f>
        <v>6878</v>
      </c>
      <c r="BN35" s="103">
        <f>ROUND(BM35*(1+取值表!$D$2),0)</f>
        <v>7263</v>
      </c>
      <c r="BO35" s="103">
        <f t="shared" ref="BO35" si="895">BN35</f>
        <v>7263</v>
      </c>
      <c r="BP35" s="103">
        <f t="shared" ref="BP35" si="896">BO35</f>
        <v>7263</v>
      </c>
      <c r="BQ35" s="103">
        <f t="shared" ref="BQ35" si="897">BP35</f>
        <v>7263</v>
      </c>
      <c r="BR35" s="103">
        <f>ROUND(BQ35*(1+取值表!$D$2),0)</f>
        <v>7670</v>
      </c>
      <c r="BS35" s="103">
        <f t="shared" ref="BS35" si="898">BR35</f>
        <v>7670</v>
      </c>
      <c r="BT35" s="103">
        <f t="shared" ref="BT35" si="899">BS35</f>
        <v>7670</v>
      </c>
      <c r="BU35" s="103">
        <f t="shared" ref="BU35" si="900">BT35</f>
        <v>7670</v>
      </c>
      <c r="BV35" s="103">
        <f>ROUND(BU35*(1+取值表!$D$2),0)</f>
        <v>8100</v>
      </c>
      <c r="BW35" s="103">
        <f t="shared" ref="BW35" si="901">BV35</f>
        <v>8100</v>
      </c>
      <c r="BX35" s="103">
        <f t="shared" ref="BX35" si="902">BW35</f>
        <v>8100</v>
      </c>
      <c r="BY35" s="103">
        <f t="shared" ref="BY35" si="903">BX35</f>
        <v>8100</v>
      </c>
      <c r="BZ35" s="103">
        <f>ROUND(BY35*(1+取值表!$D$2),0)</f>
        <v>8554</v>
      </c>
      <c r="CA35" s="103">
        <f t="shared" ref="CA35" si="904">BZ35</f>
        <v>8554</v>
      </c>
      <c r="CB35" s="103">
        <f t="shared" ref="CB35" si="905">CA35</f>
        <v>8554</v>
      </c>
      <c r="CC35" s="103">
        <f t="shared" ref="CC35" si="906">CB35</f>
        <v>8554</v>
      </c>
      <c r="CD35" s="103">
        <f>ROUND(CC35*(1+取值表!$D$2),0)</f>
        <v>9033</v>
      </c>
      <c r="CE35" s="103">
        <f t="shared" ref="CE35" si="907">CD35</f>
        <v>9033</v>
      </c>
      <c r="CF35" s="103">
        <f t="shared" ref="CF35" si="908">CE35</f>
        <v>9033</v>
      </c>
      <c r="CG35" s="103">
        <f t="shared" ref="CG35" si="909">CF35</f>
        <v>9033</v>
      </c>
      <c r="CH35" s="103">
        <f>ROUND(CG35*(1+取值表!$D$2),0)</f>
        <v>9539</v>
      </c>
      <c r="CI35" s="103">
        <f t="shared" ref="CI35" si="910">CH35</f>
        <v>9539</v>
      </c>
      <c r="CJ35" s="103">
        <f t="shared" ref="CJ35" si="911">CI35</f>
        <v>9539</v>
      </c>
      <c r="CK35" s="103">
        <f t="shared" ref="CK35" si="912">CJ35</f>
        <v>9539</v>
      </c>
      <c r="CL35" s="103">
        <f>ROUND(CK35*(1+取值表!$D$2),0)</f>
        <v>10073</v>
      </c>
      <c r="CM35" s="103">
        <f t="shared" ref="CM35" si="913">CL35</f>
        <v>10073</v>
      </c>
      <c r="CN35" s="103">
        <f t="shared" ref="CN35" si="914">CM35</f>
        <v>10073</v>
      </c>
      <c r="CO35" s="103">
        <f t="shared" ref="CO35" si="915">CN35</f>
        <v>10073</v>
      </c>
      <c r="CP35" s="104">
        <f t="shared" si="861"/>
        <v>518644</v>
      </c>
    </row>
    <row r="36" spans="1:94" s="58" customFormat="1" ht="12.75">
      <c r="A36" s="546"/>
      <c r="B36" s="550"/>
      <c r="C36" s="548"/>
      <c r="D36" s="549"/>
      <c r="E36" s="547"/>
      <c r="F36" s="562"/>
      <c r="G36" s="562"/>
      <c r="H36" s="563"/>
      <c r="I36" s="99"/>
      <c r="J36" s="101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>
        <f>ROUND(U36*(1+取值表!$D$2),0)</f>
        <v>0</v>
      </c>
      <c r="W36" s="103"/>
      <c r="X36" s="103"/>
      <c r="Y36" s="103"/>
      <c r="Z36" s="103">
        <f>ROUND(Y36*(1+取值表!$D$2),0)</f>
        <v>0</v>
      </c>
      <c r="AA36" s="103"/>
      <c r="AB36" s="103"/>
      <c r="AC36" s="103"/>
      <c r="AD36" s="103">
        <f>ROUND(AC36*(1+取值表!$D$2),0)</f>
        <v>0</v>
      </c>
      <c r="AE36" s="103"/>
      <c r="AF36" s="103"/>
      <c r="AG36" s="103"/>
      <c r="AH36" s="103">
        <f>ROUND(AG36*(1+取值表!$D$2),0)</f>
        <v>0</v>
      </c>
      <c r="AI36" s="103"/>
      <c r="AJ36" s="103"/>
      <c r="AK36" s="103"/>
      <c r="AL36" s="103">
        <f>ROUND(AK36*(1+取值表!$D$2),0)</f>
        <v>0</v>
      </c>
      <c r="AM36" s="103"/>
      <c r="AN36" s="103"/>
      <c r="AO36" s="103"/>
      <c r="AP36" s="103">
        <f>ROUND(AO36*(1+取值表!$D$2),0)</f>
        <v>0</v>
      </c>
      <c r="AQ36" s="103"/>
      <c r="AR36" s="103"/>
      <c r="AS36" s="103"/>
      <c r="AT36" s="103">
        <f>ROUND(AS36*(1+取值表!$D$2),0)</f>
        <v>0</v>
      </c>
      <c r="AU36" s="103"/>
      <c r="AV36" s="103"/>
      <c r="AW36" s="103"/>
      <c r="AX36" s="103">
        <f>ROUND(AW36*(1+取值表!$D$2),0)</f>
        <v>0</v>
      </c>
      <c r="AY36" s="103"/>
      <c r="AZ36" s="103"/>
      <c r="BA36" s="103"/>
      <c r="BB36" s="103">
        <f>ROUND(BA36*(1+取值表!$D$2),0)</f>
        <v>0</v>
      </c>
      <c r="BC36" s="103"/>
      <c r="BD36" s="103"/>
      <c r="BE36" s="103"/>
      <c r="BF36" s="103">
        <f>ROUND(BE36*(1+取值表!$D$2),0)</f>
        <v>0</v>
      </c>
      <c r="BG36" s="103"/>
      <c r="BH36" s="103"/>
      <c r="BI36" s="103"/>
      <c r="BJ36" s="103">
        <f>ROUND(BI36*(1+取值表!$D$2),0)</f>
        <v>0</v>
      </c>
      <c r="BK36" s="103"/>
      <c r="BL36" s="103"/>
      <c r="BM36" s="103"/>
      <c r="BN36" s="103">
        <f>ROUND(BM36*(1+取值表!$D$2),0)</f>
        <v>0</v>
      </c>
      <c r="BO36" s="103"/>
      <c r="BP36" s="103"/>
      <c r="BQ36" s="103"/>
      <c r="BR36" s="103">
        <f>ROUND(BQ36*(1+取值表!$D$2),0)</f>
        <v>0</v>
      </c>
      <c r="BS36" s="103"/>
      <c r="BT36" s="103"/>
      <c r="BU36" s="103"/>
      <c r="BV36" s="103">
        <f>ROUND(BU36*(1+取值表!$D$2),0)</f>
        <v>0</v>
      </c>
      <c r="BW36" s="103"/>
      <c r="BX36" s="103"/>
      <c r="BY36" s="103"/>
      <c r="BZ36" s="103">
        <f>ROUND(BY36*(1+取值表!$D$2),0)</f>
        <v>0</v>
      </c>
      <c r="CA36" s="103"/>
      <c r="CB36" s="103"/>
      <c r="CC36" s="103"/>
      <c r="CD36" s="103">
        <f>ROUND(CC36*(1+取值表!$D$2),0)</f>
        <v>0</v>
      </c>
      <c r="CE36" s="103"/>
      <c r="CF36" s="103"/>
      <c r="CG36" s="103"/>
      <c r="CH36" s="103">
        <f>ROUND(CG36*(1+取值表!$D$2),0)</f>
        <v>0</v>
      </c>
      <c r="CI36" s="103"/>
      <c r="CJ36" s="103"/>
      <c r="CK36" s="103"/>
      <c r="CL36" s="103">
        <f>ROUND(CK36*(1+取值表!$D$2),0)</f>
        <v>0</v>
      </c>
      <c r="CM36" s="103"/>
      <c r="CN36" s="103"/>
      <c r="CO36" s="103"/>
      <c r="CP36" s="104">
        <f t="shared" si="861"/>
        <v>0</v>
      </c>
    </row>
    <row r="37" spans="1:94" s="58" customFormat="1" ht="12" customHeight="1">
      <c r="A37" s="546">
        <v>18</v>
      </c>
      <c r="B37" s="550" t="s">
        <v>918</v>
      </c>
      <c r="C37" s="548" t="s">
        <v>919</v>
      </c>
      <c r="D37" s="549" t="s">
        <v>409</v>
      </c>
      <c r="E37" s="547" t="s">
        <v>398</v>
      </c>
      <c r="F37" s="562">
        <v>33.630000000000003</v>
      </c>
      <c r="G37" s="562">
        <f>H37/365/F37</f>
        <v>3.1232876712328763</v>
      </c>
      <c r="H37" s="563">
        <v>38338.199999999997</v>
      </c>
      <c r="I37" s="99"/>
      <c r="J37" s="101">
        <f>ROUND(38338.2/4,0)</f>
        <v>9585</v>
      </c>
      <c r="K37" s="102">
        <f>J37</f>
        <v>9585</v>
      </c>
      <c r="L37" s="103">
        <f>K37</f>
        <v>9585</v>
      </c>
      <c r="M37" s="103">
        <f>L37</f>
        <v>9585</v>
      </c>
      <c r="N37" s="103">
        <f>ROUND(M37*(1+取值表!$D$2)*取值表!$I$2,0)</f>
        <v>9525</v>
      </c>
      <c r="O37" s="103">
        <f>N37</f>
        <v>9525</v>
      </c>
      <c r="P37" s="103">
        <f t="shared" ref="P37:Q37" si="916">O37</f>
        <v>9525</v>
      </c>
      <c r="Q37" s="103">
        <f t="shared" si="916"/>
        <v>9525</v>
      </c>
      <c r="R37" s="278">
        <f>ROUND(Q37*(1+取值表!$D$2),0)</f>
        <v>10058</v>
      </c>
      <c r="S37" s="103">
        <f t="shared" ref="S37:U37" si="917">R37</f>
        <v>10058</v>
      </c>
      <c r="T37" s="103">
        <f t="shared" si="917"/>
        <v>10058</v>
      </c>
      <c r="U37" s="103">
        <f t="shared" si="917"/>
        <v>10058</v>
      </c>
      <c r="V37" s="103">
        <f>ROUND(U37*(1+取值表!$D$2),0)</f>
        <v>10621</v>
      </c>
      <c r="W37" s="103">
        <f t="shared" ref="W37:Y37" si="918">V37</f>
        <v>10621</v>
      </c>
      <c r="X37" s="103">
        <f t="shared" si="918"/>
        <v>10621</v>
      </c>
      <c r="Y37" s="103">
        <f t="shared" si="918"/>
        <v>10621</v>
      </c>
      <c r="Z37" s="103">
        <f>ROUND(Y37*(1+取值表!$D$2),0)</f>
        <v>11216</v>
      </c>
      <c r="AA37" s="103">
        <f t="shared" ref="AA37" si="919">Z37</f>
        <v>11216</v>
      </c>
      <c r="AB37" s="103">
        <f t="shared" ref="AB37" si="920">AA37</f>
        <v>11216</v>
      </c>
      <c r="AC37" s="103">
        <f t="shared" ref="AC37" si="921">AB37</f>
        <v>11216</v>
      </c>
      <c r="AD37" s="103">
        <f>ROUND(AC37*(1+取值表!$D$2),0)</f>
        <v>11844</v>
      </c>
      <c r="AE37" s="103">
        <f t="shared" ref="AE37" si="922">AD37</f>
        <v>11844</v>
      </c>
      <c r="AF37" s="103">
        <f t="shared" ref="AF37" si="923">AE37</f>
        <v>11844</v>
      </c>
      <c r="AG37" s="103">
        <f t="shared" ref="AG37" si="924">AF37</f>
        <v>11844</v>
      </c>
      <c r="AH37" s="103">
        <f>ROUND(AG37*(1+取值表!$D$2),0)</f>
        <v>12507</v>
      </c>
      <c r="AI37" s="103">
        <f t="shared" ref="AI37" si="925">AH37</f>
        <v>12507</v>
      </c>
      <c r="AJ37" s="103">
        <f t="shared" ref="AJ37" si="926">AI37</f>
        <v>12507</v>
      </c>
      <c r="AK37" s="103">
        <f t="shared" ref="AK37" si="927">AJ37</f>
        <v>12507</v>
      </c>
      <c r="AL37" s="103">
        <f>ROUND(AK37*(1+取值表!$D$2),0)</f>
        <v>13207</v>
      </c>
      <c r="AM37" s="103">
        <f t="shared" ref="AM37" si="928">AL37</f>
        <v>13207</v>
      </c>
      <c r="AN37" s="103">
        <f t="shared" ref="AN37" si="929">AM37</f>
        <v>13207</v>
      </c>
      <c r="AO37" s="103">
        <f t="shared" ref="AO37" si="930">AN37</f>
        <v>13207</v>
      </c>
      <c r="AP37" s="103">
        <f>ROUND(AO37*(1+取值表!$D$2),0)</f>
        <v>13947</v>
      </c>
      <c r="AQ37" s="103">
        <f t="shared" ref="AQ37" si="931">AP37</f>
        <v>13947</v>
      </c>
      <c r="AR37" s="103">
        <f t="shared" ref="AR37" si="932">AQ37</f>
        <v>13947</v>
      </c>
      <c r="AS37" s="103">
        <f t="shared" ref="AS37" si="933">AR37</f>
        <v>13947</v>
      </c>
      <c r="AT37" s="103">
        <f>ROUND(AS37*(1+取值表!$D$2),0)</f>
        <v>14728</v>
      </c>
      <c r="AU37" s="103">
        <f t="shared" ref="AU37" si="934">AT37</f>
        <v>14728</v>
      </c>
      <c r="AV37" s="103">
        <f t="shared" ref="AV37" si="935">AU37</f>
        <v>14728</v>
      </c>
      <c r="AW37" s="103">
        <f t="shared" ref="AW37" si="936">AV37</f>
        <v>14728</v>
      </c>
      <c r="AX37" s="103">
        <f>ROUND(AW37*(1+取值表!$D$2),0)</f>
        <v>15553</v>
      </c>
      <c r="AY37" s="103">
        <f t="shared" ref="AY37" si="937">AX37</f>
        <v>15553</v>
      </c>
      <c r="AZ37" s="103">
        <f t="shared" ref="AZ37" si="938">AY37</f>
        <v>15553</v>
      </c>
      <c r="BA37" s="103">
        <f t="shared" ref="BA37" si="939">AZ37</f>
        <v>15553</v>
      </c>
      <c r="BB37" s="103">
        <f>ROUND(BA37*(1+取值表!$D$2),0)</f>
        <v>16424</v>
      </c>
      <c r="BC37" s="103">
        <f t="shared" ref="BC37" si="940">BB37</f>
        <v>16424</v>
      </c>
      <c r="BD37" s="103">
        <f t="shared" ref="BD37" si="941">BC37</f>
        <v>16424</v>
      </c>
      <c r="BE37" s="103">
        <f t="shared" ref="BE37" si="942">BD37</f>
        <v>16424</v>
      </c>
      <c r="BF37" s="103">
        <f>ROUND(BE37*(1+取值表!$D$2),0)</f>
        <v>17344</v>
      </c>
      <c r="BG37" s="103">
        <f t="shared" ref="BG37" si="943">BF37</f>
        <v>17344</v>
      </c>
      <c r="BH37" s="103">
        <f t="shared" ref="BH37" si="944">BG37</f>
        <v>17344</v>
      </c>
      <c r="BI37" s="103">
        <f t="shared" ref="BI37" si="945">BH37</f>
        <v>17344</v>
      </c>
      <c r="BJ37" s="103">
        <f>ROUND(BI37*(1+取值表!$D$2),0)</f>
        <v>18315</v>
      </c>
      <c r="BK37" s="103">
        <f t="shared" ref="BK37" si="946">BJ37</f>
        <v>18315</v>
      </c>
      <c r="BL37" s="103">
        <f t="shared" ref="BL37" si="947">BK37</f>
        <v>18315</v>
      </c>
      <c r="BM37" s="103">
        <f t="shared" ref="BM37" si="948">BL37</f>
        <v>18315</v>
      </c>
      <c r="BN37" s="103">
        <f>ROUND(BM37*(1+取值表!$D$2),0)</f>
        <v>19341</v>
      </c>
      <c r="BO37" s="103">
        <f t="shared" ref="BO37" si="949">BN37</f>
        <v>19341</v>
      </c>
      <c r="BP37" s="103">
        <f t="shared" ref="BP37" si="950">BO37</f>
        <v>19341</v>
      </c>
      <c r="BQ37" s="103">
        <f t="shared" ref="BQ37" si="951">BP37</f>
        <v>19341</v>
      </c>
      <c r="BR37" s="103">
        <f>ROUND(BQ37*(1+取值表!$D$2),0)</f>
        <v>20424</v>
      </c>
      <c r="BS37" s="103">
        <f t="shared" ref="BS37" si="952">BR37</f>
        <v>20424</v>
      </c>
      <c r="BT37" s="103">
        <f t="shared" ref="BT37" si="953">BS37</f>
        <v>20424</v>
      </c>
      <c r="BU37" s="103">
        <f t="shared" ref="BU37" si="954">BT37</f>
        <v>20424</v>
      </c>
      <c r="BV37" s="103">
        <f>ROUND(BU37*(1+取值表!$D$2),0)</f>
        <v>21568</v>
      </c>
      <c r="BW37" s="103">
        <f t="shared" ref="BW37" si="955">BV37</f>
        <v>21568</v>
      </c>
      <c r="BX37" s="103">
        <f t="shared" ref="BX37" si="956">BW37</f>
        <v>21568</v>
      </c>
      <c r="BY37" s="103">
        <f t="shared" ref="BY37" si="957">BX37</f>
        <v>21568</v>
      </c>
      <c r="BZ37" s="103">
        <f>ROUND(BY37*(1+取值表!$D$2),0)</f>
        <v>22776</v>
      </c>
      <c r="CA37" s="103">
        <f t="shared" ref="CA37" si="958">BZ37</f>
        <v>22776</v>
      </c>
      <c r="CB37" s="103">
        <f t="shared" ref="CB37" si="959">CA37</f>
        <v>22776</v>
      </c>
      <c r="CC37" s="103">
        <f t="shared" ref="CC37" si="960">CB37</f>
        <v>22776</v>
      </c>
      <c r="CD37" s="103">
        <f>ROUND(CC37*(1+取值表!$D$2),0)</f>
        <v>24051</v>
      </c>
      <c r="CE37" s="103">
        <f t="shared" ref="CE37" si="961">CD37</f>
        <v>24051</v>
      </c>
      <c r="CF37" s="103">
        <f t="shared" ref="CF37" si="962">CE37</f>
        <v>24051</v>
      </c>
      <c r="CG37" s="103">
        <f t="shared" ref="CG37" si="963">CF37</f>
        <v>24051</v>
      </c>
      <c r="CH37" s="103">
        <f>ROUND(CG37*(1+取值表!$D$2),0)</f>
        <v>25398</v>
      </c>
      <c r="CI37" s="103">
        <f t="shared" ref="CI37" si="964">CH37</f>
        <v>25398</v>
      </c>
      <c r="CJ37" s="103">
        <f t="shared" ref="CJ37" si="965">CI37</f>
        <v>25398</v>
      </c>
      <c r="CK37" s="103">
        <f t="shared" ref="CK37" si="966">CJ37</f>
        <v>25398</v>
      </c>
      <c r="CL37" s="103">
        <f>ROUND(CK37*(1+取值表!$D$2),0)</f>
        <v>26820</v>
      </c>
      <c r="CM37" s="103">
        <f t="shared" ref="CM37" si="967">CL37</f>
        <v>26820</v>
      </c>
      <c r="CN37" s="103">
        <f t="shared" ref="CN37" si="968">CM37</f>
        <v>26820</v>
      </c>
      <c r="CO37" s="103">
        <f t="shared" ref="CO37" si="969">CN37</f>
        <v>26820</v>
      </c>
      <c r="CP37" s="104">
        <f t="shared" si="861"/>
        <v>1381008</v>
      </c>
    </row>
    <row r="38" spans="1:94" s="58" customFormat="1" ht="12.75">
      <c r="A38" s="546"/>
      <c r="B38" s="550"/>
      <c r="C38" s="548"/>
      <c r="D38" s="549"/>
      <c r="E38" s="547"/>
      <c r="F38" s="562"/>
      <c r="G38" s="562"/>
      <c r="H38" s="563"/>
      <c r="I38" s="99"/>
      <c r="J38" s="101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>
        <f>ROUND(U38*(1+取值表!$D$2),0)</f>
        <v>0</v>
      </c>
      <c r="W38" s="103"/>
      <c r="X38" s="103"/>
      <c r="Y38" s="103"/>
      <c r="Z38" s="103">
        <f>ROUND(Y38*(1+取值表!$D$2),0)</f>
        <v>0</v>
      </c>
      <c r="AA38" s="103"/>
      <c r="AB38" s="103"/>
      <c r="AC38" s="103"/>
      <c r="AD38" s="103">
        <f>ROUND(AC38*(1+取值表!$D$2),0)</f>
        <v>0</v>
      </c>
      <c r="AE38" s="103"/>
      <c r="AF38" s="103"/>
      <c r="AG38" s="103"/>
      <c r="AH38" s="103">
        <f>ROUND(AG38*(1+取值表!$D$2),0)</f>
        <v>0</v>
      </c>
      <c r="AI38" s="103"/>
      <c r="AJ38" s="103"/>
      <c r="AK38" s="103"/>
      <c r="AL38" s="103">
        <f>ROUND(AK38*(1+取值表!$D$2),0)</f>
        <v>0</v>
      </c>
      <c r="AM38" s="103"/>
      <c r="AN38" s="103"/>
      <c r="AO38" s="103"/>
      <c r="AP38" s="103">
        <f>ROUND(AO38*(1+取值表!$D$2),0)</f>
        <v>0</v>
      </c>
      <c r="AQ38" s="103"/>
      <c r="AR38" s="103"/>
      <c r="AS38" s="103"/>
      <c r="AT38" s="103">
        <f>ROUND(AS38*(1+取值表!$D$2),0)</f>
        <v>0</v>
      </c>
      <c r="AU38" s="103"/>
      <c r="AV38" s="103"/>
      <c r="AW38" s="103"/>
      <c r="AX38" s="103">
        <f>ROUND(AW38*(1+取值表!$D$2),0)</f>
        <v>0</v>
      </c>
      <c r="AY38" s="103"/>
      <c r="AZ38" s="103"/>
      <c r="BA38" s="103"/>
      <c r="BB38" s="103">
        <f>ROUND(BA38*(1+取值表!$D$2),0)</f>
        <v>0</v>
      </c>
      <c r="BC38" s="103"/>
      <c r="BD38" s="103"/>
      <c r="BE38" s="103"/>
      <c r="BF38" s="103">
        <f>ROUND(BE38*(1+取值表!$D$2),0)</f>
        <v>0</v>
      </c>
      <c r="BG38" s="103"/>
      <c r="BH38" s="103"/>
      <c r="BI38" s="103"/>
      <c r="BJ38" s="103">
        <f>ROUND(BI38*(1+取值表!$D$2),0)</f>
        <v>0</v>
      </c>
      <c r="BK38" s="103"/>
      <c r="BL38" s="103"/>
      <c r="BM38" s="103"/>
      <c r="BN38" s="103">
        <f>ROUND(BM38*(1+取值表!$D$2),0)</f>
        <v>0</v>
      </c>
      <c r="BO38" s="103"/>
      <c r="BP38" s="103"/>
      <c r="BQ38" s="103"/>
      <c r="BR38" s="103">
        <f>ROUND(BQ38*(1+取值表!$D$2),0)</f>
        <v>0</v>
      </c>
      <c r="BS38" s="103"/>
      <c r="BT38" s="103"/>
      <c r="BU38" s="103"/>
      <c r="BV38" s="103">
        <f>ROUND(BU38*(1+取值表!$D$2),0)</f>
        <v>0</v>
      </c>
      <c r="BW38" s="103"/>
      <c r="BX38" s="103"/>
      <c r="BY38" s="103"/>
      <c r="BZ38" s="103">
        <f>ROUND(BY38*(1+取值表!$D$2),0)</f>
        <v>0</v>
      </c>
      <c r="CA38" s="103"/>
      <c r="CB38" s="103"/>
      <c r="CC38" s="103"/>
      <c r="CD38" s="103">
        <f>ROUND(CC38*(1+取值表!$D$2),0)</f>
        <v>0</v>
      </c>
      <c r="CE38" s="103"/>
      <c r="CF38" s="103"/>
      <c r="CG38" s="103"/>
      <c r="CH38" s="103">
        <f>ROUND(CG38*(1+取值表!$D$2),0)</f>
        <v>0</v>
      </c>
      <c r="CI38" s="103"/>
      <c r="CJ38" s="103"/>
      <c r="CK38" s="103"/>
      <c r="CL38" s="103">
        <f>ROUND(CK38*(1+取值表!$D$2),0)</f>
        <v>0</v>
      </c>
      <c r="CM38" s="103"/>
      <c r="CN38" s="103"/>
      <c r="CO38" s="103"/>
      <c r="CP38" s="104">
        <f t="shared" si="861"/>
        <v>0</v>
      </c>
    </row>
    <row r="39" spans="1:94" s="58" customFormat="1" ht="12" customHeight="1">
      <c r="A39" s="546">
        <v>19</v>
      </c>
      <c r="B39" s="550" t="s">
        <v>920</v>
      </c>
      <c r="C39" s="548" t="s">
        <v>921</v>
      </c>
      <c r="D39" s="549" t="s">
        <v>410</v>
      </c>
      <c r="E39" s="547" t="s">
        <v>398</v>
      </c>
      <c r="F39" s="562">
        <v>16</v>
      </c>
      <c r="G39" s="562">
        <f>H39/365/F39</f>
        <v>3.1232876712328768</v>
      </c>
      <c r="H39" s="563">
        <v>18240</v>
      </c>
      <c r="I39" s="99"/>
      <c r="J39" s="101">
        <f>ROUND(18240/4,0)</f>
        <v>4560</v>
      </c>
      <c r="K39" s="103">
        <f>J39</f>
        <v>4560</v>
      </c>
      <c r="L39" s="102">
        <f>K39</f>
        <v>4560</v>
      </c>
      <c r="M39" s="103">
        <f>L39</f>
        <v>4560</v>
      </c>
      <c r="N39" s="103">
        <f>ROUND(M39*(1+取值表!$D$2)*取值表!$I$2,0)</f>
        <v>4531</v>
      </c>
      <c r="O39" s="103">
        <f>N39</f>
        <v>4531</v>
      </c>
      <c r="P39" s="103">
        <f t="shared" ref="P39:Q39" si="970">O39</f>
        <v>4531</v>
      </c>
      <c r="Q39" s="103">
        <f t="shared" si="970"/>
        <v>4531</v>
      </c>
      <c r="R39" s="278">
        <f>ROUND(Q39*(1+取值表!$D$2),0)</f>
        <v>4785</v>
      </c>
      <c r="S39" s="103">
        <f t="shared" ref="S39:U39" si="971">R39</f>
        <v>4785</v>
      </c>
      <c r="T39" s="103">
        <f t="shared" si="971"/>
        <v>4785</v>
      </c>
      <c r="U39" s="103">
        <f t="shared" si="971"/>
        <v>4785</v>
      </c>
      <c r="V39" s="103">
        <f>ROUND(U39*(1+取值表!$D$2),0)</f>
        <v>5053</v>
      </c>
      <c r="W39" s="103">
        <f t="shared" ref="W39:Y39" si="972">V39</f>
        <v>5053</v>
      </c>
      <c r="X39" s="103">
        <f t="shared" si="972"/>
        <v>5053</v>
      </c>
      <c r="Y39" s="103">
        <f t="shared" si="972"/>
        <v>5053</v>
      </c>
      <c r="Z39" s="103">
        <f>ROUND(Y39*(1+取值表!$D$2),0)</f>
        <v>5336</v>
      </c>
      <c r="AA39" s="103">
        <f t="shared" ref="AA39" si="973">Z39</f>
        <v>5336</v>
      </c>
      <c r="AB39" s="103">
        <f t="shared" ref="AB39" si="974">AA39</f>
        <v>5336</v>
      </c>
      <c r="AC39" s="103">
        <f t="shared" ref="AC39" si="975">AB39</f>
        <v>5336</v>
      </c>
      <c r="AD39" s="103">
        <f>ROUND(AC39*(1+取值表!$D$2),0)</f>
        <v>5635</v>
      </c>
      <c r="AE39" s="103">
        <f t="shared" ref="AE39" si="976">AD39</f>
        <v>5635</v>
      </c>
      <c r="AF39" s="103">
        <f t="shared" ref="AF39" si="977">AE39</f>
        <v>5635</v>
      </c>
      <c r="AG39" s="103">
        <f t="shared" ref="AG39" si="978">AF39</f>
        <v>5635</v>
      </c>
      <c r="AH39" s="103">
        <f>ROUND(AG39*(1+取值表!$D$2),0)</f>
        <v>5951</v>
      </c>
      <c r="AI39" s="103">
        <f t="shared" ref="AI39" si="979">AH39</f>
        <v>5951</v>
      </c>
      <c r="AJ39" s="103">
        <f t="shared" ref="AJ39" si="980">AI39</f>
        <v>5951</v>
      </c>
      <c r="AK39" s="103">
        <f t="shared" ref="AK39" si="981">AJ39</f>
        <v>5951</v>
      </c>
      <c r="AL39" s="103">
        <f>ROUND(AK39*(1+取值表!$D$2),0)</f>
        <v>6284</v>
      </c>
      <c r="AM39" s="103">
        <f t="shared" ref="AM39" si="982">AL39</f>
        <v>6284</v>
      </c>
      <c r="AN39" s="103">
        <f t="shared" ref="AN39" si="983">AM39</f>
        <v>6284</v>
      </c>
      <c r="AO39" s="103">
        <f t="shared" ref="AO39" si="984">AN39</f>
        <v>6284</v>
      </c>
      <c r="AP39" s="103">
        <f>ROUND(AO39*(1+取值表!$D$2),0)</f>
        <v>6636</v>
      </c>
      <c r="AQ39" s="103">
        <f t="shared" ref="AQ39" si="985">AP39</f>
        <v>6636</v>
      </c>
      <c r="AR39" s="103">
        <f t="shared" ref="AR39" si="986">AQ39</f>
        <v>6636</v>
      </c>
      <c r="AS39" s="103">
        <f t="shared" ref="AS39" si="987">AR39</f>
        <v>6636</v>
      </c>
      <c r="AT39" s="103">
        <f>ROUND(AS39*(1+取值表!$D$2),0)</f>
        <v>7008</v>
      </c>
      <c r="AU39" s="103">
        <f t="shared" ref="AU39" si="988">AT39</f>
        <v>7008</v>
      </c>
      <c r="AV39" s="103">
        <f t="shared" ref="AV39" si="989">AU39</f>
        <v>7008</v>
      </c>
      <c r="AW39" s="103">
        <f t="shared" ref="AW39" si="990">AV39</f>
        <v>7008</v>
      </c>
      <c r="AX39" s="103">
        <f>ROUND(AW39*(1+取值表!$D$2),0)</f>
        <v>7400</v>
      </c>
      <c r="AY39" s="103">
        <f t="shared" ref="AY39" si="991">AX39</f>
        <v>7400</v>
      </c>
      <c r="AZ39" s="103">
        <f t="shared" ref="AZ39" si="992">AY39</f>
        <v>7400</v>
      </c>
      <c r="BA39" s="103">
        <f t="shared" ref="BA39" si="993">AZ39</f>
        <v>7400</v>
      </c>
      <c r="BB39" s="103">
        <f>ROUND(BA39*(1+取值表!$D$2),0)</f>
        <v>7814</v>
      </c>
      <c r="BC39" s="103">
        <f t="shared" ref="BC39" si="994">BB39</f>
        <v>7814</v>
      </c>
      <c r="BD39" s="103">
        <f t="shared" ref="BD39" si="995">BC39</f>
        <v>7814</v>
      </c>
      <c r="BE39" s="103">
        <f t="shared" ref="BE39" si="996">BD39</f>
        <v>7814</v>
      </c>
      <c r="BF39" s="103">
        <f>ROUND(BE39*(1+取值表!$D$2),0)</f>
        <v>8252</v>
      </c>
      <c r="BG39" s="103">
        <f t="shared" ref="BG39" si="997">BF39</f>
        <v>8252</v>
      </c>
      <c r="BH39" s="103">
        <f t="shared" ref="BH39" si="998">BG39</f>
        <v>8252</v>
      </c>
      <c r="BI39" s="103">
        <f t="shared" ref="BI39" si="999">BH39</f>
        <v>8252</v>
      </c>
      <c r="BJ39" s="103">
        <f>ROUND(BI39*(1+取值表!$D$2),0)</f>
        <v>8714</v>
      </c>
      <c r="BK39" s="103">
        <f t="shared" ref="BK39" si="1000">BJ39</f>
        <v>8714</v>
      </c>
      <c r="BL39" s="103">
        <f t="shared" ref="BL39" si="1001">BK39</f>
        <v>8714</v>
      </c>
      <c r="BM39" s="103">
        <f t="shared" ref="BM39" si="1002">BL39</f>
        <v>8714</v>
      </c>
      <c r="BN39" s="103">
        <f>ROUND(BM39*(1+取值表!$D$2),0)</f>
        <v>9202</v>
      </c>
      <c r="BO39" s="103">
        <f t="shared" ref="BO39" si="1003">BN39</f>
        <v>9202</v>
      </c>
      <c r="BP39" s="103">
        <f t="shared" ref="BP39" si="1004">BO39</f>
        <v>9202</v>
      </c>
      <c r="BQ39" s="103">
        <f t="shared" ref="BQ39" si="1005">BP39</f>
        <v>9202</v>
      </c>
      <c r="BR39" s="103">
        <f>ROUND(BQ39*(1+取值表!$D$2),0)</f>
        <v>9717</v>
      </c>
      <c r="BS39" s="103">
        <f t="shared" ref="BS39" si="1006">BR39</f>
        <v>9717</v>
      </c>
      <c r="BT39" s="103">
        <f t="shared" ref="BT39" si="1007">BS39</f>
        <v>9717</v>
      </c>
      <c r="BU39" s="103">
        <f t="shared" ref="BU39" si="1008">BT39</f>
        <v>9717</v>
      </c>
      <c r="BV39" s="103">
        <f>ROUND(BU39*(1+取值表!$D$2),0)</f>
        <v>10261</v>
      </c>
      <c r="BW39" s="103">
        <f t="shared" ref="BW39" si="1009">BV39</f>
        <v>10261</v>
      </c>
      <c r="BX39" s="103">
        <f t="shared" ref="BX39" si="1010">BW39</f>
        <v>10261</v>
      </c>
      <c r="BY39" s="103">
        <f t="shared" ref="BY39" si="1011">BX39</f>
        <v>10261</v>
      </c>
      <c r="BZ39" s="103">
        <f>ROUND(BY39*(1+取值表!$D$2),0)</f>
        <v>10836</v>
      </c>
      <c r="CA39" s="103">
        <f t="shared" ref="CA39" si="1012">BZ39</f>
        <v>10836</v>
      </c>
      <c r="CB39" s="103">
        <f t="shared" ref="CB39" si="1013">CA39</f>
        <v>10836</v>
      </c>
      <c r="CC39" s="103">
        <f t="shared" ref="CC39" si="1014">CB39</f>
        <v>10836</v>
      </c>
      <c r="CD39" s="103">
        <f>ROUND(CC39*(1+取值表!$D$2),0)</f>
        <v>11443</v>
      </c>
      <c r="CE39" s="103">
        <f t="shared" ref="CE39" si="1015">CD39</f>
        <v>11443</v>
      </c>
      <c r="CF39" s="103">
        <f t="shared" ref="CF39" si="1016">CE39</f>
        <v>11443</v>
      </c>
      <c r="CG39" s="103">
        <f t="shared" ref="CG39" si="1017">CF39</f>
        <v>11443</v>
      </c>
      <c r="CH39" s="103">
        <f>ROUND(CG39*(1+取值表!$D$2),0)</f>
        <v>12084</v>
      </c>
      <c r="CI39" s="103">
        <f t="shared" ref="CI39" si="1018">CH39</f>
        <v>12084</v>
      </c>
      <c r="CJ39" s="103">
        <f t="shared" ref="CJ39" si="1019">CI39</f>
        <v>12084</v>
      </c>
      <c r="CK39" s="103">
        <f t="shared" ref="CK39" si="1020">CJ39</f>
        <v>12084</v>
      </c>
      <c r="CL39" s="103">
        <f>ROUND(CK39*(1+取值表!$D$2),0)</f>
        <v>12761</v>
      </c>
      <c r="CM39" s="103">
        <f t="shared" ref="CM39" si="1021">CL39</f>
        <v>12761</v>
      </c>
      <c r="CN39" s="103">
        <f t="shared" ref="CN39" si="1022">CM39</f>
        <v>12761</v>
      </c>
      <c r="CO39" s="103">
        <f t="shared" ref="CO39" si="1023">CN39</f>
        <v>12761</v>
      </c>
      <c r="CP39" s="104">
        <f t="shared" si="861"/>
        <v>657052</v>
      </c>
    </row>
    <row r="40" spans="1:94" s="58" customFormat="1" ht="12.75">
      <c r="A40" s="546"/>
      <c r="B40" s="550"/>
      <c r="C40" s="548"/>
      <c r="D40" s="549"/>
      <c r="E40" s="547"/>
      <c r="F40" s="562"/>
      <c r="G40" s="562"/>
      <c r="H40" s="563"/>
      <c r="I40" s="99"/>
      <c r="J40" s="101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>
        <f>ROUND(U40*(1+取值表!$D$2),0)</f>
        <v>0</v>
      </c>
      <c r="W40" s="103"/>
      <c r="X40" s="103"/>
      <c r="Y40" s="103"/>
      <c r="Z40" s="103">
        <f>ROUND(Y40*(1+取值表!$D$2),0)</f>
        <v>0</v>
      </c>
      <c r="AA40" s="103"/>
      <c r="AB40" s="103"/>
      <c r="AC40" s="103"/>
      <c r="AD40" s="103">
        <f>ROUND(AC40*(1+取值表!$D$2),0)</f>
        <v>0</v>
      </c>
      <c r="AE40" s="103"/>
      <c r="AF40" s="103"/>
      <c r="AG40" s="103"/>
      <c r="AH40" s="103">
        <f>ROUND(AG40*(1+取值表!$D$2),0)</f>
        <v>0</v>
      </c>
      <c r="AI40" s="103"/>
      <c r="AJ40" s="103"/>
      <c r="AK40" s="103"/>
      <c r="AL40" s="103">
        <f>ROUND(AK40*(1+取值表!$D$2),0)</f>
        <v>0</v>
      </c>
      <c r="AM40" s="103"/>
      <c r="AN40" s="103"/>
      <c r="AO40" s="103"/>
      <c r="AP40" s="103">
        <f>ROUND(AO40*(1+取值表!$D$2),0)</f>
        <v>0</v>
      </c>
      <c r="AQ40" s="103"/>
      <c r="AR40" s="103"/>
      <c r="AS40" s="103"/>
      <c r="AT40" s="103">
        <f>ROUND(AS40*(1+取值表!$D$2),0)</f>
        <v>0</v>
      </c>
      <c r="AU40" s="103"/>
      <c r="AV40" s="103"/>
      <c r="AW40" s="103"/>
      <c r="AX40" s="103">
        <f>ROUND(AW40*(1+取值表!$D$2),0)</f>
        <v>0</v>
      </c>
      <c r="AY40" s="103"/>
      <c r="AZ40" s="103"/>
      <c r="BA40" s="103"/>
      <c r="BB40" s="103">
        <f>ROUND(BA40*(1+取值表!$D$2),0)</f>
        <v>0</v>
      </c>
      <c r="BC40" s="103"/>
      <c r="BD40" s="103"/>
      <c r="BE40" s="103"/>
      <c r="BF40" s="103">
        <f>ROUND(BE40*(1+取值表!$D$2),0)</f>
        <v>0</v>
      </c>
      <c r="BG40" s="103"/>
      <c r="BH40" s="103"/>
      <c r="BI40" s="103"/>
      <c r="BJ40" s="103">
        <f>ROUND(BI40*(1+取值表!$D$2),0)</f>
        <v>0</v>
      </c>
      <c r="BK40" s="103"/>
      <c r="BL40" s="103"/>
      <c r="BM40" s="103"/>
      <c r="BN40" s="103">
        <f>ROUND(BM40*(1+取值表!$D$2),0)</f>
        <v>0</v>
      </c>
      <c r="BO40" s="103"/>
      <c r="BP40" s="103"/>
      <c r="BQ40" s="103"/>
      <c r="BR40" s="103">
        <f>ROUND(BQ40*(1+取值表!$D$2),0)</f>
        <v>0</v>
      </c>
      <c r="BS40" s="103"/>
      <c r="BT40" s="103"/>
      <c r="BU40" s="103"/>
      <c r="BV40" s="103">
        <f>ROUND(BU40*(1+取值表!$D$2),0)</f>
        <v>0</v>
      </c>
      <c r="BW40" s="103"/>
      <c r="BX40" s="103"/>
      <c r="BY40" s="103"/>
      <c r="BZ40" s="103">
        <f>ROUND(BY40*(1+取值表!$D$2),0)</f>
        <v>0</v>
      </c>
      <c r="CA40" s="103"/>
      <c r="CB40" s="103"/>
      <c r="CC40" s="103"/>
      <c r="CD40" s="103">
        <f>ROUND(CC40*(1+取值表!$D$2),0)</f>
        <v>0</v>
      </c>
      <c r="CE40" s="103"/>
      <c r="CF40" s="103"/>
      <c r="CG40" s="103"/>
      <c r="CH40" s="103">
        <f>ROUND(CG40*(1+取值表!$D$2),0)</f>
        <v>0</v>
      </c>
      <c r="CI40" s="103"/>
      <c r="CJ40" s="103"/>
      <c r="CK40" s="103"/>
      <c r="CL40" s="103">
        <f>ROUND(CK40*(1+取值表!$D$2),0)</f>
        <v>0</v>
      </c>
      <c r="CM40" s="103"/>
      <c r="CN40" s="103"/>
      <c r="CO40" s="103"/>
      <c r="CP40" s="104">
        <f t="shared" si="861"/>
        <v>0</v>
      </c>
    </row>
    <row r="41" spans="1:94" s="58" customFormat="1" ht="13.5" customHeight="1">
      <c r="A41" s="546">
        <v>20</v>
      </c>
      <c r="B41" s="536" t="s">
        <v>922</v>
      </c>
      <c r="C41" s="548" t="s">
        <v>911</v>
      </c>
      <c r="D41" s="549" t="s">
        <v>412</v>
      </c>
      <c r="E41" s="547" t="s">
        <v>411</v>
      </c>
      <c r="F41" s="562">
        <v>16</v>
      </c>
      <c r="G41" s="562">
        <f>H41/365/F41</f>
        <v>3.1232876712328768</v>
      </c>
      <c r="H41" s="563">
        <v>18240</v>
      </c>
      <c r="I41" s="99"/>
      <c r="J41" s="101">
        <f>ROUND(18240/4,0)</f>
        <v>4560</v>
      </c>
      <c r="K41" s="103">
        <f>J41</f>
        <v>4560</v>
      </c>
      <c r="L41" s="102">
        <f>K41</f>
        <v>4560</v>
      </c>
      <c r="M41" s="103">
        <f>L41</f>
        <v>4560</v>
      </c>
      <c r="N41" s="103">
        <f>ROUND(M41*(1+取值表!$D$2)*取值表!$I$2,0)</f>
        <v>4531</v>
      </c>
      <c r="O41" s="103">
        <f>N41</f>
        <v>4531</v>
      </c>
      <c r="P41" s="103">
        <f t="shared" ref="P41:Q41" si="1024">O41</f>
        <v>4531</v>
      </c>
      <c r="Q41" s="103">
        <f t="shared" si="1024"/>
        <v>4531</v>
      </c>
      <c r="R41" s="278">
        <f>ROUND(Q41*(1+取值表!$D$2),0)</f>
        <v>4785</v>
      </c>
      <c r="S41" s="103">
        <f t="shared" ref="S41:U41" si="1025">R41</f>
        <v>4785</v>
      </c>
      <c r="T41" s="103">
        <f t="shared" si="1025"/>
        <v>4785</v>
      </c>
      <c r="U41" s="103">
        <f t="shared" si="1025"/>
        <v>4785</v>
      </c>
      <c r="V41" s="103">
        <f>ROUND(U41*(1+取值表!$D$2),0)</f>
        <v>5053</v>
      </c>
      <c r="W41" s="103">
        <f t="shared" ref="W41:Y41" si="1026">V41</f>
        <v>5053</v>
      </c>
      <c r="X41" s="103">
        <f t="shared" si="1026"/>
        <v>5053</v>
      </c>
      <c r="Y41" s="103">
        <f t="shared" si="1026"/>
        <v>5053</v>
      </c>
      <c r="Z41" s="103">
        <f>ROUND(Y41*(1+取值表!$D$2),0)</f>
        <v>5336</v>
      </c>
      <c r="AA41" s="103">
        <f t="shared" ref="AA41" si="1027">Z41</f>
        <v>5336</v>
      </c>
      <c r="AB41" s="103">
        <f t="shared" ref="AB41" si="1028">AA41</f>
        <v>5336</v>
      </c>
      <c r="AC41" s="103">
        <f t="shared" ref="AC41" si="1029">AB41</f>
        <v>5336</v>
      </c>
      <c r="AD41" s="103">
        <f>ROUND(AC41*(1+取值表!$D$2),0)</f>
        <v>5635</v>
      </c>
      <c r="AE41" s="103">
        <f t="shared" ref="AE41" si="1030">AD41</f>
        <v>5635</v>
      </c>
      <c r="AF41" s="103">
        <f t="shared" ref="AF41" si="1031">AE41</f>
        <v>5635</v>
      </c>
      <c r="AG41" s="103">
        <f t="shared" ref="AG41" si="1032">AF41</f>
        <v>5635</v>
      </c>
      <c r="AH41" s="103">
        <f>ROUND(AG41*(1+取值表!$D$2),0)</f>
        <v>5951</v>
      </c>
      <c r="AI41" s="103">
        <f t="shared" ref="AI41" si="1033">AH41</f>
        <v>5951</v>
      </c>
      <c r="AJ41" s="103">
        <f t="shared" ref="AJ41" si="1034">AI41</f>
        <v>5951</v>
      </c>
      <c r="AK41" s="103">
        <f t="shared" ref="AK41" si="1035">AJ41</f>
        <v>5951</v>
      </c>
      <c r="AL41" s="103">
        <f>ROUND(AK41*(1+取值表!$D$2),0)</f>
        <v>6284</v>
      </c>
      <c r="AM41" s="103">
        <f t="shared" ref="AM41" si="1036">AL41</f>
        <v>6284</v>
      </c>
      <c r="AN41" s="103">
        <f t="shared" ref="AN41" si="1037">AM41</f>
        <v>6284</v>
      </c>
      <c r="AO41" s="103">
        <f t="shared" ref="AO41" si="1038">AN41</f>
        <v>6284</v>
      </c>
      <c r="AP41" s="103">
        <f>ROUND(AO41*(1+取值表!$D$2),0)</f>
        <v>6636</v>
      </c>
      <c r="AQ41" s="103">
        <f t="shared" ref="AQ41" si="1039">AP41</f>
        <v>6636</v>
      </c>
      <c r="AR41" s="103">
        <f t="shared" ref="AR41" si="1040">AQ41</f>
        <v>6636</v>
      </c>
      <c r="AS41" s="103">
        <f t="shared" ref="AS41" si="1041">AR41</f>
        <v>6636</v>
      </c>
      <c r="AT41" s="103">
        <f>ROUND(AS41*(1+取值表!$D$2),0)</f>
        <v>7008</v>
      </c>
      <c r="AU41" s="103">
        <f t="shared" ref="AU41" si="1042">AT41</f>
        <v>7008</v>
      </c>
      <c r="AV41" s="103">
        <f t="shared" ref="AV41" si="1043">AU41</f>
        <v>7008</v>
      </c>
      <c r="AW41" s="103">
        <f t="shared" ref="AW41" si="1044">AV41</f>
        <v>7008</v>
      </c>
      <c r="AX41" s="103">
        <f>ROUND(AW41*(1+取值表!$D$2),0)</f>
        <v>7400</v>
      </c>
      <c r="AY41" s="103">
        <f t="shared" ref="AY41" si="1045">AX41</f>
        <v>7400</v>
      </c>
      <c r="AZ41" s="103">
        <f t="shared" ref="AZ41" si="1046">AY41</f>
        <v>7400</v>
      </c>
      <c r="BA41" s="103">
        <f t="shared" ref="BA41" si="1047">AZ41</f>
        <v>7400</v>
      </c>
      <c r="BB41" s="103">
        <f>ROUND(BA41*(1+取值表!$D$2),0)</f>
        <v>7814</v>
      </c>
      <c r="BC41" s="103">
        <f t="shared" ref="BC41" si="1048">BB41</f>
        <v>7814</v>
      </c>
      <c r="BD41" s="103">
        <f t="shared" ref="BD41" si="1049">BC41</f>
        <v>7814</v>
      </c>
      <c r="BE41" s="103">
        <f t="shared" ref="BE41" si="1050">BD41</f>
        <v>7814</v>
      </c>
      <c r="BF41" s="103">
        <f>ROUND(BE41*(1+取值表!$D$2),0)</f>
        <v>8252</v>
      </c>
      <c r="BG41" s="103">
        <f t="shared" ref="BG41" si="1051">BF41</f>
        <v>8252</v>
      </c>
      <c r="BH41" s="103">
        <f t="shared" ref="BH41" si="1052">BG41</f>
        <v>8252</v>
      </c>
      <c r="BI41" s="103">
        <f t="shared" ref="BI41" si="1053">BH41</f>
        <v>8252</v>
      </c>
      <c r="BJ41" s="103">
        <f>ROUND(BI41*(1+取值表!$D$2),0)</f>
        <v>8714</v>
      </c>
      <c r="BK41" s="103">
        <f t="shared" ref="BK41" si="1054">BJ41</f>
        <v>8714</v>
      </c>
      <c r="BL41" s="103">
        <f t="shared" ref="BL41" si="1055">BK41</f>
        <v>8714</v>
      </c>
      <c r="BM41" s="103">
        <f t="shared" ref="BM41" si="1056">BL41</f>
        <v>8714</v>
      </c>
      <c r="BN41" s="103">
        <f>ROUND(BM41*(1+取值表!$D$2),0)</f>
        <v>9202</v>
      </c>
      <c r="BO41" s="103">
        <f t="shared" ref="BO41" si="1057">BN41</f>
        <v>9202</v>
      </c>
      <c r="BP41" s="103">
        <f t="shared" ref="BP41" si="1058">BO41</f>
        <v>9202</v>
      </c>
      <c r="BQ41" s="103">
        <f t="shared" ref="BQ41" si="1059">BP41</f>
        <v>9202</v>
      </c>
      <c r="BR41" s="103">
        <f>ROUND(BQ41*(1+取值表!$D$2),0)</f>
        <v>9717</v>
      </c>
      <c r="BS41" s="103">
        <f t="shared" ref="BS41" si="1060">BR41</f>
        <v>9717</v>
      </c>
      <c r="BT41" s="103">
        <f t="shared" ref="BT41" si="1061">BS41</f>
        <v>9717</v>
      </c>
      <c r="BU41" s="103">
        <f t="shared" ref="BU41" si="1062">BT41</f>
        <v>9717</v>
      </c>
      <c r="BV41" s="103">
        <f>ROUND(BU41*(1+取值表!$D$2),0)</f>
        <v>10261</v>
      </c>
      <c r="BW41" s="103">
        <f t="shared" ref="BW41" si="1063">BV41</f>
        <v>10261</v>
      </c>
      <c r="BX41" s="103">
        <f t="shared" ref="BX41" si="1064">BW41</f>
        <v>10261</v>
      </c>
      <c r="BY41" s="103">
        <f t="shared" ref="BY41" si="1065">BX41</f>
        <v>10261</v>
      </c>
      <c r="BZ41" s="103">
        <f>ROUND(BY41*(1+取值表!$D$2),0)</f>
        <v>10836</v>
      </c>
      <c r="CA41" s="103">
        <f t="shared" ref="CA41" si="1066">BZ41</f>
        <v>10836</v>
      </c>
      <c r="CB41" s="103">
        <f t="shared" ref="CB41" si="1067">CA41</f>
        <v>10836</v>
      </c>
      <c r="CC41" s="103">
        <f t="shared" ref="CC41" si="1068">CB41</f>
        <v>10836</v>
      </c>
      <c r="CD41" s="103">
        <f>ROUND(CC41*(1+取值表!$D$2),0)</f>
        <v>11443</v>
      </c>
      <c r="CE41" s="103">
        <f t="shared" ref="CE41" si="1069">CD41</f>
        <v>11443</v>
      </c>
      <c r="CF41" s="103">
        <f t="shared" ref="CF41" si="1070">CE41</f>
        <v>11443</v>
      </c>
      <c r="CG41" s="103">
        <f t="shared" ref="CG41" si="1071">CF41</f>
        <v>11443</v>
      </c>
      <c r="CH41" s="103">
        <f>ROUND(CG41*(1+取值表!$D$2),0)</f>
        <v>12084</v>
      </c>
      <c r="CI41" s="103">
        <f t="shared" ref="CI41" si="1072">CH41</f>
        <v>12084</v>
      </c>
      <c r="CJ41" s="103">
        <f t="shared" ref="CJ41" si="1073">CI41</f>
        <v>12084</v>
      </c>
      <c r="CK41" s="103">
        <f t="shared" ref="CK41" si="1074">CJ41</f>
        <v>12084</v>
      </c>
      <c r="CL41" s="103">
        <f>ROUND(CK41*(1+取值表!$D$2),0)</f>
        <v>12761</v>
      </c>
      <c r="CM41" s="103">
        <f t="shared" ref="CM41" si="1075">CL41</f>
        <v>12761</v>
      </c>
      <c r="CN41" s="103">
        <f t="shared" ref="CN41" si="1076">CM41</f>
        <v>12761</v>
      </c>
      <c r="CO41" s="103">
        <f t="shared" ref="CO41" si="1077">CN41</f>
        <v>12761</v>
      </c>
      <c r="CP41" s="104">
        <f t="shared" si="861"/>
        <v>657052</v>
      </c>
    </row>
    <row r="42" spans="1:94" s="58" customFormat="1" ht="12.75">
      <c r="A42" s="546"/>
      <c r="B42" s="536"/>
      <c r="C42" s="548"/>
      <c r="D42" s="549"/>
      <c r="E42" s="547"/>
      <c r="F42" s="562"/>
      <c r="G42" s="562"/>
      <c r="H42" s="563"/>
      <c r="I42" s="99"/>
      <c r="J42" s="101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>
        <f>ROUND(U42*(1+取值表!$D$2),0)</f>
        <v>0</v>
      </c>
      <c r="W42" s="103"/>
      <c r="X42" s="103"/>
      <c r="Y42" s="103"/>
      <c r="Z42" s="103">
        <f>ROUND(Y42*(1+取值表!$D$2),0)</f>
        <v>0</v>
      </c>
      <c r="AA42" s="103"/>
      <c r="AB42" s="103"/>
      <c r="AC42" s="103"/>
      <c r="AD42" s="103">
        <f>ROUND(AC42*(1+取值表!$D$2),0)</f>
        <v>0</v>
      </c>
      <c r="AE42" s="103"/>
      <c r="AF42" s="103"/>
      <c r="AG42" s="103"/>
      <c r="AH42" s="103">
        <f>ROUND(AG42*(1+取值表!$D$2),0)</f>
        <v>0</v>
      </c>
      <c r="AI42" s="103"/>
      <c r="AJ42" s="103"/>
      <c r="AK42" s="103"/>
      <c r="AL42" s="103">
        <f>ROUND(AK42*(1+取值表!$D$2),0)</f>
        <v>0</v>
      </c>
      <c r="AM42" s="103"/>
      <c r="AN42" s="103"/>
      <c r="AO42" s="103"/>
      <c r="AP42" s="103">
        <f>ROUND(AO42*(1+取值表!$D$2),0)</f>
        <v>0</v>
      </c>
      <c r="AQ42" s="103"/>
      <c r="AR42" s="103"/>
      <c r="AS42" s="103"/>
      <c r="AT42" s="103">
        <f>ROUND(AS42*(1+取值表!$D$2),0)</f>
        <v>0</v>
      </c>
      <c r="AU42" s="103"/>
      <c r="AV42" s="103"/>
      <c r="AW42" s="103"/>
      <c r="AX42" s="103">
        <f>ROUND(AW42*(1+取值表!$D$2),0)</f>
        <v>0</v>
      </c>
      <c r="AY42" s="103"/>
      <c r="AZ42" s="103"/>
      <c r="BA42" s="103"/>
      <c r="BB42" s="103">
        <f>ROUND(BA42*(1+取值表!$D$2),0)</f>
        <v>0</v>
      </c>
      <c r="BC42" s="103"/>
      <c r="BD42" s="103"/>
      <c r="BE42" s="103"/>
      <c r="BF42" s="103">
        <f>ROUND(BE42*(1+取值表!$D$2),0)</f>
        <v>0</v>
      </c>
      <c r="BG42" s="103"/>
      <c r="BH42" s="103"/>
      <c r="BI42" s="103"/>
      <c r="BJ42" s="103">
        <f>ROUND(BI42*(1+取值表!$D$2),0)</f>
        <v>0</v>
      </c>
      <c r="BK42" s="103"/>
      <c r="BL42" s="103"/>
      <c r="BM42" s="103"/>
      <c r="BN42" s="103">
        <f>ROUND(BM42*(1+取值表!$D$2),0)</f>
        <v>0</v>
      </c>
      <c r="BO42" s="103"/>
      <c r="BP42" s="103"/>
      <c r="BQ42" s="103"/>
      <c r="BR42" s="103">
        <f>ROUND(BQ42*(1+取值表!$D$2),0)</f>
        <v>0</v>
      </c>
      <c r="BS42" s="103"/>
      <c r="BT42" s="103"/>
      <c r="BU42" s="103"/>
      <c r="BV42" s="103">
        <f>ROUND(BU42*(1+取值表!$D$2),0)</f>
        <v>0</v>
      </c>
      <c r="BW42" s="103"/>
      <c r="BX42" s="103"/>
      <c r="BY42" s="103"/>
      <c r="BZ42" s="103">
        <f>ROUND(BY42*(1+取值表!$D$2),0)</f>
        <v>0</v>
      </c>
      <c r="CA42" s="103"/>
      <c r="CB42" s="103"/>
      <c r="CC42" s="103"/>
      <c r="CD42" s="103">
        <f>ROUND(CC42*(1+取值表!$D$2),0)</f>
        <v>0</v>
      </c>
      <c r="CE42" s="103"/>
      <c r="CF42" s="103"/>
      <c r="CG42" s="103"/>
      <c r="CH42" s="103">
        <f>ROUND(CG42*(1+取值表!$D$2),0)</f>
        <v>0</v>
      </c>
      <c r="CI42" s="103"/>
      <c r="CJ42" s="103"/>
      <c r="CK42" s="103"/>
      <c r="CL42" s="103">
        <f>ROUND(CK42*(1+取值表!$D$2),0)</f>
        <v>0</v>
      </c>
      <c r="CM42" s="103"/>
      <c r="CN42" s="103"/>
      <c r="CO42" s="103"/>
      <c r="CP42" s="104">
        <f t="shared" si="861"/>
        <v>0</v>
      </c>
    </row>
    <row r="43" spans="1:94" s="58" customFormat="1" ht="12" customHeight="1">
      <c r="A43" s="546">
        <v>21</v>
      </c>
      <c r="B43" s="536" t="s">
        <v>923</v>
      </c>
      <c r="C43" s="548" t="s">
        <v>924</v>
      </c>
      <c r="D43" s="549" t="s">
        <v>413</v>
      </c>
      <c r="E43" s="547" t="s">
        <v>398</v>
      </c>
      <c r="F43" s="562">
        <v>31.54</v>
      </c>
      <c r="G43" s="562">
        <f>H43/365/F43</f>
        <v>3.1232876712328768</v>
      </c>
      <c r="H43" s="563">
        <v>35955.599999999999</v>
      </c>
      <c r="I43" s="99"/>
      <c r="J43" s="101">
        <f>ROUND(35955.6/4,0)</f>
        <v>8989</v>
      </c>
      <c r="K43" s="103">
        <f>J43</f>
        <v>8989</v>
      </c>
      <c r="L43" s="102">
        <f>K43</f>
        <v>8989</v>
      </c>
      <c r="M43" s="103">
        <f>L43</f>
        <v>8989</v>
      </c>
      <c r="N43" s="103">
        <f>ROUND(M43*(1+取值表!$D$2)*取值表!$I$2,0)</f>
        <v>8932</v>
      </c>
      <c r="O43" s="103">
        <f>N43</f>
        <v>8932</v>
      </c>
      <c r="P43" s="103">
        <f t="shared" ref="P43:Q43" si="1078">O43</f>
        <v>8932</v>
      </c>
      <c r="Q43" s="103">
        <f t="shared" si="1078"/>
        <v>8932</v>
      </c>
      <c r="R43" s="278">
        <f>ROUND(Q43*(1+取值表!$D$2),0)</f>
        <v>9432</v>
      </c>
      <c r="S43" s="103">
        <f t="shared" ref="S43:U43" si="1079">R43</f>
        <v>9432</v>
      </c>
      <c r="T43" s="103">
        <f t="shared" si="1079"/>
        <v>9432</v>
      </c>
      <c r="U43" s="103">
        <f t="shared" si="1079"/>
        <v>9432</v>
      </c>
      <c r="V43" s="103">
        <f>ROUND(U43*(1+取值表!$D$2),0)</f>
        <v>9960</v>
      </c>
      <c r="W43" s="103">
        <f t="shared" ref="W43:Y43" si="1080">V43</f>
        <v>9960</v>
      </c>
      <c r="X43" s="103">
        <f t="shared" si="1080"/>
        <v>9960</v>
      </c>
      <c r="Y43" s="103">
        <f t="shared" si="1080"/>
        <v>9960</v>
      </c>
      <c r="Z43" s="103">
        <f>ROUND(Y43*(1+取值表!$D$2),0)</f>
        <v>10518</v>
      </c>
      <c r="AA43" s="103">
        <f t="shared" ref="AA43" si="1081">Z43</f>
        <v>10518</v>
      </c>
      <c r="AB43" s="103">
        <f t="shared" ref="AB43" si="1082">AA43</f>
        <v>10518</v>
      </c>
      <c r="AC43" s="103">
        <f t="shared" ref="AC43" si="1083">AB43</f>
        <v>10518</v>
      </c>
      <c r="AD43" s="103">
        <f>ROUND(AC43*(1+取值表!$D$2),0)</f>
        <v>11107</v>
      </c>
      <c r="AE43" s="103">
        <f t="shared" ref="AE43" si="1084">AD43</f>
        <v>11107</v>
      </c>
      <c r="AF43" s="103">
        <f t="shared" ref="AF43" si="1085">AE43</f>
        <v>11107</v>
      </c>
      <c r="AG43" s="103">
        <f t="shared" ref="AG43" si="1086">AF43</f>
        <v>11107</v>
      </c>
      <c r="AH43" s="103">
        <f>ROUND(AG43*(1+取值表!$D$2),0)</f>
        <v>11729</v>
      </c>
      <c r="AI43" s="103">
        <f t="shared" ref="AI43" si="1087">AH43</f>
        <v>11729</v>
      </c>
      <c r="AJ43" s="103">
        <f t="shared" ref="AJ43" si="1088">AI43</f>
        <v>11729</v>
      </c>
      <c r="AK43" s="103">
        <f t="shared" ref="AK43" si="1089">AJ43</f>
        <v>11729</v>
      </c>
      <c r="AL43" s="103">
        <f>ROUND(AK43*(1+取值表!$D$2),0)</f>
        <v>12386</v>
      </c>
      <c r="AM43" s="103">
        <f t="shared" ref="AM43" si="1090">AL43</f>
        <v>12386</v>
      </c>
      <c r="AN43" s="103">
        <f t="shared" ref="AN43" si="1091">AM43</f>
        <v>12386</v>
      </c>
      <c r="AO43" s="103">
        <f t="shared" ref="AO43" si="1092">AN43</f>
        <v>12386</v>
      </c>
      <c r="AP43" s="103">
        <f>ROUND(AO43*(1+取值表!$D$2),0)</f>
        <v>13080</v>
      </c>
      <c r="AQ43" s="103">
        <f t="shared" ref="AQ43" si="1093">AP43</f>
        <v>13080</v>
      </c>
      <c r="AR43" s="103">
        <f t="shared" ref="AR43" si="1094">AQ43</f>
        <v>13080</v>
      </c>
      <c r="AS43" s="103">
        <f t="shared" ref="AS43" si="1095">AR43</f>
        <v>13080</v>
      </c>
      <c r="AT43" s="103">
        <f>ROUND(AS43*(1+取值表!$D$2),0)</f>
        <v>13812</v>
      </c>
      <c r="AU43" s="103">
        <f t="shared" ref="AU43" si="1096">AT43</f>
        <v>13812</v>
      </c>
      <c r="AV43" s="103">
        <f t="shared" ref="AV43" si="1097">AU43</f>
        <v>13812</v>
      </c>
      <c r="AW43" s="103">
        <f t="shared" ref="AW43" si="1098">AV43</f>
        <v>13812</v>
      </c>
      <c r="AX43" s="103">
        <f>ROUND(AW43*(1+取值表!$D$2),0)</f>
        <v>14585</v>
      </c>
      <c r="AY43" s="103">
        <f t="shared" ref="AY43" si="1099">AX43</f>
        <v>14585</v>
      </c>
      <c r="AZ43" s="103">
        <f t="shared" ref="AZ43" si="1100">AY43</f>
        <v>14585</v>
      </c>
      <c r="BA43" s="103">
        <f t="shared" ref="BA43" si="1101">AZ43</f>
        <v>14585</v>
      </c>
      <c r="BB43" s="103">
        <f>ROUND(BA43*(1+取值表!$D$2),0)</f>
        <v>15402</v>
      </c>
      <c r="BC43" s="103">
        <f t="shared" ref="BC43" si="1102">BB43</f>
        <v>15402</v>
      </c>
      <c r="BD43" s="103">
        <f t="shared" ref="BD43" si="1103">BC43</f>
        <v>15402</v>
      </c>
      <c r="BE43" s="103">
        <f t="shared" ref="BE43" si="1104">BD43</f>
        <v>15402</v>
      </c>
      <c r="BF43" s="103">
        <f>ROUND(BE43*(1+取值表!$D$2),0)</f>
        <v>16265</v>
      </c>
      <c r="BG43" s="103">
        <f t="shared" ref="BG43" si="1105">BF43</f>
        <v>16265</v>
      </c>
      <c r="BH43" s="103">
        <f t="shared" ref="BH43" si="1106">BG43</f>
        <v>16265</v>
      </c>
      <c r="BI43" s="103">
        <f t="shared" ref="BI43" si="1107">BH43</f>
        <v>16265</v>
      </c>
      <c r="BJ43" s="103">
        <f>ROUND(BI43*(1+取值表!$D$2),0)</f>
        <v>17176</v>
      </c>
      <c r="BK43" s="103">
        <f t="shared" ref="BK43" si="1108">BJ43</f>
        <v>17176</v>
      </c>
      <c r="BL43" s="103">
        <f t="shared" ref="BL43" si="1109">BK43</f>
        <v>17176</v>
      </c>
      <c r="BM43" s="103">
        <f t="shared" ref="BM43" si="1110">BL43</f>
        <v>17176</v>
      </c>
      <c r="BN43" s="103">
        <f>ROUND(BM43*(1+取值表!$D$2),0)</f>
        <v>18138</v>
      </c>
      <c r="BO43" s="103">
        <f t="shared" ref="BO43" si="1111">BN43</f>
        <v>18138</v>
      </c>
      <c r="BP43" s="103">
        <f t="shared" ref="BP43" si="1112">BO43</f>
        <v>18138</v>
      </c>
      <c r="BQ43" s="103">
        <f t="shared" ref="BQ43" si="1113">BP43</f>
        <v>18138</v>
      </c>
      <c r="BR43" s="103">
        <f>ROUND(BQ43*(1+取值表!$D$2),0)</f>
        <v>19154</v>
      </c>
      <c r="BS43" s="103">
        <f t="shared" ref="BS43" si="1114">BR43</f>
        <v>19154</v>
      </c>
      <c r="BT43" s="103">
        <f t="shared" ref="BT43" si="1115">BS43</f>
        <v>19154</v>
      </c>
      <c r="BU43" s="103">
        <f t="shared" ref="BU43" si="1116">BT43</f>
        <v>19154</v>
      </c>
      <c r="BV43" s="103">
        <f>ROUND(BU43*(1+取值表!$D$2),0)</f>
        <v>20227</v>
      </c>
      <c r="BW43" s="103">
        <f t="shared" ref="BW43" si="1117">BV43</f>
        <v>20227</v>
      </c>
      <c r="BX43" s="103">
        <f t="shared" ref="BX43" si="1118">BW43</f>
        <v>20227</v>
      </c>
      <c r="BY43" s="103">
        <f t="shared" ref="BY43" si="1119">BX43</f>
        <v>20227</v>
      </c>
      <c r="BZ43" s="103">
        <f>ROUND(BY43*(1+取值表!$D$2),0)</f>
        <v>21360</v>
      </c>
      <c r="CA43" s="103">
        <f t="shared" ref="CA43" si="1120">BZ43</f>
        <v>21360</v>
      </c>
      <c r="CB43" s="103">
        <f t="shared" ref="CB43" si="1121">CA43</f>
        <v>21360</v>
      </c>
      <c r="CC43" s="103">
        <f t="shared" ref="CC43" si="1122">CB43</f>
        <v>21360</v>
      </c>
      <c r="CD43" s="103">
        <f>ROUND(CC43*(1+取值表!$D$2),0)</f>
        <v>22556</v>
      </c>
      <c r="CE43" s="103">
        <f t="shared" ref="CE43" si="1123">CD43</f>
        <v>22556</v>
      </c>
      <c r="CF43" s="103">
        <f t="shared" ref="CF43" si="1124">CE43</f>
        <v>22556</v>
      </c>
      <c r="CG43" s="103">
        <f t="shared" ref="CG43" si="1125">CF43</f>
        <v>22556</v>
      </c>
      <c r="CH43" s="103">
        <f>ROUND(CG43*(1+取值表!$D$2),0)</f>
        <v>23819</v>
      </c>
      <c r="CI43" s="103">
        <f t="shared" ref="CI43" si="1126">CH43</f>
        <v>23819</v>
      </c>
      <c r="CJ43" s="103">
        <f t="shared" ref="CJ43" si="1127">CI43</f>
        <v>23819</v>
      </c>
      <c r="CK43" s="103">
        <f t="shared" ref="CK43" si="1128">CJ43</f>
        <v>23819</v>
      </c>
      <c r="CL43" s="103">
        <f>ROUND(CK43*(1+取值表!$D$2),0)</f>
        <v>25153</v>
      </c>
      <c r="CM43" s="103">
        <f t="shared" ref="CM43" si="1129">CL43</f>
        <v>25153</v>
      </c>
      <c r="CN43" s="103">
        <f t="shared" ref="CN43" si="1130">CM43</f>
        <v>25153</v>
      </c>
      <c r="CO43" s="103">
        <f t="shared" ref="CO43" si="1131">CN43</f>
        <v>25153</v>
      </c>
      <c r="CP43" s="104">
        <f t="shared" si="861"/>
        <v>1295120</v>
      </c>
    </row>
    <row r="44" spans="1:94" s="58" customFormat="1" ht="12.75">
      <c r="A44" s="546"/>
      <c r="B44" s="536"/>
      <c r="C44" s="548"/>
      <c r="D44" s="549"/>
      <c r="E44" s="547"/>
      <c r="F44" s="562"/>
      <c r="G44" s="562"/>
      <c r="H44" s="563"/>
      <c r="I44" s="99"/>
      <c r="J44" s="101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>
        <f>ROUND(U44*(1+取值表!$D$2),0)</f>
        <v>0</v>
      </c>
      <c r="W44" s="103"/>
      <c r="X44" s="103"/>
      <c r="Y44" s="103"/>
      <c r="Z44" s="103">
        <f>ROUND(Y44*(1+取值表!$D$2),0)</f>
        <v>0</v>
      </c>
      <c r="AA44" s="103"/>
      <c r="AB44" s="103"/>
      <c r="AC44" s="103"/>
      <c r="AD44" s="103">
        <f>ROUND(AC44*(1+取值表!$D$2),0)</f>
        <v>0</v>
      </c>
      <c r="AE44" s="103"/>
      <c r="AF44" s="103"/>
      <c r="AG44" s="103"/>
      <c r="AH44" s="103">
        <f>ROUND(AG44*(1+取值表!$D$2),0)</f>
        <v>0</v>
      </c>
      <c r="AI44" s="103"/>
      <c r="AJ44" s="103"/>
      <c r="AK44" s="103"/>
      <c r="AL44" s="103">
        <f>ROUND(AK44*(1+取值表!$D$2),0)</f>
        <v>0</v>
      </c>
      <c r="AM44" s="103"/>
      <c r="AN44" s="103"/>
      <c r="AO44" s="103"/>
      <c r="AP44" s="103">
        <f>ROUND(AO44*(1+取值表!$D$2),0)</f>
        <v>0</v>
      </c>
      <c r="AQ44" s="103"/>
      <c r="AR44" s="103"/>
      <c r="AS44" s="103"/>
      <c r="AT44" s="103">
        <f>ROUND(AS44*(1+取值表!$D$2),0)</f>
        <v>0</v>
      </c>
      <c r="AU44" s="103"/>
      <c r="AV44" s="103"/>
      <c r="AW44" s="103"/>
      <c r="AX44" s="103">
        <f>ROUND(AW44*(1+取值表!$D$2),0)</f>
        <v>0</v>
      </c>
      <c r="AY44" s="103"/>
      <c r="AZ44" s="103"/>
      <c r="BA44" s="103"/>
      <c r="BB44" s="103">
        <f>ROUND(BA44*(1+取值表!$D$2),0)</f>
        <v>0</v>
      </c>
      <c r="BC44" s="103"/>
      <c r="BD44" s="103"/>
      <c r="BE44" s="103"/>
      <c r="BF44" s="103">
        <f>ROUND(BE44*(1+取值表!$D$2),0)</f>
        <v>0</v>
      </c>
      <c r="BG44" s="103"/>
      <c r="BH44" s="103"/>
      <c r="BI44" s="103"/>
      <c r="BJ44" s="103">
        <f>ROUND(BI44*(1+取值表!$D$2),0)</f>
        <v>0</v>
      </c>
      <c r="BK44" s="103"/>
      <c r="BL44" s="103"/>
      <c r="BM44" s="103"/>
      <c r="BN44" s="103">
        <f>ROUND(BM44*(1+取值表!$D$2),0)</f>
        <v>0</v>
      </c>
      <c r="BO44" s="103"/>
      <c r="BP44" s="103"/>
      <c r="BQ44" s="103"/>
      <c r="BR44" s="103">
        <f>ROUND(BQ44*(1+取值表!$D$2),0)</f>
        <v>0</v>
      </c>
      <c r="BS44" s="103"/>
      <c r="BT44" s="103"/>
      <c r="BU44" s="103"/>
      <c r="BV44" s="103">
        <f>ROUND(BU44*(1+取值表!$D$2),0)</f>
        <v>0</v>
      </c>
      <c r="BW44" s="103"/>
      <c r="BX44" s="103"/>
      <c r="BY44" s="103"/>
      <c r="BZ44" s="103">
        <f>ROUND(BY44*(1+取值表!$D$2),0)</f>
        <v>0</v>
      </c>
      <c r="CA44" s="103"/>
      <c r="CB44" s="103"/>
      <c r="CC44" s="103"/>
      <c r="CD44" s="103">
        <f>ROUND(CC44*(1+取值表!$D$2),0)</f>
        <v>0</v>
      </c>
      <c r="CE44" s="103"/>
      <c r="CF44" s="103"/>
      <c r="CG44" s="103"/>
      <c r="CH44" s="103">
        <f>ROUND(CG44*(1+取值表!$D$2),0)</f>
        <v>0</v>
      </c>
      <c r="CI44" s="103"/>
      <c r="CJ44" s="103"/>
      <c r="CK44" s="103"/>
      <c r="CL44" s="103">
        <f>ROUND(CK44*(1+取值表!$D$2),0)</f>
        <v>0</v>
      </c>
      <c r="CM44" s="103"/>
      <c r="CN44" s="103"/>
      <c r="CO44" s="103"/>
      <c r="CP44" s="104">
        <f t="shared" si="861"/>
        <v>0</v>
      </c>
    </row>
    <row r="45" spans="1:94" s="58" customFormat="1" ht="12.75">
      <c r="A45" s="546">
        <v>22</v>
      </c>
      <c r="B45" s="550" t="s">
        <v>925</v>
      </c>
      <c r="C45" s="548" t="s">
        <v>926</v>
      </c>
      <c r="D45" s="549" t="s">
        <v>414</v>
      </c>
      <c r="E45" s="547" t="s">
        <v>398</v>
      </c>
      <c r="F45" s="562">
        <v>13.65</v>
      </c>
      <c r="G45" s="562">
        <f>H45/365/F45</f>
        <v>3.1232876712328768</v>
      </c>
      <c r="H45" s="563">
        <v>15561</v>
      </c>
      <c r="I45" s="99"/>
      <c r="J45" s="101">
        <f>ROUND(15561/4,0)</f>
        <v>3890</v>
      </c>
      <c r="K45" s="103">
        <f>J45</f>
        <v>3890</v>
      </c>
      <c r="L45" s="102">
        <f>K45</f>
        <v>3890</v>
      </c>
      <c r="M45" s="103">
        <f>L45</f>
        <v>3890</v>
      </c>
      <c r="N45" s="103">
        <f>ROUND(M45*(1+取值表!$D$2)*取值表!$I$2,0)</f>
        <v>3865</v>
      </c>
      <c r="O45" s="103">
        <f>N45</f>
        <v>3865</v>
      </c>
      <c r="P45" s="103">
        <f t="shared" ref="P45:Q45" si="1132">O45</f>
        <v>3865</v>
      </c>
      <c r="Q45" s="103">
        <f t="shared" si="1132"/>
        <v>3865</v>
      </c>
      <c r="R45" s="278">
        <f>ROUND(Q45*(1+取值表!$D$2),0)</f>
        <v>4081</v>
      </c>
      <c r="S45" s="103">
        <f t="shared" ref="S45:U45" si="1133">R45</f>
        <v>4081</v>
      </c>
      <c r="T45" s="103">
        <f t="shared" si="1133"/>
        <v>4081</v>
      </c>
      <c r="U45" s="103">
        <f t="shared" si="1133"/>
        <v>4081</v>
      </c>
      <c r="V45" s="103">
        <f>ROUND(U45*(1+取值表!$D$2),0)</f>
        <v>4310</v>
      </c>
      <c r="W45" s="103">
        <f t="shared" ref="W45:Y45" si="1134">V45</f>
        <v>4310</v>
      </c>
      <c r="X45" s="103">
        <f t="shared" si="1134"/>
        <v>4310</v>
      </c>
      <c r="Y45" s="103">
        <f t="shared" si="1134"/>
        <v>4310</v>
      </c>
      <c r="Z45" s="103">
        <f>ROUND(Y45*(1+取值表!$D$2),0)</f>
        <v>4551</v>
      </c>
      <c r="AA45" s="103">
        <f t="shared" ref="AA45" si="1135">Z45</f>
        <v>4551</v>
      </c>
      <c r="AB45" s="103">
        <f t="shared" ref="AB45" si="1136">AA45</f>
        <v>4551</v>
      </c>
      <c r="AC45" s="103">
        <f t="shared" ref="AC45" si="1137">AB45</f>
        <v>4551</v>
      </c>
      <c r="AD45" s="103">
        <f>ROUND(AC45*(1+取值表!$D$2),0)</f>
        <v>4806</v>
      </c>
      <c r="AE45" s="103">
        <f t="shared" ref="AE45" si="1138">AD45</f>
        <v>4806</v>
      </c>
      <c r="AF45" s="103">
        <f t="shared" ref="AF45" si="1139">AE45</f>
        <v>4806</v>
      </c>
      <c r="AG45" s="103">
        <f t="shared" ref="AG45" si="1140">AF45</f>
        <v>4806</v>
      </c>
      <c r="AH45" s="103">
        <f>ROUND(AG45*(1+取值表!$D$2),0)</f>
        <v>5075</v>
      </c>
      <c r="AI45" s="103">
        <f t="shared" ref="AI45" si="1141">AH45</f>
        <v>5075</v>
      </c>
      <c r="AJ45" s="103">
        <f t="shared" ref="AJ45" si="1142">AI45</f>
        <v>5075</v>
      </c>
      <c r="AK45" s="103">
        <f t="shared" ref="AK45" si="1143">AJ45</f>
        <v>5075</v>
      </c>
      <c r="AL45" s="103">
        <f>ROUND(AK45*(1+取值表!$D$2),0)</f>
        <v>5359</v>
      </c>
      <c r="AM45" s="103">
        <f t="shared" ref="AM45" si="1144">AL45</f>
        <v>5359</v>
      </c>
      <c r="AN45" s="103">
        <f t="shared" ref="AN45" si="1145">AM45</f>
        <v>5359</v>
      </c>
      <c r="AO45" s="103">
        <f t="shared" ref="AO45" si="1146">AN45</f>
        <v>5359</v>
      </c>
      <c r="AP45" s="103">
        <f>ROUND(AO45*(1+取值表!$D$2),0)</f>
        <v>5659</v>
      </c>
      <c r="AQ45" s="103">
        <f t="shared" ref="AQ45" si="1147">AP45</f>
        <v>5659</v>
      </c>
      <c r="AR45" s="103">
        <f t="shared" ref="AR45" si="1148">AQ45</f>
        <v>5659</v>
      </c>
      <c r="AS45" s="103">
        <f t="shared" ref="AS45" si="1149">AR45</f>
        <v>5659</v>
      </c>
      <c r="AT45" s="103">
        <f>ROUND(AS45*(1+取值表!$D$2),0)</f>
        <v>5976</v>
      </c>
      <c r="AU45" s="103">
        <f t="shared" ref="AU45" si="1150">AT45</f>
        <v>5976</v>
      </c>
      <c r="AV45" s="103">
        <f t="shared" ref="AV45" si="1151">AU45</f>
        <v>5976</v>
      </c>
      <c r="AW45" s="103">
        <f t="shared" ref="AW45" si="1152">AV45</f>
        <v>5976</v>
      </c>
      <c r="AX45" s="103">
        <f>ROUND(AW45*(1+取值表!$D$2),0)</f>
        <v>6311</v>
      </c>
      <c r="AY45" s="103">
        <f t="shared" ref="AY45" si="1153">AX45</f>
        <v>6311</v>
      </c>
      <c r="AZ45" s="103">
        <f t="shared" ref="AZ45" si="1154">AY45</f>
        <v>6311</v>
      </c>
      <c r="BA45" s="103">
        <f t="shared" ref="BA45" si="1155">AZ45</f>
        <v>6311</v>
      </c>
      <c r="BB45" s="103">
        <f>ROUND(BA45*(1+取值表!$D$2),0)</f>
        <v>6664</v>
      </c>
      <c r="BC45" s="103">
        <f t="shared" ref="BC45" si="1156">BB45</f>
        <v>6664</v>
      </c>
      <c r="BD45" s="103">
        <f t="shared" ref="BD45" si="1157">BC45</f>
        <v>6664</v>
      </c>
      <c r="BE45" s="103">
        <f t="shared" ref="BE45" si="1158">BD45</f>
        <v>6664</v>
      </c>
      <c r="BF45" s="103">
        <f>ROUND(BE45*(1+取值表!$D$2),0)</f>
        <v>7037</v>
      </c>
      <c r="BG45" s="103">
        <f t="shared" ref="BG45" si="1159">BF45</f>
        <v>7037</v>
      </c>
      <c r="BH45" s="103">
        <f t="shared" ref="BH45" si="1160">BG45</f>
        <v>7037</v>
      </c>
      <c r="BI45" s="103">
        <f t="shared" ref="BI45" si="1161">BH45</f>
        <v>7037</v>
      </c>
      <c r="BJ45" s="103">
        <f>ROUND(BI45*(1+取值表!$D$2),0)</f>
        <v>7431</v>
      </c>
      <c r="BK45" s="103">
        <f t="shared" ref="BK45" si="1162">BJ45</f>
        <v>7431</v>
      </c>
      <c r="BL45" s="103">
        <f t="shared" ref="BL45" si="1163">BK45</f>
        <v>7431</v>
      </c>
      <c r="BM45" s="103">
        <f t="shared" ref="BM45" si="1164">BL45</f>
        <v>7431</v>
      </c>
      <c r="BN45" s="103">
        <f>ROUND(BM45*(1+取值表!$D$2),0)</f>
        <v>7847</v>
      </c>
      <c r="BO45" s="103">
        <f t="shared" ref="BO45" si="1165">BN45</f>
        <v>7847</v>
      </c>
      <c r="BP45" s="103">
        <f t="shared" ref="BP45" si="1166">BO45</f>
        <v>7847</v>
      </c>
      <c r="BQ45" s="103">
        <f t="shared" ref="BQ45" si="1167">BP45</f>
        <v>7847</v>
      </c>
      <c r="BR45" s="103">
        <f>ROUND(BQ45*(1+取值表!$D$2),0)</f>
        <v>8286</v>
      </c>
      <c r="BS45" s="103">
        <f t="shared" ref="BS45" si="1168">BR45</f>
        <v>8286</v>
      </c>
      <c r="BT45" s="103">
        <f t="shared" ref="BT45" si="1169">BS45</f>
        <v>8286</v>
      </c>
      <c r="BU45" s="103">
        <f t="shared" ref="BU45" si="1170">BT45</f>
        <v>8286</v>
      </c>
      <c r="BV45" s="103">
        <f>ROUND(BU45*(1+取值表!$D$2),0)</f>
        <v>8750</v>
      </c>
      <c r="BW45" s="103">
        <f t="shared" ref="BW45" si="1171">BV45</f>
        <v>8750</v>
      </c>
      <c r="BX45" s="103">
        <f t="shared" ref="BX45" si="1172">BW45</f>
        <v>8750</v>
      </c>
      <c r="BY45" s="103">
        <f t="shared" ref="BY45" si="1173">BX45</f>
        <v>8750</v>
      </c>
      <c r="BZ45" s="103">
        <f>ROUND(BY45*(1+取值表!$D$2),0)</f>
        <v>9240</v>
      </c>
      <c r="CA45" s="103">
        <f t="shared" ref="CA45" si="1174">BZ45</f>
        <v>9240</v>
      </c>
      <c r="CB45" s="103">
        <f t="shared" ref="CB45" si="1175">CA45</f>
        <v>9240</v>
      </c>
      <c r="CC45" s="103">
        <f t="shared" ref="CC45" si="1176">CB45</f>
        <v>9240</v>
      </c>
      <c r="CD45" s="103">
        <f>ROUND(CC45*(1+取值表!$D$2),0)</f>
        <v>9757</v>
      </c>
      <c r="CE45" s="103">
        <f t="shared" ref="CE45" si="1177">CD45</f>
        <v>9757</v>
      </c>
      <c r="CF45" s="103">
        <f t="shared" ref="CF45" si="1178">CE45</f>
        <v>9757</v>
      </c>
      <c r="CG45" s="103">
        <f t="shared" ref="CG45" si="1179">CF45</f>
        <v>9757</v>
      </c>
      <c r="CH45" s="103">
        <f>ROUND(CG45*(1+取值表!$D$2),0)</f>
        <v>10303</v>
      </c>
      <c r="CI45" s="103">
        <f t="shared" ref="CI45" si="1180">CH45</f>
        <v>10303</v>
      </c>
      <c r="CJ45" s="103">
        <f t="shared" ref="CJ45" si="1181">CI45</f>
        <v>10303</v>
      </c>
      <c r="CK45" s="103">
        <f t="shared" ref="CK45" si="1182">CJ45</f>
        <v>10303</v>
      </c>
      <c r="CL45" s="103">
        <f>ROUND(CK45*(1+取值表!$D$2),0)</f>
        <v>10880</v>
      </c>
      <c r="CM45" s="103">
        <f t="shared" ref="CM45" si="1183">CL45</f>
        <v>10880</v>
      </c>
      <c r="CN45" s="103">
        <f t="shared" ref="CN45" si="1184">CM45</f>
        <v>10880</v>
      </c>
      <c r="CO45" s="103">
        <f t="shared" ref="CO45" si="1185">CN45</f>
        <v>10880</v>
      </c>
      <c r="CP45" s="104">
        <f t="shared" si="861"/>
        <v>560312</v>
      </c>
    </row>
    <row r="46" spans="1:94" s="58" customFormat="1" ht="12.75">
      <c r="A46" s="546"/>
      <c r="B46" s="550"/>
      <c r="C46" s="548"/>
      <c r="D46" s="549"/>
      <c r="E46" s="547"/>
      <c r="F46" s="562"/>
      <c r="G46" s="562"/>
      <c r="H46" s="563"/>
      <c r="I46" s="99"/>
      <c r="J46" s="101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>
        <f>ROUND(U46*(1+取值表!$D$2),0)</f>
        <v>0</v>
      </c>
      <c r="W46" s="103"/>
      <c r="X46" s="103"/>
      <c r="Y46" s="103"/>
      <c r="Z46" s="103">
        <f>ROUND(Y46*(1+取值表!$D$2),0)</f>
        <v>0</v>
      </c>
      <c r="AA46" s="103"/>
      <c r="AB46" s="103"/>
      <c r="AC46" s="103"/>
      <c r="AD46" s="103">
        <f>ROUND(AC46*(1+取值表!$D$2),0)</f>
        <v>0</v>
      </c>
      <c r="AE46" s="103"/>
      <c r="AF46" s="103"/>
      <c r="AG46" s="103"/>
      <c r="AH46" s="103">
        <f>ROUND(AG46*(1+取值表!$D$2),0)</f>
        <v>0</v>
      </c>
      <c r="AI46" s="103"/>
      <c r="AJ46" s="103"/>
      <c r="AK46" s="103"/>
      <c r="AL46" s="103">
        <f>ROUND(AK46*(1+取值表!$D$2),0)</f>
        <v>0</v>
      </c>
      <c r="AM46" s="103"/>
      <c r="AN46" s="103"/>
      <c r="AO46" s="103"/>
      <c r="AP46" s="103">
        <f>ROUND(AO46*(1+取值表!$D$2),0)</f>
        <v>0</v>
      </c>
      <c r="AQ46" s="103"/>
      <c r="AR46" s="103"/>
      <c r="AS46" s="103"/>
      <c r="AT46" s="103">
        <f>ROUND(AS46*(1+取值表!$D$2),0)</f>
        <v>0</v>
      </c>
      <c r="AU46" s="103"/>
      <c r="AV46" s="103"/>
      <c r="AW46" s="103"/>
      <c r="AX46" s="103">
        <f>ROUND(AW46*(1+取值表!$D$2),0)</f>
        <v>0</v>
      </c>
      <c r="AY46" s="103"/>
      <c r="AZ46" s="103"/>
      <c r="BA46" s="103"/>
      <c r="BB46" s="103">
        <f>ROUND(BA46*(1+取值表!$D$2),0)</f>
        <v>0</v>
      </c>
      <c r="BC46" s="103"/>
      <c r="BD46" s="103"/>
      <c r="BE46" s="103"/>
      <c r="BF46" s="103">
        <f>ROUND(BE46*(1+取值表!$D$2),0)</f>
        <v>0</v>
      </c>
      <c r="BG46" s="103"/>
      <c r="BH46" s="103"/>
      <c r="BI46" s="103"/>
      <c r="BJ46" s="103">
        <f>ROUND(BI46*(1+取值表!$D$2),0)</f>
        <v>0</v>
      </c>
      <c r="BK46" s="103"/>
      <c r="BL46" s="103"/>
      <c r="BM46" s="103"/>
      <c r="BN46" s="103">
        <f>ROUND(BM46*(1+取值表!$D$2),0)</f>
        <v>0</v>
      </c>
      <c r="BO46" s="103"/>
      <c r="BP46" s="103"/>
      <c r="BQ46" s="103"/>
      <c r="BR46" s="103">
        <f>ROUND(BQ46*(1+取值表!$D$2),0)</f>
        <v>0</v>
      </c>
      <c r="BS46" s="103"/>
      <c r="BT46" s="103"/>
      <c r="BU46" s="103"/>
      <c r="BV46" s="103">
        <f>ROUND(BU46*(1+取值表!$D$2),0)</f>
        <v>0</v>
      </c>
      <c r="BW46" s="103"/>
      <c r="BX46" s="103"/>
      <c r="BY46" s="103"/>
      <c r="BZ46" s="103">
        <f>ROUND(BY46*(1+取值表!$D$2),0)</f>
        <v>0</v>
      </c>
      <c r="CA46" s="103"/>
      <c r="CB46" s="103"/>
      <c r="CC46" s="103"/>
      <c r="CD46" s="103">
        <f>ROUND(CC46*(1+取值表!$D$2),0)</f>
        <v>0</v>
      </c>
      <c r="CE46" s="103"/>
      <c r="CF46" s="103"/>
      <c r="CG46" s="103"/>
      <c r="CH46" s="103">
        <f>ROUND(CG46*(1+取值表!$D$2),0)</f>
        <v>0</v>
      </c>
      <c r="CI46" s="103"/>
      <c r="CJ46" s="103"/>
      <c r="CK46" s="103"/>
      <c r="CL46" s="103">
        <f>ROUND(CK46*(1+取值表!$D$2),0)</f>
        <v>0</v>
      </c>
      <c r="CM46" s="103"/>
      <c r="CN46" s="103"/>
      <c r="CO46" s="103"/>
      <c r="CP46" s="104">
        <f t="shared" si="861"/>
        <v>0</v>
      </c>
    </row>
    <row r="47" spans="1:94" s="58" customFormat="1" ht="12" customHeight="1">
      <c r="A47" s="546">
        <v>23</v>
      </c>
      <c r="B47" s="550" t="s">
        <v>927</v>
      </c>
      <c r="C47" s="548" t="s">
        <v>928</v>
      </c>
      <c r="D47" s="549" t="s">
        <v>1319</v>
      </c>
      <c r="E47" s="547" t="s">
        <v>398</v>
      </c>
      <c r="F47" s="562">
        <v>11.89</v>
      </c>
      <c r="G47" s="562">
        <f>H47/365/F47</f>
        <v>3.1232876712328768</v>
      </c>
      <c r="H47" s="563">
        <v>13554.6</v>
      </c>
      <c r="I47" s="99"/>
      <c r="J47" s="101">
        <f>ROUND(13554.6/4,0)</f>
        <v>3389</v>
      </c>
      <c r="K47" s="103">
        <f>J47</f>
        <v>3389</v>
      </c>
      <c r="L47" s="102">
        <f>K47</f>
        <v>3389</v>
      </c>
      <c r="M47" s="103">
        <f>L47</f>
        <v>3389</v>
      </c>
      <c r="N47" s="103">
        <f>ROUND(M47*(1+取值表!$D$2)*取值表!$I$2,0)</f>
        <v>3368</v>
      </c>
      <c r="O47" s="103">
        <f>N47</f>
        <v>3368</v>
      </c>
      <c r="P47" s="103">
        <f t="shared" ref="P47:Q47" si="1186">O47</f>
        <v>3368</v>
      </c>
      <c r="Q47" s="103">
        <f t="shared" si="1186"/>
        <v>3368</v>
      </c>
      <c r="R47" s="278">
        <f>ROUND(Q47*(1+取值表!$D$2),0)</f>
        <v>3557</v>
      </c>
      <c r="S47" s="103">
        <f t="shared" ref="S47:U47" si="1187">R47</f>
        <v>3557</v>
      </c>
      <c r="T47" s="103">
        <f t="shared" si="1187"/>
        <v>3557</v>
      </c>
      <c r="U47" s="103">
        <f t="shared" si="1187"/>
        <v>3557</v>
      </c>
      <c r="V47" s="103">
        <f>ROUND(U47*(1+取值表!$D$2),0)</f>
        <v>3756</v>
      </c>
      <c r="W47" s="103">
        <f t="shared" ref="W47:Y47" si="1188">V47</f>
        <v>3756</v>
      </c>
      <c r="X47" s="103">
        <f t="shared" si="1188"/>
        <v>3756</v>
      </c>
      <c r="Y47" s="103">
        <f t="shared" si="1188"/>
        <v>3756</v>
      </c>
      <c r="Z47" s="103">
        <f>ROUND(Y47*(1+取值表!$D$2),0)</f>
        <v>3966</v>
      </c>
      <c r="AA47" s="103">
        <f t="shared" ref="AA47" si="1189">Z47</f>
        <v>3966</v>
      </c>
      <c r="AB47" s="103">
        <f t="shared" ref="AB47" si="1190">AA47</f>
        <v>3966</v>
      </c>
      <c r="AC47" s="103">
        <f t="shared" ref="AC47" si="1191">AB47</f>
        <v>3966</v>
      </c>
      <c r="AD47" s="103">
        <f>ROUND(AC47*(1+取值表!$D$2),0)</f>
        <v>4188</v>
      </c>
      <c r="AE47" s="103">
        <f t="shared" ref="AE47" si="1192">AD47</f>
        <v>4188</v>
      </c>
      <c r="AF47" s="103">
        <f t="shared" ref="AF47" si="1193">AE47</f>
        <v>4188</v>
      </c>
      <c r="AG47" s="103">
        <f t="shared" ref="AG47" si="1194">AF47</f>
        <v>4188</v>
      </c>
      <c r="AH47" s="103">
        <f>ROUND(AG47*(1+取值表!$D$2),0)</f>
        <v>4423</v>
      </c>
      <c r="AI47" s="103">
        <f t="shared" ref="AI47" si="1195">AH47</f>
        <v>4423</v>
      </c>
      <c r="AJ47" s="103">
        <f t="shared" ref="AJ47" si="1196">AI47</f>
        <v>4423</v>
      </c>
      <c r="AK47" s="103">
        <f t="shared" ref="AK47" si="1197">AJ47</f>
        <v>4423</v>
      </c>
      <c r="AL47" s="103">
        <f>ROUND(AK47*(1+取值表!$D$2),0)</f>
        <v>4671</v>
      </c>
      <c r="AM47" s="103">
        <f t="shared" ref="AM47" si="1198">AL47</f>
        <v>4671</v>
      </c>
      <c r="AN47" s="103">
        <f t="shared" ref="AN47" si="1199">AM47</f>
        <v>4671</v>
      </c>
      <c r="AO47" s="103">
        <f t="shared" ref="AO47" si="1200">AN47</f>
        <v>4671</v>
      </c>
      <c r="AP47" s="103">
        <f>ROUND(AO47*(1+取值表!$D$2),0)</f>
        <v>4933</v>
      </c>
      <c r="AQ47" s="103">
        <f t="shared" ref="AQ47" si="1201">AP47</f>
        <v>4933</v>
      </c>
      <c r="AR47" s="103">
        <f t="shared" ref="AR47" si="1202">AQ47</f>
        <v>4933</v>
      </c>
      <c r="AS47" s="103">
        <f t="shared" ref="AS47" si="1203">AR47</f>
        <v>4933</v>
      </c>
      <c r="AT47" s="103">
        <f>ROUND(AS47*(1+取值表!$D$2),0)</f>
        <v>5209</v>
      </c>
      <c r="AU47" s="103">
        <f t="shared" ref="AU47" si="1204">AT47</f>
        <v>5209</v>
      </c>
      <c r="AV47" s="103">
        <f t="shared" ref="AV47" si="1205">AU47</f>
        <v>5209</v>
      </c>
      <c r="AW47" s="103">
        <f t="shared" ref="AW47" si="1206">AV47</f>
        <v>5209</v>
      </c>
      <c r="AX47" s="103">
        <f>ROUND(AW47*(1+取值表!$D$2),0)</f>
        <v>5501</v>
      </c>
      <c r="AY47" s="103">
        <f t="shared" ref="AY47" si="1207">AX47</f>
        <v>5501</v>
      </c>
      <c r="AZ47" s="103">
        <f t="shared" ref="AZ47" si="1208">AY47</f>
        <v>5501</v>
      </c>
      <c r="BA47" s="103">
        <f t="shared" ref="BA47" si="1209">AZ47</f>
        <v>5501</v>
      </c>
      <c r="BB47" s="103">
        <f>ROUND(BA47*(1+取值表!$D$2),0)</f>
        <v>5809</v>
      </c>
      <c r="BC47" s="103">
        <f t="shared" ref="BC47" si="1210">BB47</f>
        <v>5809</v>
      </c>
      <c r="BD47" s="103">
        <f t="shared" ref="BD47" si="1211">BC47</f>
        <v>5809</v>
      </c>
      <c r="BE47" s="103">
        <f t="shared" ref="BE47" si="1212">BD47</f>
        <v>5809</v>
      </c>
      <c r="BF47" s="103">
        <f>ROUND(BE47*(1+取值表!$D$2),0)</f>
        <v>6134</v>
      </c>
      <c r="BG47" s="103">
        <f t="shared" ref="BG47" si="1213">BF47</f>
        <v>6134</v>
      </c>
      <c r="BH47" s="103">
        <f t="shared" ref="BH47" si="1214">BG47</f>
        <v>6134</v>
      </c>
      <c r="BI47" s="103">
        <f t="shared" ref="BI47" si="1215">BH47</f>
        <v>6134</v>
      </c>
      <c r="BJ47" s="103">
        <f>ROUND(BI47*(1+取值表!$D$2),0)</f>
        <v>6478</v>
      </c>
      <c r="BK47" s="103">
        <f t="shared" ref="BK47" si="1216">BJ47</f>
        <v>6478</v>
      </c>
      <c r="BL47" s="103">
        <f t="shared" ref="BL47" si="1217">BK47</f>
        <v>6478</v>
      </c>
      <c r="BM47" s="103">
        <f t="shared" ref="BM47" si="1218">BL47</f>
        <v>6478</v>
      </c>
      <c r="BN47" s="103">
        <f>ROUND(BM47*(1+取值表!$D$2),0)</f>
        <v>6841</v>
      </c>
      <c r="BO47" s="103">
        <f t="shared" ref="BO47" si="1219">BN47</f>
        <v>6841</v>
      </c>
      <c r="BP47" s="103">
        <f t="shared" ref="BP47" si="1220">BO47</f>
        <v>6841</v>
      </c>
      <c r="BQ47" s="103">
        <f t="shared" ref="BQ47" si="1221">BP47</f>
        <v>6841</v>
      </c>
      <c r="BR47" s="103">
        <f>ROUND(BQ47*(1+取值表!$D$2),0)</f>
        <v>7224</v>
      </c>
      <c r="BS47" s="103">
        <f t="shared" ref="BS47" si="1222">BR47</f>
        <v>7224</v>
      </c>
      <c r="BT47" s="103">
        <f t="shared" ref="BT47" si="1223">BS47</f>
        <v>7224</v>
      </c>
      <c r="BU47" s="103">
        <f t="shared" ref="BU47" si="1224">BT47</f>
        <v>7224</v>
      </c>
      <c r="BV47" s="103">
        <f>ROUND(BU47*(1+取值表!$D$2),0)</f>
        <v>7629</v>
      </c>
      <c r="BW47" s="103">
        <f t="shared" ref="BW47" si="1225">BV47</f>
        <v>7629</v>
      </c>
      <c r="BX47" s="103">
        <f t="shared" ref="BX47" si="1226">BW47</f>
        <v>7629</v>
      </c>
      <c r="BY47" s="103">
        <f t="shared" ref="BY47" si="1227">BX47</f>
        <v>7629</v>
      </c>
      <c r="BZ47" s="103">
        <f>ROUND(BY47*(1+取值表!$D$2),0)</f>
        <v>8056</v>
      </c>
      <c r="CA47" s="103">
        <f t="shared" ref="CA47" si="1228">BZ47</f>
        <v>8056</v>
      </c>
      <c r="CB47" s="103">
        <f t="shared" ref="CB47" si="1229">CA47</f>
        <v>8056</v>
      </c>
      <c r="CC47" s="103">
        <f t="shared" ref="CC47" si="1230">CB47</f>
        <v>8056</v>
      </c>
      <c r="CD47" s="103">
        <f>ROUND(CC47*(1+取值表!$D$2),0)</f>
        <v>8507</v>
      </c>
      <c r="CE47" s="103">
        <f t="shared" ref="CE47" si="1231">CD47</f>
        <v>8507</v>
      </c>
      <c r="CF47" s="103">
        <f t="shared" ref="CF47" si="1232">CE47</f>
        <v>8507</v>
      </c>
      <c r="CG47" s="103">
        <f t="shared" ref="CG47" si="1233">CF47</f>
        <v>8507</v>
      </c>
      <c r="CH47" s="103">
        <f>ROUND(CG47*(1+取值表!$D$2),0)</f>
        <v>8983</v>
      </c>
      <c r="CI47" s="103">
        <f t="shared" ref="CI47" si="1234">CH47</f>
        <v>8983</v>
      </c>
      <c r="CJ47" s="103">
        <f t="shared" ref="CJ47" si="1235">CI47</f>
        <v>8983</v>
      </c>
      <c r="CK47" s="103">
        <f t="shared" ref="CK47" si="1236">CJ47</f>
        <v>8983</v>
      </c>
      <c r="CL47" s="103">
        <f>ROUND(CK47*(1+取值表!$D$2),0)</f>
        <v>9486</v>
      </c>
      <c r="CM47" s="103">
        <f t="shared" ref="CM47" si="1237">CL47</f>
        <v>9486</v>
      </c>
      <c r="CN47" s="103">
        <f t="shared" ref="CN47" si="1238">CM47</f>
        <v>9486</v>
      </c>
      <c r="CO47" s="103">
        <f t="shared" ref="CO47" si="1239">CN47</f>
        <v>9486</v>
      </c>
      <c r="CP47" s="104">
        <f t="shared" si="861"/>
        <v>488432</v>
      </c>
    </row>
    <row r="48" spans="1:94" s="58" customFormat="1" ht="12" customHeight="1">
      <c r="A48" s="546"/>
      <c r="B48" s="550"/>
      <c r="C48" s="548"/>
      <c r="D48" s="549"/>
      <c r="E48" s="547"/>
      <c r="F48" s="562"/>
      <c r="G48" s="562"/>
      <c r="H48" s="563"/>
      <c r="I48" s="99"/>
      <c r="J48" s="101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>
        <f>ROUND(U48*(1+取值表!$D$2),0)</f>
        <v>0</v>
      </c>
      <c r="W48" s="103"/>
      <c r="X48" s="103"/>
      <c r="Y48" s="103"/>
      <c r="Z48" s="103">
        <f>ROUND(Y48*(1+取值表!$D$2),0)</f>
        <v>0</v>
      </c>
      <c r="AA48" s="103"/>
      <c r="AB48" s="103"/>
      <c r="AC48" s="103"/>
      <c r="AD48" s="103">
        <f>ROUND(AC48*(1+取值表!$D$2),0)</f>
        <v>0</v>
      </c>
      <c r="AE48" s="103"/>
      <c r="AF48" s="103"/>
      <c r="AG48" s="103"/>
      <c r="AH48" s="103">
        <f>ROUND(AG48*(1+取值表!$D$2),0)</f>
        <v>0</v>
      </c>
      <c r="AI48" s="103"/>
      <c r="AJ48" s="103"/>
      <c r="AK48" s="103"/>
      <c r="AL48" s="103">
        <f>ROUND(AK48*(1+取值表!$D$2),0)</f>
        <v>0</v>
      </c>
      <c r="AM48" s="103"/>
      <c r="AN48" s="103"/>
      <c r="AO48" s="103"/>
      <c r="AP48" s="103">
        <f>ROUND(AO48*(1+取值表!$D$2),0)</f>
        <v>0</v>
      </c>
      <c r="AQ48" s="103"/>
      <c r="AR48" s="103"/>
      <c r="AS48" s="103"/>
      <c r="AT48" s="103">
        <f>ROUND(AS48*(1+取值表!$D$2),0)</f>
        <v>0</v>
      </c>
      <c r="AU48" s="103"/>
      <c r="AV48" s="103"/>
      <c r="AW48" s="103"/>
      <c r="AX48" s="103">
        <f>ROUND(AW48*(1+取值表!$D$2),0)</f>
        <v>0</v>
      </c>
      <c r="AY48" s="103"/>
      <c r="AZ48" s="103"/>
      <c r="BA48" s="103"/>
      <c r="BB48" s="103">
        <f>ROUND(BA48*(1+取值表!$D$2),0)</f>
        <v>0</v>
      </c>
      <c r="BC48" s="103"/>
      <c r="BD48" s="103"/>
      <c r="BE48" s="103"/>
      <c r="BF48" s="103">
        <f>ROUND(BE48*(1+取值表!$D$2),0)</f>
        <v>0</v>
      </c>
      <c r="BG48" s="103"/>
      <c r="BH48" s="103"/>
      <c r="BI48" s="103"/>
      <c r="BJ48" s="103">
        <f>ROUND(BI48*(1+取值表!$D$2),0)</f>
        <v>0</v>
      </c>
      <c r="BK48" s="103"/>
      <c r="BL48" s="103"/>
      <c r="BM48" s="103"/>
      <c r="BN48" s="103">
        <f>ROUND(BM48*(1+取值表!$D$2),0)</f>
        <v>0</v>
      </c>
      <c r="BO48" s="103"/>
      <c r="BP48" s="103"/>
      <c r="BQ48" s="103"/>
      <c r="BR48" s="103">
        <f>ROUND(BQ48*(1+取值表!$D$2),0)</f>
        <v>0</v>
      </c>
      <c r="BS48" s="103"/>
      <c r="BT48" s="103"/>
      <c r="BU48" s="103"/>
      <c r="BV48" s="103">
        <f>ROUND(BU48*(1+取值表!$D$2),0)</f>
        <v>0</v>
      </c>
      <c r="BW48" s="103"/>
      <c r="BX48" s="103"/>
      <c r="BY48" s="103"/>
      <c r="BZ48" s="103">
        <f>ROUND(BY48*(1+取值表!$D$2),0)</f>
        <v>0</v>
      </c>
      <c r="CA48" s="103"/>
      <c r="CB48" s="103"/>
      <c r="CC48" s="103"/>
      <c r="CD48" s="103">
        <f>ROUND(CC48*(1+取值表!$D$2),0)</f>
        <v>0</v>
      </c>
      <c r="CE48" s="103"/>
      <c r="CF48" s="103"/>
      <c r="CG48" s="103"/>
      <c r="CH48" s="103">
        <f>ROUND(CG48*(1+取值表!$D$2),0)</f>
        <v>0</v>
      </c>
      <c r="CI48" s="103"/>
      <c r="CJ48" s="103"/>
      <c r="CK48" s="103"/>
      <c r="CL48" s="103">
        <f>ROUND(CK48*(1+取值表!$D$2),0)</f>
        <v>0</v>
      </c>
      <c r="CM48" s="103"/>
      <c r="CN48" s="103"/>
      <c r="CO48" s="103"/>
      <c r="CP48" s="104">
        <f t="shared" si="861"/>
        <v>0</v>
      </c>
    </row>
    <row r="49" spans="1:211" s="58" customFormat="1" ht="12" customHeight="1">
      <c r="A49" s="546">
        <v>24</v>
      </c>
      <c r="B49" s="550" t="s">
        <v>929</v>
      </c>
      <c r="C49" s="548" t="s">
        <v>901</v>
      </c>
      <c r="D49" s="549" t="s">
        <v>415</v>
      </c>
      <c r="E49" s="547" t="s">
        <v>398</v>
      </c>
      <c r="F49" s="562">
        <v>16.13</v>
      </c>
      <c r="G49" s="562">
        <f>H49/365/F49</f>
        <v>3.1232876712328768</v>
      </c>
      <c r="H49" s="563">
        <v>18388.2</v>
      </c>
      <c r="I49" s="99"/>
      <c r="J49" s="101">
        <f>ROUND(18388.2/4,0)</f>
        <v>4597</v>
      </c>
      <c r="K49" s="102">
        <f>J49</f>
        <v>4597</v>
      </c>
      <c r="L49" s="103">
        <f>K49</f>
        <v>4597</v>
      </c>
      <c r="M49" s="103">
        <f>L49</f>
        <v>4597</v>
      </c>
      <c r="N49" s="103">
        <f>ROUND(M49*(1+取值表!$D$2)*取值表!$I$2,0)</f>
        <v>4568</v>
      </c>
      <c r="O49" s="103">
        <f>N49</f>
        <v>4568</v>
      </c>
      <c r="P49" s="103">
        <f t="shared" ref="P49:Q49" si="1240">O49</f>
        <v>4568</v>
      </c>
      <c r="Q49" s="103">
        <f t="shared" si="1240"/>
        <v>4568</v>
      </c>
      <c r="R49" s="278">
        <f>ROUND(Q49*(1+取值表!$D$2),0)</f>
        <v>4824</v>
      </c>
      <c r="S49" s="103">
        <f t="shared" ref="S49:U49" si="1241">R49</f>
        <v>4824</v>
      </c>
      <c r="T49" s="103">
        <f t="shared" si="1241"/>
        <v>4824</v>
      </c>
      <c r="U49" s="103">
        <f t="shared" si="1241"/>
        <v>4824</v>
      </c>
      <c r="V49" s="103">
        <f>ROUND(U49*(1+取值表!$D$2),0)</f>
        <v>5094</v>
      </c>
      <c r="W49" s="103">
        <f t="shared" ref="W49:Y49" si="1242">V49</f>
        <v>5094</v>
      </c>
      <c r="X49" s="103">
        <f t="shared" si="1242"/>
        <v>5094</v>
      </c>
      <c r="Y49" s="103">
        <f t="shared" si="1242"/>
        <v>5094</v>
      </c>
      <c r="Z49" s="103">
        <f>ROUND(Y49*(1+取值表!$D$2),0)</f>
        <v>5379</v>
      </c>
      <c r="AA49" s="103">
        <f t="shared" ref="AA49" si="1243">Z49</f>
        <v>5379</v>
      </c>
      <c r="AB49" s="103">
        <f t="shared" ref="AB49" si="1244">AA49</f>
        <v>5379</v>
      </c>
      <c r="AC49" s="103">
        <f t="shared" ref="AC49" si="1245">AB49</f>
        <v>5379</v>
      </c>
      <c r="AD49" s="103">
        <f>ROUND(AC49*(1+取值表!$D$2),0)</f>
        <v>5680</v>
      </c>
      <c r="AE49" s="103">
        <f t="shared" ref="AE49" si="1246">AD49</f>
        <v>5680</v>
      </c>
      <c r="AF49" s="103">
        <f t="shared" ref="AF49" si="1247">AE49</f>
        <v>5680</v>
      </c>
      <c r="AG49" s="103">
        <f t="shared" ref="AG49" si="1248">AF49</f>
        <v>5680</v>
      </c>
      <c r="AH49" s="103">
        <f>ROUND(AG49*(1+取值表!$D$2),0)</f>
        <v>5998</v>
      </c>
      <c r="AI49" s="103">
        <f t="shared" ref="AI49" si="1249">AH49</f>
        <v>5998</v>
      </c>
      <c r="AJ49" s="103">
        <f t="shared" ref="AJ49" si="1250">AI49</f>
        <v>5998</v>
      </c>
      <c r="AK49" s="103">
        <f t="shared" ref="AK49" si="1251">AJ49</f>
        <v>5998</v>
      </c>
      <c r="AL49" s="103">
        <f>ROUND(AK49*(1+取值表!$D$2),0)</f>
        <v>6334</v>
      </c>
      <c r="AM49" s="103">
        <f t="shared" ref="AM49" si="1252">AL49</f>
        <v>6334</v>
      </c>
      <c r="AN49" s="103">
        <f t="shared" ref="AN49" si="1253">AM49</f>
        <v>6334</v>
      </c>
      <c r="AO49" s="103">
        <f t="shared" ref="AO49" si="1254">AN49</f>
        <v>6334</v>
      </c>
      <c r="AP49" s="103">
        <f>ROUND(AO49*(1+取值表!$D$2),0)</f>
        <v>6689</v>
      </c>
      <c r="AQ49" s="103">
        <f t="shared" ref="AQ49" si="1255">AP49</f>
        <v>6689</v>
      </c>
      <c r="AR49" s="103">
        <f t="shared" ref="AR49" si="1256">AQ49</f>
        <v>6689</v>
      </c>
      <c r="AS49" s="103">
        <f t="shared" ref="AS49" si="1257">AR49</f>
        <v>6689</v>
      </c>
      <c r="AT49" s="103">
        <f>ROUND(AS49*(1+取值表!$D$2),0)</f>
        <v>7064</v>
      </c>
      <c r="AU49" s="103">
        <f t="shared" ref="AU49" si="1258">AT49</f>
        <v>7064</v>
      </c>
      <c r="AV49" s="103">
        <f t="shared" ref="AV49" si="1259">AU49</f>
        <v>7064</v>
      </c>
      <c r="AW49" s="103">
        <f t="shared" ref="AW49" si="1260">AV49</f>
        <v>7064</v>
      </c>
      <c r="AX49" s="103">
        <f>ROUND(AW49*(1+取值表!$D$2),0)</f>
        <v>7460</v>
      </c>
      <c r="AY49" s="103">
        <f t="shared" ref="AY49" si="1261">AX49</f>
        <v>7460</v>
      </c>
      <c r="AZ49" s="103">
        <f t="shared" ref="AZ49" si="1262">AY49</f>
        <v>7460</v>
      </c>
      <c r="BA49" s="103">
        <f t="shared" ref="BA49" si="1263">AZ49</f>
        <v>7460</v>
      </c>
      <c r="BB49" s="103">
        <f>ROUND(BA49*(1+取值表!$D$2),0)</f>
        <v>7878</v>
      </c>
      <c r="BC49" s="103">
        <f t="shared" ref="BC49" si="1264">BB49</f>
        <v>7878</v>
      </c>
      <c r="BD49" s="103">
        <f t="shared" ref="BD49" si="1265">BC49</f>
        <v>7878</v>
      </c>
      <c r="BE49" s="103">
        <f t="shared" ref="BE49" si="1266">BD49</f>
        <v>7878</v>
      </c>
      <c r="BF49" s="103">
        <f>ROUND(BE49*(1+取值表!$D$2),0)</f>
        <v>8319</v>
      </c>
      <c r="BG49" s="103">
        <f t="shared" ref="BG49" si="1267">BF49</f>
        <v>8319</v>
      </c>
      <c r="BH49" s="103">
        <f t="shared" ref="BH49" si="1268">BG49</f>
        <v>8319</v>
      </c>
      <c r="BI49" s="103">
        <f t="shared" ref="BI49" si="1269">BH49</f>
        <v>8319</v>
      </c>
      <c r="BJ49" s="103">
        <f>ROUND(BI49*(1+取值表!$D$2),0)</f>
        <v>8785</v>
      </c>
      <c r="BK49" s="103">
        <f t="shared" ref="BK49" si="1270">BJ49</f>
        <v>8785</v>
      </c>
      <c r="BL49" s="103">
        <f t="shared" ref="BL49" si="1271">BK49</f>
        <v>8785</v>
      </c>
      <c r="BM49" s="103">
        <f t="shared" ref="BM49" si="1272">BL49</f>
        <v>8785</v>
      </c>
      <c r="BN49" s="103">
        <f>ROUND(BM49*(1+取值表!$D$2),0)</f>
        <v>9277</v>
      </c>
      <c r="BO49" s="103">
        <f t="shared" ref="BO49" si="1273">BN49</f>
        <v>9277</v>
      </c>
      <c r="BP49" s="103">
        <f t="shared" ref="BP49" si="1274">BO49</f>
        <v>9277</v>
      </c>
      <c r="BQ49" s="103">
        <f t="shared" ref="BQ49" si="1275">BP49</f>
        <v>9277</v>
      </c>
      <c r="BR49" s="103">
        <f>ROUND(BQ49*(1+取值表!$D$2),0)</f>
        <v>9797</v>
      </c>
      <c r="BS49" s="103">
        <f t="shared" ref="BS49" si="1276">BR49</f>
        <v>9797</v>
      </c>
      <c r="BT49" s="103">
        <f t="shared" ref="BT49" si="1277">BS49</f>
        <v>9797</v>
      </c>
      <c r="BU49" s="103">
        <f t="shared" ref="BU49" si="1278">BT49</f>
        <v>9797</v>
      </c>
      <c r="BV49" s="103">
        <f>ROUND(BU49*(1+取值表!$D$2),0)</f>
        <v>10346</v>
      </c>
      <c r="BW49" s="103">
        <f t="shared" ref="BW49" si="1279">BV49</f>
        <v>10346</v>
      </c>
      <c r="BX49" s="103">
        <f t="shared" ref="BX49" si="1280">BW49</f>
        <v>10346</v>
      </c>
      <c r="BY49" s="103">
        <f t="shared" ref="BY49" si="1281">BX49</f>
        <v>10346</v>
      </c>
      <c r="BZ49" s="103">
        <f>ROUND(BY49*(1+取值表!$D$2),0)</f>
        <v>10925</v>
      </c>
      <c r="CA49" s="103">
        <f t="shared" ref="CA49" si="1282">BZ49</f>
        <v>10925</v>
      </c>
      <c r="CB49" s="103">
        <f t="shared" ref="CB49" si="1283">CA49</f>
        <v>10925</v>
      </c>
      <c r="CC49" s="103">
        <f t="shared" ref="CC49" si="1284">CB49</f>
        <v>10925</v>
      </c>
      <c r="CD49" s="103">
        <f>ROUND(CC49*(1+取值表!$D$2),0)</f>
        <v>11537</v>
      </c>
      <c r="CE49" s="103">
        <f t="shared" ref="CE49" si="1285">CD49</f>
        <v>11537</v>
      </c>
      <c r="CF49" s="103">
        <f t="shared" ref="CF49" si="1286">CE49</f>
        <v>11537</v>
      </c>
      <c r="CG49" s="103">
        <f t="shared" ref="CG49" si="1287">CF49</f>
        <v>11537</v>
      </c>
      <c r="CH49" s="103">
        <f>ROUND(CG49*(1+取值表!$D$2),0)</f>
        <v>12183</v>
      </c>
      <c r="CI49" s="103">
        <f t="shared" ref="CI49" si="1288">CH49</f>
        <v>12183</v>
      </c>
      <c r="CJ49" s="103">
        <f t="shared" ref="CJ49" si="1289">CI49</f>
        <v>12183</v>
      </c>
      <c r="CK49" s="103">
        <f t="shared" ref="CK49" si="1290">CJ49</f>
        <v>12183</v>
      </c>
      <c r="CL49" s="103">
        <f>ROUND(CK49*(1+取值表!$D$2),0)</f>
        <v>12865</v>
      </c>
      <c r="CM49" s="103">
        <f t="shared" ref="CM49" si="1291">CL49</f>
        <v>12865</v>
      </c>
      <c r="CN49" s="103">
        <f t="shared" ref="CN49" si="1292">CM49</f>
        <v>12865</v>
      </c>
      <c r="CO49" s="103">
        <f t="shared" ref="CO49" si="1293">CN49</f>
        <v>12865</v>
      </c>
      <c r="CP49" s="104">
        <f t="shared" si="861"/>
        <v>662396</v>
      </c>
    </row>
    <row r="50" spans="1:211" s="58" customFormat="1" ht="12.75" customHeight="1">
      <c r="A50" s="546"/>
      <c r="B50" s="550"/>
      <c r="C50" s="548"/>
      <c r="D50" s="549"/>
      <c r="E50" s="547"/>
      <c r="F50" s="562"/>
      <c r="G50" s="562"/>
      <c r="H50" s="563"/>
      <c r="I50" s="99"/>
      <c r="J50" s="101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>
        <f>ROUND(U50*(1+取值表!$D$2),0)</f>
        <v>0</v>
      </c>
      <c r="W50" s="103"/>
      <c r="X50" s="103"/>
      <c r="Y50" s="103"/>
      <c r="Z50" s="103">
        <f>ROUND(Y50*(1+取值表!$D$2),0)</f>
        <v>0</v>
      </c>
      <c r="AA50" s="103"/>
      <c r="AB50" s="103"/>
      <c r="AC50" s="103"/>
      <c r="AD50" s="103">
        <f>ROUND(AC50*(1+取值表!$D$2),0)</f>
        <v>0</v>
      </c>
      <c r="AE50" s="103"/>
      <c r="AF50" s="103"/>
      <c r="AG50" s="103"/>
      <c r="AH50" s="103">
        <f>ROUND(AG50*(1+取值表!$D$2),0)</f>
        <v>0</v>
      </c>
      <c r="AI50" s="103"/>
      <c r="AJ50" s="103"/>
      <c r="AK50" s="103"/>
      <c r="AL50" s="103">
        <f>ROUND(AK50*(1+取值表!$D$2),0)</f>
        <v>0</v>
      </c>
      <c r="AM50" s="103"/>
      <c r="AN50" s="103"/>
      <c r="AO50" s="103"/>
      <c r="AP50" s="103">
        <f>ROUND(AO50*(1+取值表!$D$2),0)</f>
        <v>0</v>
      </c>
      <c r="AQ50" s="103"/>
      <c r="AR50" s="103"/>
      <c r="AS50" s="103"/>
      <c r="AT50" s="103">
        <f>ROUND(AS50*(1+取值表!$D$2),0)</f>
        <v>0</v>
      </c>
      <c r="AU50" s="103"/>
      <c r="AV50" s="103"/>
      <c r="AW50" s="103"/>
      <c r="AX50" s="103">
        <f>ROUND(AW50*(1+取值表!$D$2),0)</f>
        <v>0</v>
      </c>
      <c r="AY50" s="103"/>
      <c r="AZ50" s="103"/>
      <c r="BA50" s="103"/>
      <c r="BB50" s="103">
        <f>ROUND(BA50*(1+取值表!$D$2),0)</f>
        <v>0</v>
      </c>
      <c r="BC50" s="103"/>
      <c r="BD50" s="103"/>
      <c r="BE50" s="103"/>
      <c r="BF50" s="103">
        <f>ROUND(BE50*(1+取值表!$D$2),0)</f>
        <v>0</v>
      </c>
      <c r="BG50" s="103"/>
      <c r="BH50" s="103"/>
      <c r="BI50" s="103"/>
      <c r="BJ50" s="103">
        <f>ROUND(BI50*(1+取值表!$D$2),0)</f>
        <v>0</v>
      </c>
      <c r="BK50" s="103"/>
      <c r="BL50" s="103"/>
      <c r="BM50" s="103"/>
      <c r="BN50" s="103">
        <f>ROUND(BM50*(1+取值表!$D$2),0)</f>
        <v>0</v>
      </c>
      <c r="BO50" s="103"/>
      <c r="BP50" s="103"/>
      <c r="BQ50" s="103"/>
      <c r="BR50" s="103">
        <f>ROUND(BQ50*(1+取值表!$D$2),0)</f>
        <v>0</v>
      </c>
      <c r="BS50" s="103"/>
      <c r="BT50" s="103"/>
      <c r="BU50" s="103"/>
      <c r="BV50" s="103">
        <f>ROUND(BU50*(1+取值表!$D$2),0)</f>
        <v>0</v>
      </c>
      <c r="BW50" s="103"/>
      <c r="BX50" s="103"/>
      <c r="BY50" s="103"/>
      <c r="BZ50" s="103">
        <f>ROUND(BY50*(1+取值表!$D$2),0)</f>
        <v>0</v>
      </c>
      <c r="CA50" s="103"/>
      <c r="CB50" s="103"/>
      <c r="CC50" s="103"/>
      <c r="CD50" s="103">
        <f>ROUND(CC50*(1+取值表!$D$2),0)</f>
        <v>0</v>
      </c>
      <c r="CE50" s="103"/>
      <c r="CF50" s="103"/>
      <c r="CG50" s="103"/>
      <c r="CH50" s="103">
        <f>ROUND(CG50*(1+取值表!$D$2),0)</f>
        <v>0</v>
      </c>
      <c r="CI50" s="103"/>
      <c r="CJ50" s="103"/>
      <c r="CK50" s="103"/>
      <c r="CL50" s="103">
        <f>ROUND(CK50*(1+取值表!$D$2),0)</f>
        <v>0</v>
      </c>
      <c r="CM50" s="103"/>
      <c r="CN50" s="103"/>
      <c r="CO50" s="103"/>
      <c r="CP50" s="104">
        <f t="shared" si="861"/>
        <v>0</v>
      </c>
    </row>
    <row r="51" spans="1:211" s="58" customFormat="1" ht="12" customHeight="1">
      <c r="A51" s="546">
        <v>25</v>
      </c>
      <c r="B51" s="550" t="s">
        <v>930</v>
      </c>
      <c r="C51" s="548" t="s">
        <v>931</v>
      </c>
      <c r="D51" s="549" t="s">
        <v>19</v>
      </c>
      <c r="E51" s="547" t="s">
        <v>398</v>
      </c>
      <c r="F51" s="562">
        <v>17.63</v>
      </c>
      <c r="G51" s="562">
        <f>H51/365/F51</f>
        <v>3.1232876712328772</v>
      </c>
      <c r="H51" s="563">
        <v>20098.2</v>
      </c>
      <c r="I51" s="99"/>
      <c r="J51" s="102">
        <f>ROUND(20098.2/4,0)</f>
        <v>5025</v>
      </c>
      <c r="K51" s="103">
        <f>J51</f>
        <v>5025</v>
      </c>
      <c r="L51" s="103">
        <f>K51</f>
        <v>5025</v>
      </c>
      <c r="M51" s="103">
        <f>L51</f>
        <v>5025</v>
      </c>
      <c r="N51" s="103">
        <f>ROUND(M51*(1+取值表!$D$2)*取值表!$I$2,0)</f>
        <v>4993</v>
      </c>
      <c r="O51" s="103">
        <f>N51</f>
        <v>4993</v>
      </c>
      <c r="P51" s="103">
        <f t="shared" ref="P51:Q51" si="1294">O51</f>
        <v>4993</v>
      </c>
      <c r="Q51" s="103">
        <f t="shared" si="1294"/>
        <v>4993</v>
      </c>
      <c r="R51" s="278">
        <f>ROUND(Q51*(1+取值表!$D$2),0)</f>
        <v>5273</v>
      </c>
      <c r="S51" s="103">
        <f t="shared" ref="S51:U51" si="1295">R51</f>
        <v>5273</v>
      </c>
      <c r="T51" s="103">
        <f t="shared" si="1295"/>
        <v>5273</v>
      </c>
      <c r="U51" s="103">
        <f t="shared" si="1295"/>
        <v>5273</v>
      </c>
      <c r="V51" s="103">
        <f>ROUND(U51*(1+取值表!$D$2),0)</f>
        <v>5568</v>
      </c>
      <c r="W51" s="103">
        <f t="shared" ref="W51:Y51" si="1296">V51</f>
        <v>5568</v>
      </c>
      <c r="X51" s="103">
        <f t="shared" si="1296"/>
        <v>5568</v>
      </c>
      <c r="Y51" s="103">
        <f t="shared" si="1296"/>
        <v>5568</v>
      </c>
      <c r="Z51" s="103">
        <f>ROUND(Y51*(1+取值表!$D$2),0)</f>
        <v>5880</v>
      </c>
      <c r="AA51" s="103">
        <f t="shared" ref="AA51" si="1297">Z51</f>
        <v>5880</v>
      </c>
      <c r="AB51" s="103">
        <f t="shared" ref="AB51" si="1298">AA51</f>
        <v>5880</v>
      </c>
      <c r="AC51" s="103">
        <f t="shared" ref="AC51" si="1299">AB51</f>
        <v>5880</v>
      </c>
      <c r="AD51" s="103">
        <f>ROUND(AC51*(1+取值表!$D$2),0)</f>
        <v>6209</v>
      </c>
      <c r="AE51" s="103">
        <f t="shared" ref="AE51" si="1300">AD51</f>
        <v>6209</v>
      </c>
      <c r="AF51" s="103">
        <f t="shared" ref="AF51" si="1301">AE51</f>
        <v>6209</v>
      </c>
      <c r="AG51" s="103">
        <f t="shared" ref="AG51" si="1302">AF51</f>
        <v>6209</v>
      </c>
      <c r="AH51" s="103">
        <f>ROUND(AG51*(1+取值表!$D$2),0)</f>
        <v>6557</v>
      </c>
      <c r="AI51" s="103">
        <f t="shared" ref="AI51" si="1303">AH51</f>
        <v>6557</v>
      </c>
      <c r="AJ51" s="103">
        <f t="shared" ref="AJ51" si="1304">AI51</f>
        <v>6557</v>
      </c>
      <c r="AK51" s="103">
        <f t="shared" ref="AK51" si="1305">AJ51</f>
        <v>6557</v>
      </c>
      <c r="AL51" s="103">
        <f>ROUND(AK51*(1+取值表!$D$2),0)</f>
        <v>6924</v>
      </c>
      <c r="AM51" s="103">
        <f t="shared" ref="AM51" si="1306">AL51</f>
        <v>6924</v>
      </c>
      <c r="AN51" s="103">
        <f t="shared" ref="AN51" si="1307">AM51</f>
        <v>6924</v>
      </c>
      <c r="AO51" s="103">
        <f t="shared" ref="AO51" si="1308">AN51</f>
        <v>6924</v>
      </c>
      <c r="AP51" s="103">
        <f>ROUND(AO51*(1+取值表!$D$2),0)</f>
        <v>7312</v>
      </c>
      <c r="AQ51" s="103">
        <f t="shared" ref="AQ51" si="1309">AP51</f>
        <v>7312</v>
      </c>
      <c r="AR51" s="103">
        <f t="shared" ref="AR51" si="1310">AQ51</f>
        <v>7312</v>
      </c>
      <c r="AS51" s="103">
        <f t="shared" ref="AS51" si="1311">AR51</f>
        <v>7312</v>
      </c>
      <c r="AT51" s="103">
        <f>ROUND(AS51*(1+取值表!$D$2),0)</f>
        <v>7721</v>
      </c>
      <c r="AU51" s="103">
        <f t="shared" ref="AU51" si="1312">AT51</f>
        <v>7721</v>
      </c>
      <c r="AV51" s="103">
        <f t="shared" ref="AV51" si="1313">AU51</f>
        <v>7721</v>
      </c>
      <c r="AW51" s="103">
        <f t="shared" ref="AW51" si="1314">AV51</f>
        <v>7721</v>
      </c>
      <c r="AX51" s="103">
        <f>ROUND(AW51*(1+取值表!$D$2),0)</f>
        <v>8153</v>
      </c>
      <c r="AY51" s="103">
        <f t="shared" ref="AY51" si="1315">AX51</f>
        <v>8153</v>
      </c>
      <c r="AZ51" s="103">
        <f t="shared" ref="AZ51" si="1316">AY51</f>
        <v>8153</v>
      </c>
      <c r="BA51" s="103">
        <f t="shared" ref="BA51" si="1317">AZ51</f>
        <v>8153</v>
      </c>
      <c r="BB51" s="103">
        <f>ROUND(BA51*(1+取值表!$D$2),0)</f>
        <v>8610</v>
      </c>
      <c r="BC51" s="103">
        <f t="shared" ref="BC51" si="1318">BB51</f>
        <v>8610</v>
      </c>
      <c r="BD51" s="103">
        <f t="shared" ref="BD51" si="1319">BC51</f>
        <v>8610</v>
      </c>
      <c r="BE51" s="103">
        <f t="shared" ref="BE51" si="1320">BD51</f>
        <v>8610</v>
      </c>
      <c r="BF51" s="103">
        <f>ROUND(BE51*(1+取值表!$D$2),0)</f>
        <v>9092</v>
      </c>
      <c r="BG51" s="103">
        <f t="shared" ref="BG51" si="1321">BF51</f>
        <v>9092</v>
      </c>
      <c r="BH51" s="103">
        <f t="shared" ref="BH51" si="1322">BG51</f>
        <v>9092</v>
      </c>
      <c r="BI51" s="103">
        <f t="shared" ref="BI51" si="1323">BH51</f>
        <v>9092</v>
      </c>
      <c r="BJ51" s="103">
        <f>ROUND(BI51*(1+取值表!$D$2),0)</f>
        <v>9601</v>
      </c>
      <c r="BK51" s="103">
        <f t="shared" ref="BK51" si="1324">BJ51</f>
        <v>9601</v>
      </c>
      <c r="BL51" s="103">
        <f t="shared" ref="BL51" si="1325">BK51</f>
        <v>9601</v>
      </c>
      <c r="BM51" s="103">
        <f t="shared" ref="BM51" si="1326">BL51</f>
        <v>9601</v>
      </c>
      <c r="BN51" s="103">
        <f>ROUND(BM51*(1+取值表!$D$2),0)</f>
        <v>10139</v>
      </c>
      <c r="BO51" s="103">
        <f t="shared" ref="BO51" si="1327">BN51</f>
        <v>10139</v>
      </c>
      <c r="BP51" s="103">
        <f t="shared" ref="BP51" si="1328">BO51</f>
        <v>10139</v>
      </c>
      <c r="BQ51" s="103">
        <f t="shared" ref="BQ51" si="1329">BP51</f>
        <v>10139</v>
      </c>
      <c r="BR51" s="103">
        <f>ROUND(BQ51*(1+取值表!$D$2),0)</f>
        <v>10707</v>
      </c>
      <c r="BS51" s="103">
        <f t="shared" ref="BS51" si="1330">BR51</f>
        <v>10707</v>
      </c>
      <c r="BT51" s="103">
        <f t="shared" ref="BT51" si="1331">BS51</f>
        <v>10707</v>
      </c>
      <c r="BU51" s="103">
        <f t="shared" ref="BU51" si="1332">BT51</f>
        <v>10707</v>
      </c>
      <c r="BV51" s="103">
        <f>ROUND(BU51*(1+取值表!$D$2),0)</f>
        <v>11307</v>
      </c>
      <c r="BW51" s="103">
        <f t="shared" ref="BW51" si="1333">BV51</f>
        <v>11307</v>
      </c>
      <c r="BX51" s="103">
        <f t="shared" ref="BX51" si="1334">BW51</f>
        <v>11307</v>
      </c>
      <c r="BY51" s="103">
        <f t="shared" ref="BY51" si="1335">BX51</f>
        <v>11307</v>
      </c>
      <c r="BZ51" s="103">
        <f>ROUND(BY51*(1+取值表!$D$2),0)</f>
        <v>11940</v>
      </c>
      <c r="CA51" s="103">
        <f t="shared" ref="CA51" si="1336">BZ51</f>
        <v>11940</v>
      </c>
      <c r="CB51" s="103">
        <f t="shared" ref="CB51" si="1337">CA51</f>
        <v>11940</v>
      </c>
      <c r="CC51" s="103">
        <f t="shared" ref="CC51" si="1338">CB51</f>
        <v>11940</v>
      </c>
      <c r="CD51" s="103">
        <f>ROUND(CC51*(1+取值表!$D$2),0)</f>
        <v>12609</v>
      </c>
      <c r="CE51" s="103">
        <f t="shared" ref="CE51" si="1339">CD51</f>
        <v>12609</v>
      </c>
      <c r="CF51" s="103">
        <f t="shared" ref="CF51" si="1340">CE51</f>
        <v>12609</v>
      </c>
      <c r="CG51" s="103">
        <f t="shared" ref="CG51" si="1341">CF51</f>
        <v>12609</v>
      </c>
      <c r="CH51" s="103">
        <f>ROUND(CG51*(1+取值表!$D$2),0)</f>
        <v>13315</v>
      </c>
      <c r="CI51" s="103">
        <f t="shared" ref="CI51" si="1342">CH51</f>
        <v>13315</v>
      </c>
      <c r="CJ51" s="103">
        <f t="shared" ref="CJ51" si="1343">CI51</f>
        <v>13315</v>
      </c>
      <c r="CK51" s="103">
        <f t="shared" ref="CK51" si="1344">CJ51</f>
        <v>13315</v>
      </c>
      <c r="CL51" s="103">
        <f>ROUND(CK51*(1+取值表!$D$2),0)</f>
        <v>14061</v>
      </c>
      <c r="CM51" s="103">
        <f t="shared" ref="CM51" si="1345">CL51</f>
        <v>14061</v>
      </c>
      <c r="CN51" s="103">
        <f t="shared" ref="CN51" si="1346">CM51</f>
        <v>14061</v>
      </c>
      <c r="CO51" s="103">
        <f t="shared" ref="CO51" si="1347">CN51</f>
        <v>14061</v>
      </c>
      <c r="CP51" s="104">
        <f t="shared" si="861"/>
        <v>723984</v>
      </c>
    </row>
    <row r="52" spans="1:211" s="58" customFormat="1" ht="12" customHeight="1">
      <c r="A52" s="546"/>
      <c r="B52" s="550"/>
      <c r="C52" s="548"/>
      <c r="D52" s="549"/>
      <c r="E52" s="547"/>
      <c r="F52" s="562"/>
      <c r="G52" s="562"/>
      <c r="H52" s="563"/>
      <c r="I52" s="99"/>
      <c r="J52" s="101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>
        <f>ROUND(U52*(1+取值表!$D$2),0)</f>
        <v>0</v>
      </c>
      <c r="W52" s="103"/>
      <c r="X52" s="103"/>
      <c r="Y52" s="103"/>
      <c r="Z52" s="103">
        <f>ROUND(Y52*(1+取值表!$D$2),0)</f>
        <v>0</v>
      </c>
      <c r="AA52" s="103"/>
      <c r="AB52" s="103"/>
      <c r="AC52" s="103"/>
      <c r="AD52" s="103">
        <f>ROUND(AC52*(1+取值表!$D$2),0)</f>
        <v>0</v>
      </c>
      <c r="AE52" s="103"/>
      <c r="AF52" s="103"/>
      <c r="AG52" s="103"/>
      <c r="AH52" s="103">
        <f>ROUND(AG52*(1+取值表!$D$2),0)</f>
        <v>0</v>
      </c>
      <c r="AI52" s="103"/>
      <c r="AJ52" s="103"/>
      <c r="AK52" s="103"/>
      <c r="AL52" s="103">
        <f>ROUND(AK52*(1+取值表!$D$2),0)</f>
        <v>0</v>
      </c>
      <c r="AM52" s="103"/>
      <c r="AN52" s="103"/>
      <c r="AO52" s="103"/>
      <c r="AP52" s="103">
        <f>ROUND(AO52*(1+取值表!$D$2),0)</f>
        <v>0</v>
      </c>
      <c r="AQ52" s="103"/>
      <c r="AR52" s="103"/>
      <c r="AS52" s="103"/>
      <c r="AT52" s="103">
        <f>ROUND(AS52*(1+取值表!$D$2),0)</f>
        <v>0</v>
      </c>
      <c r="AU52" s="103"/>
      <c r="AV52" s="103"/>
      <c r="AW52" s="103"/>
      <c r="AX52" s="103">
        <f>ROUND(AW52*(1+取值表!$D$2),0)</f>
        <v>0</v>
      </c>
      <c r="AY52" s="103"/>
      <c r="AZ52" s="103"/>
      <c r="BA52" s="103"/>
      <c r="BB52" s="103">
        <f>ROUND(BA52*(1+取值表!$D$2),0)</f>
        <v>0</v>
      </c>
      <c r="BC52" s="103"/>
      <c r="BD52" s="103"/>
      <c r="BE52" s="103"/>
      <c r="BF52" s="103">
        <f>ROUND(BE52*(1+取值表!$D$2),0)</f>
        <v>0</v>
      </c>
      <c r="BG52" s="103"/>
      <c r="BH52" s="103"/>
      <c r="BI52" s="103"/>
      <c r="BJ52" s="103">
        <f>ROUND(BI52*(1+取值表!$D$2),0)</f>
        <v>0</v>
      </c>
      <c r="BK52" s="103"/>
      <c r="BL52" s="103"/>
      <c r="BM52" s="103"/>
      <c r="BN52" s="103">
        <f>ROUND(BM52*(1+取值表!$D$2),0)</f>
        <v>0</v>
      </c>
      <c r="BO52" s="103"/>
      <c r="BP52" s="103"/>
      <c r="BQ52" s="103"/>
      <c r="BR52" s="103">
        <f>ROUND(BQ52*(1+取值表!$D$2),0)</f>
        <v>0</v>
      </c>
      <c r="BS52" s="103"/>
      <c r="BT52" s="103"/>
      <c r="BU52" s="103"/>
      <c r="BV52" s="103">
        <f>ROUND(BU52*(1+取值表!$D$2),0)</f>
        <v>0</v>
      </c>
      <c r="BW52" s="103"/>
      <c r="BX52" s="103"/>
      <c r="BY52" s="103"/>
      <c r="BZ52" s="103">
        <f>ROUND(BY52*(1+取值表!$D$2),0)</f>
        <v>0</v>
      </c>
      <c r="CA52" s="103"/>
      <c r="CB52" s="103"/>
      <c r="CC52" s="103"/>
      <c r="CD52" s="103">
        <f>ROUND(CC52*(1+取值表!$D$2),0)</f>
        <v>0</v>
      </c>
      <c r="CE52" s="103"/>
      <c r="CF52" s="103"/>
      <c r="CG52" s="103"/>
      <c r="CH52" s="103">
        <f>ROUND(CG52*(1+取值表!$D$2),0)</f>
        <v>0</v>
      </c>
      <c r="CI52" s="103"/>
      <c r="CJ52" s="103"/>
      <c r="CK52" s="103"/>
      <c r="CL52" s="103">
        <f>ROUND(CK52*(1+取值表!$D$2),0)</f>
        <v>0</v>
      </c>
      <c r="CM52" s="103"/>
      <c r="CN52" s="103"/>
      <c r="CO52" s="103"/>
      <c r="CP52" s="104">
        <f t="shared" si="861"/>
        <v>0</v>
      </c>
    </row>
    <row r="53" spans="1:211" s="58" customFormat="1" ht="12" customHeight="1">
      <c r="A53" s="546">
        <v>26</v>
      </c>
      <c r="B53" s="550" t="s">
        <v>932</v>
      </c>
      <c r="C53" s="548" t="s">
        <v>901</v>
      </c>
      <c r="D53" s="549" t="s">
        <v>416</v>
      </c>
      <c r="E53" s="547" t="s">
        <v>398</v>
      </c>
      <c r="F53" s="562">
        <v>17.63</v>
      </c>
      <c r="G53" s="562">
        <f>H53/365/F53</f>
        <v>3.1232876712328772</v>
      </c>
      <c r="H53" s="563">
        <v>20098.2</v>
      </c>
      <c r="I53" s="99"/>
      <c r="J53" s="101">
        <f>ROUND(20098.2/4,0)</f>
        <v>5025</v>
      </c>
      <c r="K53" s="102">
        <f>J53</f>
        <v>5025</v>
      </c>
      <c r="L53" s="103">
        <f>K53</f>
        <v>5025</v>
      </c>
      <c r="M53" s="103">
        <f>L53</f>
        <v>5025</v>
      </c>
      <c r="N53" s="103">
        <f>ROUND(M53*(1+取值表!$D$2)*取值表!$I$2,0)</f>
        <v>4993</v>
      </c>
      <c r="O53" s="103">
        <f>N53</f>
        <v>4993</v>
      </c>
      <c r="P53" s="103">
        <f t="shared" ref="P53:Q53" si="1348">O53</f>
        <v>4993</v>
      </c>
      <c r="Q53" s="103">
        <f t="shared" si="1348"/>
        <v>4993</v>
      </c>
      <c r="R53" s="278">
        <f>ROUND(Q53*(1+取值表!$D$2),0)</f>
        <v>5273</v>
      </c>
      <c r="S53" s="103">
        <f t="shared" ref="S53:U53" si="1349">R53</f>
        <v>5273</v>
      </c>
      <c r="T53" s="103">
        <f t="shared" si="1349"/>
        <v>5273</v>
      </c>
      <c r="U53" s="103">
        <f t="shared" si="1349"/>
        <v>5273</v>
      </c>
      <c r="V53" s="103">
        <f>ROUND(U53*(1+取值表!$D$2),0)</f>
        <v>5568</v>
      </c>
      <c r="W53" s="103">
        <f t="shared" ref="W53:Y53" si="1350">V53</f>
        <v>5568</v>
      </c>
      <c r="X53" s="103">
        <f t="shared" si="1350"/>
        <v>5568</v>
      </c>
      <c r="Y53" s="103">
        <f t="shared" si="1350"/>
        <v>5568</v>
      </c>
      <c r="Z53" s="103">
        <f>ROUND(Y53*(1+取值表!$D$2),0)</f>
        <v>5880</v>
      </c>
      <c r="AA53" s="103">
        <f t="shared" ref="AA53" si="1351">Z53</f>
        <v>5880</v>
      </c>
      <c r="AB53" s="103">
        <f t="shared" ref="AB53" si="1352">AA53</f>
        <v>5880</v>
      </c>
      <c r="AC53" s="103">
        <f t="shared" ref="AC53" si="1353">AB53</f>
        <v>5880</v>
      </c>
      <c r="AD53" s="103">
        <f>ROUND(AC53*(1+取值表!$D$2),0)</f>
        <v>6209</v>
      </c>
      <c r="AE53" s="103">
        <f t="shared" ref="AE53" si="1354">AD53</f>
        <v>6209</v>
      </c>
      <c r="AF53" s="103">
        <f t="shared" ref="AF53" si="1355">AE53</f>
        <v>6209</v>
      </c>
      <c r="AG53" s="103">
        <f t="shared" ref="AG53" si="1356">AF53</f>
        <v>6209</v>
      </c>
      <c r="AH53" s="103">
        <f>ROUND(AG53*(1+取值表!$D$2),0)</f>
        <v>6557</v>
      </c>
      <c r="AI53" s="103">
        <f t="shared" ref="AI53" si="1357">AH53</f>
        <v>6557</v>
      </c>
      <c r="AJ53" s="103">
        <f t="shared" ref="AJ53" si="1358">AI53</f>
        <v>6557</v>
      </c>
      <c r="AK53" s="103">
        <f t="shared" ref="AK53" si="1359">AJ53</f>
        <v>6557</v>
      </c>
      <c r="AL53" s="103">
        <f>ROUND(AK53*(1+取值表!$D$2),0)</f>
        <v>6924</v>
      </c>
      <c r="AM53" s="103">
        <f t="shared" ref="AM53" si="1360">AL53</f>
        <v>6924</v>
      </c>
      <c r="AN53" s="103">
        <f t="shared" ref="AN53" si="1361">AM53</f>
        <v>6924</v>
      </c>
      <c r="AO53" s="103">
        <f t="shared" ref="AO53" si="1362">AN53</f>
        <v>6924</v>
      </c>
      <c r="AP53" s="103">
        <f>ROUND(AO53*(1+取值表!$D$2),0)</f>
        <v>7312</v>
      </c>
      <c r="AQ53" s="103">
        <f t="shared" ref="AQ53" si="1363">AP53</f>
        <v>7312</v>
      </c>
      <c r="AR53" s="103">
        <f t="shared" ref="AR53" si="1364">AQ53</f>
        <v>7312</v>
      </c>
      <c r="AS53" s="103">
        <f t="shared" ref="AS53" si="1365">AR53</f>
        <v>7312</v>
      </c>
      <c r="AT53" s="103">
        <f>ROUND(AS53*(1+取值表!$D$2),0)</f>
        <v>7721</v>
      </c>
      <c r="AU53" s="103">
        <f t="shared" ref="AU53" si="1366">AT53</f>
        <v>7721</v>
      </c>
      <c r="AV53" s="103">
        <f t="shared" ref="AV53" si="1367">AU53</f>
        <v>7721</v>
      </c>
      <c r="AW53" s="103">
        <f t="shared" ref="AW53" si="1368">AV53</f>
        <v>7721</v>
      </c>
      <c r="AX53" s="103">
        <f>ROUND(AW53*(1+取值表!$D$2),0)</f>
        <v>8153</v>
      </c>
      <c r="AY53" s="103">
        <f t="shared" ref="AY53" si="1369">AX53</f>
        <v>8153</v>
      </c>
      <c r="AZ53" s="103">
        <f t="shared" ref="AZ53" si="1370">AY53</f>
        <v>8153</v>
      </c>
      <c r="BA53" s="103">
        <f t="shared" ref="BA53" si="1371">AZ53</f>
        <v>8153</v>
      </c>
      <c r="BB53" s="103">
        <f>ROUND(BA53*(1+取值表!$D$2),0)</f>
        <v>8610</v>
      </c>
      <c r="BC53" s="103">
        <f t="shared" ref="BC53" si="1372">BB53</f>
        <v>8610</v>
      </c>
      <c r="BD53" s="103">
        <f t="shared" ref="BD53" si="1373">BC53</f>
        <v>8610</v>
      </c>
      <c r="BE53" s="103">
        <f t="shared" ref="BE53" si="1374">BD53</f>
        <v>8610</v>
      </c>
      <c r="BF53" s="103">
        <f>ROUND(BE53*(1+取值表!$D$2),0)</f>
        <v>9092</v>
      </c>
      <c r="BG53" s="103">
        <f t="shared" ref="BG53" si="1375">BF53</f>
        <v>9092</v>
      </c>
      <c r="BH53" s="103">
        <f t="shared" ref="BH53" si="1376">BG53</f>
        <v>9092</v>
      </c>
      <c r="BI53" s="103">
        <f t="shared" ref="BI53" si="1377">BH53</f>
        <v>9092</v>
      </c>
      <c r="BJ53" s="103">
        <f>ROUND(BI53*(1+取值表!$D$2),0)</f>
        <v>9601</v>
      </c>
      <c r="BK53" s="103">
        <f t="shared" ref="BK53" si="1378">BJ53</f>
        <v>9601</v>
      </c>
      <c r="BL53" s="103">
        <f t="shared" ref="BL53" si="1379">BK53</f>
        <v>9601</v>
      </c>
      <c r="BM53" s="103">
        <f t="shared" ref="BM53" si="1380">BL53</f>
        <v>9601</v>
      </c>
      <c r="BN53" s="103">
        <f>ROUND(BM53*(1+取值表!$D$2),0)</f>
        <v>10139</v>
      </c>
      <c r="BO53" s="103">
        <f t="shared" ref="BO53" si="1381">BN53</f>
        <v>10139</v>
      </c>
      <c r="BP53" s="103">
        <f t="shared" ref="BP53" si="1382">BO53</f>
        <v>10139</v>
      </c>
      <c r="BQ53" s="103">
        <f t="shared" ref="BQ53" si="1383">BP53</f>
        <v>10139</v>
      </c>
      <c r="BR53" s="103">
        <f>ROUND(BQ53*(1+取值表!$D$2),0)</f>
        <v>10707</v>
      </c>
      <c r="BS53" s="103">
        <f t="shared" ref="BS53" si="1384">BR53</f>
        <v>10707</v>
      </c>
      <c r="BT53" s="103">
        <f t="shared" ref="BT53" si="1385">BS53</f>
        <v>10707</v>
      </c>
      <c r="BU53" s="103">
        <f t="shared" ref="BU53" si="1386">BT53</f>
        <v>10707</v>
      </c>
      <c r="BV53" s="103">
        <f>ROUND(BU53*(1+取值表!$D$2),0)</f>
        <v>11307</v>
      </c>
      <c r="BW53" s="103">
        <f t="shared" ref="BW53" si="1387">BV53</f>
        <v>11307</v>
      </c>
      <c r="BX53" s="103">
        <f t="shared" ref="BX53" si="1388">BW53</f>
        <v>11307</v>
      </c>
      <c r="BY53" s="103">
        <f t="shared" ref="BY53" si="1389">BX53</f>
        <v>11307</v>
      </c>
      <c r="BZ53" s="103">
        <f>ROUND(BY53*(1+取值表!$D$2),0)</f>
        <v>11940</v>
      </c>
      <c r="CA53" s="103">
        <f t="shared" ref="CA53" si="1390">BZ53</f>
        <v>11940</v>
      </c>
      <c r="CB53" s="103">
        <f t="shared" ref="CB53" si="1391">CA53</f>
        <v>11940</v>
      </c>
      <c r="CC53" s="103">
        <f t="shared" ref="CC53" si="1392">CB53</f>
        <v>11940</v>
      </c>
      <c r="CD53" s="103">
        <f>ROUND(CC53*(1+取值表!$D$2),0)</f>
        <v>12609</v>
      </c>
      <c r="CE53" s="103">
        <f t="shared" ref="CE53" si="1393">CD53</f>
        <v>12609</v>
      </c>
      <c r="CF53" s="103">
        <f t="shared" ref="CF53" si="1394">CE53</f>
        <v>12609</v>
      </c>
      <c r="CG53" s="103">
        <f t="shared" ref="CG53" si="1395">CF53</f>
        <v>12609</v>
      </c>
      <c r="CH53" s="103">
        <f>ROUND(CG53*(1+取值表!$D$2),0)</f>
        <v>13315</v>
      </c>
      <c r="CI53" s="103">
        <f t="shared" ref="CI53" si="1396">CH53</f>
        <v>13315</v>
      </c>
      <c r="CJ53" s="103">
        <f t="shared" ref="CJ53" si="1397">CI53</f>
        <v>13315</v>
      </c>
      <c r="CK53" s="103">
        <f t="shared" ref="CK53" si="1398">CJ53</f>
        <v>13315</v>
      </c>
      <c r="CL53" s="103">
        <f>ROUND(CK53*(1+取值表!$D$2),0)</f>
        <v>14061</v>
      </c>
      <c r="CM53" s="103">
        <f t="shared" ref="CM53" si="1399">CL53</f>
        <v>14061</v>
      </c>
      <c r="CN53" s="103">
        <f t="shared" ref="CN53" si="1400">CM53</f>
        <v>14061</v>
      </c>
      <c r="CO53" s="103">
        <f t="shared" ref="CO53" si="1401">CN53</f>
        <v>14061</v>
      </c>
      <c r="CP53" s="104">
        <f t="shared" si="861"/>
        <v>723984</v>
      </c>
    </row>
    <row r="54" spans="1:211" s="58" customFormat="1" ht="12.75">
      <c r="A54" s="546"/>
      <c r="B54" s="550"/>
      <c r="C54" s="548"/>
      <c r="D54" s="549"/>
      <c r="E54" s="547"/>
      <c r="F54" s="562"/>
      <c r="G54" s="562"/>
      <c r="H54" s="563"/>
      <c r="I54" s="99"/>
      <c r="J54" s="101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>
        <f>ROUND(U54*(1+取值表!$D$2),0)</f>
        <v>0</v>
      </c>
      <c r="W54" s="103"/>
      <c r="X54" s="103"/>
      <c r="Y54" s="103"/>
      <c r="Z54" s="103">
        <f>ROUND(Y54*(1+取值表!$D$2),0)</f>
        <v>0</v>
      </c>
      <c r="AA54" s="103"/>
      <c r="AB54" s="103"/>
      <c r="AC54" s="103"/>
      <c r="AD54" s="103">
        <f>ROUND(AC54*(1+取值表!$D$2),0)</f>
        <v>0</v>
      </c>
      <c r="AE54" s="103"/>
      <c r="AF54" s="103"/>
      <c r="AG54" s="103"/>
      <c r="AH54" s="103">
        <f>ROUND(AG54*(1+取值表!$D$2),0)</f>
        <v>0</v>
      </c>
      <c r="AI54" s="103"/>
      <c r="AJ54" s="103"/>
      <c r="AK54" s="103"/>
      <c r="AL54" s="103">
        <f>ROUND(AK54*(1+取值表!$D$2),0)</f>
        <v>0</v>
      </c>
      <c r="AM54" s="103"/>
      <c r="AN54" s="103"/>
      <c r="AO54" s="103"/>
      <c r="AP54" s="103">
        <f>ROUND(AO54*(1+取值表!$D$2),0)</f>
        <v>0</v>
      </c>
      <c r="AQ54" s="103"/>
      <c r="AR54" s="103"/>
      <c r="AS54" s="103"/>
      <c r="AT54" s="103">
        <f>ROUND(AS54*(1+取值表!$D$2),0)</f>
        <v>0</v>
      </c>
      <c r="AU54" s="103"/>
      <c r="AV54" s="103"/>
      <c r="AW54" s="103"/>
      <c r="AX54" s="103">
        <f>ROUND(AW54*(1+取值表!$D$2),0)</f>
        <v>0</v>
      </c>
      <c r="AY54" s="103"/>
      <c r="AZ54" s="103"/>
      <c r="BA54" s="103"/>
      <c r="BB54" s="103">
        <f>ROUND(BA54*(1+取值表!$D$2),0)</f>
        <v>0</v>
      </c>
      <c r="BC54" s="103"/>
      <c r="BD54" s="103"/>
      <c r="BE54" s="103"/>
      <c r="BF54" s="103">
        <f>ROUND(BE54*(1+取值表!$D$2),0)</f>
        <v>0</v>
      </c>
      <c r="BG54" s="103"/>
      <c r="BH54" s="103"/>
      <c r="BI54" s="103"/>
      <c r="BJ54" s="103">
        <f>ROUND(BI54*(1+取值表!$D$2),0)</f>
        <v>0</v>
      </c>
      <c r="BK54" s="103"/>
      <c r="BL54" s="103"/>
      <c r="BM54" s="103"/>
      <c r="BN54" s="103">
        <f>ROUND(BM54*(1+取值表!$D$2),0)</f>
        <v>0</v>
      </c>
      <c r="BO54" s="103"/>
      <c r="BP54" s="103"/>
      <c r="BQ54" s="103"/>
      <c r="BR54" s="103">
        <f>ROUND(BQ54*(1+取值表!$D$2),0)</f>
        <v>0</v>
      </c>
      <c r="BS54" s="103"/>
      <c r="BT54" s="103"/>
      <c r="BU54" s="103"/>
      <c r="BV54" s="103">
        <f>ROUND(BU54*(1+取值表!$D$2),0)</f>
        <v>0</v>
      </c>
      <c r="BW54" s="103"/>
      <c r="BX54" s="103"/>
      <c r="BY54" s="103"/>
      <c r="BZ54" s="103">
        <f>ROUND(BY54*(1+取值表!$D$2),0)</f>
        <v>0</v>
      </c>
      <c r="CA54" s="103"/>
      <c r="CB54" s="103"/>
      <c r="CC54" s="103"/>
      <c r="CD54" s="103">
        <f>ROUND(CC54*(1+取值表!$D$2),0)</f>
        <v>0</v>
      </c>
      <c r="CE54" s="103"/>
      <c r="CF54" s="103"/>
      <c r="CG54" s="103"/>
      <c r="CH54" s="103">
        <f>ROUND(CG54*(1+取值表!$D$2),0)</f>
        <v>0</v>
      </c>
      <c r="CI54" s="103"/>
      <c r="CJ54" s="103"/>
      <c r="CK54" s="103"/>
      <c r="CL54" s="103">
        <f>ROUND(CK54*(1+取值表!$D$2),0)</f>
        <v>0</v>
      </c>
      <c r="CM54" s="103"/>
      <c r="CN54" s="103"/>
      <c r="CO54" s="103"/>
      <c r="CP54" s="104">
        <f t="shared" si="861"/>
        <v>0</v>
      </c>
    </row>
    <row r="55" spans="1:211" s="58" customFormat="1" ht="12" customHeight="1">
      <c r="A55" s="546">
        <v>27</v>
      </c>
      <c r="B55" s="550" t="s">
        <v>933</v>
      </c>
      <c r="C55" s="548" t="s">
        <v>901</v>
      </c>
      <c r="D55" s="549" t="s">
        <v>417</v>
      </c>
      <c r="E55" s="547" t="s">
        <v>398</v>
      </c>
      <c r="F55" s="562">
        <v>28.21</v>
      </c>
      <c r="G55" s="562">
        <f>H55/365/F55</f>
        <v>3.1232876712328768</v>
      </c>
      <c r="H55" s="563">
        <v>32159.4</v>
      </c>
      <c r="I55" s="99"/>
      <c r="J55" s="102">
        <f>ROUND(G55*F55*365/4,0)</f>
        <v>8040</v>
      </c>
      <c r="K55" s="103">
        <f>J55</f>
        <v>8040</v>
      </c>
      <c r="L55" s="103">
        <f>K55</f>
        <v>8040</v>
      </c>
      <c r="M55" s="103">
        <f>L55</f>
        <v>8040</v>
      </c>
      <c r="N55" s="103">
        <f>ROUND(M55*(1+取值表!$D$2)*取值表!$I$2,0)</f>
        <v>7989</v>
      </c>
      <c r="O55" s="103">
        <f>N55</f>
        <v>7989</v>
      </c>
      <c r="P55" s="103">
        <f t="shared" ref="P55:Q55" si="1402">O55</f>
        <v>7989</v>
      </c>
      <c r="Q55" s="103">
        <f t="shared" si="1402"/>
        <v>7989</v>
      </c>
      <c r="R55" s="278">
        <f>ROUND(Q55*(1+取值表!$D$2),0)</f>
        <v>8436</v>
      </c>
      <c r="S55" s="103">
        <f t="shared" ref="S55:U55" si="1403">R55</f>
        <v>8436</v>
      </c>
      <c r="T55" s="103">
        <f t="shared" si="1403"/>
        <v>8436</v>
      </c>
      <c r="U55" s="103">
        <f t="shared" si="1403"/>
        <v>8436</v>
      </c>
      <c r="V55" s="103">
        <f>ROUND(U55*(1+取值表!$D$2),0)</f>
        <v>8908</v>
      </c>
      <c r="W55" s="103">
        <f t="shared" ref="W55:Y55" si="1404">V55</f>
        <v>8908</v>
      </c>
      <c r="X55" s="103">
        <f t="shared" si="1404"/>
        <v>8908</v>
      </c>
      <c r="Y55" s="103">
        <f t="shared" si="1404"/>
        <v>8908</v>
      </c>
      <c r="Z55" s="103">
        <f>ROUND(Y55*(1+取值表!$D$2),0)</f>
        <v>9407</v>
      </c>
      <c r="AA55" s="103">
        <f t="shared" ref="AA55" si="1405">Z55</f>
        <v>9407</v>
      </c>
      <c r="AB55" s="103">
        <f t="shared" ref="AB55" si="1406">AA55</f>
        <v>9407</v>
      </c>
      <c r="AC55" s="103">
        <f t="shared" ref="AC55" si="1407">AB55</f>
        <v>9407</v>
      </c>
      <c r="AD55" s="103">
        <f>ROUND(AC55*(1+取值表!$D$2),0)</f>
        <v>9934</v>
      </c>
      <c r="AE55" s="103">
        <f t="shared" ref="AE55" si="1408">AD55</f>
        <v>9934</v>
      </c>
      <c r="AF55" s="103">
        <f t="shared" ref="AF55" si="1409">AE55</f>
        <v>9934</v>
      </c>
      <c r="AG55" s="103">
        <f t="shared" ref="AG55" si="1410">AF55</f>
        <v>9934</v>
      </c>
      <c r="AH55" s="103">
        <f>ROUND(AG55*(1+取值表!$D$2),0)</f>
        <v>10490</v>
      </c>
      <c r="AI55" s="103">
        <f t="shared" ref="AI55" si="1411">AH55</f>
        <v>10490</v>
      </c>
      <c r="AJ55" s="103">
        <f t="shared" ref="AJ55" si="1412">AI55</f>
        <v>10490</v>
      </c>
      <c r="AK55" s="103">
        <f t="shared" ref="AK55" si="1413">AJ55</f>
        <v>10490</v>
      </c>
      <c r="AL55" s="103">
        <f>ROUND(AK55*(1+取值表!$D$2),0)</f>
        <v>11077</v>
      </c>
      <c r="AM55" s="103">
        <f t="shared" ref="AM55" si="1414">AL55</f>
        <v>11077</v>
      </c>
      <c r="AN55" s="103">
        <f t="shared" ref="AN55" si="1415">AM55</f>
        <v>11077</v>
      </c>
      <c r="AO55" s="103">
        <f t="shared" ref="AO55" si="1416">AN55</f>
        <v>11077</v>
      </c>
      <c r="AP55" s="103">
        <f>ROUND(AO55*(1+取值表!$D$2),0)</f>
        <v>11697</v>
      </c>
      <c r="AQ55" s="103">
        <f t="shared" ref="AQ55" si="1417">AP55</f>
        <v>11697</v>
      </c>
      <c r="AR55" s="103">
        <f t="shared" ref="AR55" si="1418">AQ55</f>
        <v>11697</v>
      </c>
      <c r="AS55" s="103">
        <f t="shared" ref="AS55" si="1419">AR55</f>
        <v>11697</v>
      </c>
      <c r="AT55" s="103">
        <f>ROUND(AS55*(1+取值表!$D$2),0)</f>
        <v>12352</v>
      </c>
      <c r="AU55" s="103">
        <f t="shared" ref="AU55" si="1420">AT55</f>
        <v>12352</v>
      </c>
      <c r="AV55" s="103">
        <f t="shared" ref="AV55" si="1421">AU55</f>
        <v>12352</v>
      </c>
      <c r="AW55" s="103">
        <f t="shared" ref="AW55" si="1422">AV55</f>
        <v>12352</v>
      </c>
      <c r="AX55" s="103">
        <f>ROUND(AW55*(1+取值表!$D$2),0)</f>
        <v>13044</v>
      </c>
      <c r="AY55" s="103">
        <f t="shared" ref="AY55" si="1423">AX55</f>
        <v>13044</v>
      </c>
      <c r="AZ55" s="103">
        <f t="shared" ref="AZ55" si="1424">AY55</f>
        <v>13044</v>
      </c>
      <c r="BA55" s="103">
        <f t="shared" ref="BA55" si="1425">AZ55</f>
        <v>13044</v>
      </c>
      <c r="BB55" s="103">
        <f>ROUND(BA55*(1+取值表!$D$2),0)</f>
        <v>13774</v>
      </c>
      <c r="BC55" s="103">
        <f t="shared" ref="BC55" si="1426">BB55</f>
        <v>13774</v>
      </c>
      <c r="BD55" s="103">
        <f t="shared" ref="BD55" si="1427">BC55</f>
        <v>13774</v>
      </c>
      <c r="BE55" s="103">
        <f t="shared" ref="BE55" si="1428">BD55</f>
        <v>13774</v>
      </c>
      <c r="BF55" s="103">
        <f>ROUND(BE55*(1+取值表!$D$2),0)</f>
        <v>14545</v>
      </c>
      <c r="BG55" s="103">
        <f t="shared" ref="BG55" si="1429">BF55</f>
        <v>14545</v>
      </c>
      <c r="BH55" s="103">
        <f t="shared" ref="BH55" si="1430">BG55</f>
        <v>14545</v>
      </c>
      <c r="BI55" s="103">
        <f t="shared" ref="BI55" si="1431">BH55</f>
        <v>14545</v>
      </c>
      <c r="BJ55" s="103">
        <f>ROUND(BI55*(1+取值表!$D$2),0)</f>
        <v>15360</v>
      </c>
      <c r="BK55" s="103">
        <f t="shared" ref="BK55" si="1432">BJ55</f>
        <v>15360</v>
      </c>
      <c r="BL55" s="103">
        <f t="shared" ref="BL55" si="1433">BK55</f>
        <v>15360</v>
      </c>
      <c r="BM55" s="103">
        <f t="shared" ref="BM55" si="1434">BL55</f>
        <v>15360</v>
      </c>
      <c r="BN55" s="103">
        <f>ROUND(BM55*(1+取值表!$D$2),0)</f>
        <v>16220</v>
      </c>
      <c r="BO55" s="103">
        <f t="shared" ref="BO55" si="1435">BN55</f>
        <v>16220</v>
      </c>
      <c r="BP55" s="103">
        <f t="shared" ref="BP55" si="1436">BO55</f>
        <v>16220</v>
      </c>
      <c r="BQ55" s="103">
        <f t="shared" ref="BQ55" si="1437">BP55</f>
        <v>16220</v>
      </c>
      <c r="BR55" s="103">
        <f>ROUND(BQ55*(1+取值表!$D$2),0)</f>
        <v>17128</v>
      </c>
      <c r="BS55" s="103">
        <f t="shared" ref="BS55" si="1438">BR55</f>
        <v>17128</v>
      </c>
      <c r="BT55" s="103">
        <f t="shared" ref="BT55" si="1439">BS55</f>
        <v>17128</v>
      </c>
      <c r="BU55" s="103">
        <f t="shared" ref="BU55" si="1440">BT55</f>
        <v>17128</v>
      </c>
      <c r="BV55" s="103">
        <f>ROUND(BU55*(1+取值表!$D$2),0)</f>
        <v>18087</v>
      </c>
      <c r="BW55" s="103">
        <f t="shared" ref="BW55" si="1441">BV55</f>
        <v>18087</v>
      </c>
      <c r="BX55" s="103">
        <f t="shared" ref="BX55" si="1442">BW55</f>
        <v>18087</v>
      </c>
      <c r="BY55" s="103">
        <f t="shared" ref="BY55" si="1443">BX55</f>
        <v>18087</v>
      </c>
      <c r="BZ55" s="103">
        <f>ROUND(BY55*(1+取值表!$D$2),0)</f>
        <v>19100</v>
      </c>
      <c r="CA55" s="103">
        <f t="shared" ref="CA55" si="1444">BZ55</f>
        <v>19100</v>
      </c>
      <c r="CB55" s="103">
        <f t="shared" ref="CB55" si="1445">CA55</f>
        <v>19100</v>
      </c>
      <c r="CC55" s="103">
        <f t="shared" ref="CC55" si="1446">CB55</f>
        <v>19100</v>
      </c>
      <c r="CD55" s="103">
        <f>ROUND(CC55*(1+取值表!$D$2),0)</f>
        <v>20170</v>
      </c>
      <c r="CE55" s="103">
        <f t="shared" ref="CE55" si="1447">CD55</f>
        <v>20170</v>
      </c>
      <c r="CF55" s="103">
        <f t="shared" ref="CF55" si="1448">CE55</f>
        <v>20170</v>
      </c>
      <c r="CG55" s="103">
        <f t="shared" ref="CG55" si="1449">CF55</f>
        <v>20170</v>
      </c>
      <c r="CH55" s="103">
        <f>ROUND(CG55*(1+取值表!$D$2),0)</f>
        <v>21300</v>
      </c>
      <c r="CI55" s="103">
        <f t="shared" ref="CI55" si="1450">CH55</f>
        <v>21300</v>
      </c>
      <c r="CJ55" s="103">
        <f t="shared" ref="CJ55" si="1451">CI55</f>
        <v>21300</v>
      </c>
      <c r="CK55" s="103">
        <f t="shared" ref="CK55" si="1452">CJ55</f>
        <v>21300</v>
      </c>
      <c r="CL55" s="103">
        <f>ROUND(CK55*(1+取值表!$D$2),0)</f>
        <v>22493</v>
      </c>
      <c r="CM55" s="103">
        <f t="shared" ref="CM55" si="1453">CL55</f>
        <v>22493</v>
      </c>
      <c r="CN55" s="103">
        <f t="shared" ref="CN55" si="1454">CM55</f>
        <v>22493</v>
      </c>
      <c r="CO55" s="103">
        <f t="shared" ref="CO55" si="1455">CN55</f>
        <v>22493</v>
      </c>
      <c r="CP55" s="104">
        <f t="shared" si="861"/>
        <v>1158204</v>
      </c>
    </row>
    <row r="56" spans="1:211" s="58" customFormat="1" ht="12.75">
      <c r="A56" s="546"/>
      <c r="B56" s="550"/>
      <c r="C56" s="548"/>
      <c r="D56" s="549"/>
      <c r="E56" s="547"/>
      <c r="F56" s="562"/>
      <c r="G56" s="562"/>
      <c r="H56" s="563"/>
      <c r="I56" s="99"/>
      <c r="J56" s="101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>
        <f>ROUND(U56*(1+取值表!$D$2),0)</f>
        <v>0</v>
      </c>
      <c r="W56" s="103"/>
      <c r="X56" s="103"/>
      <c r="Y56" s="103"/>
      <c r="Z56" s="103">
        <f>ROUND(Y56*(1+取值表!$D$2),0)</f>
        <v>0</v>
      </c>
      <c r="AA56" s="103"/>
      <c r="AB56" s="103"/>
      <c r="AC56" s="103"/>
      <c r="AD56" s="103">
        <f>ROUND(AC56*(1+取值表!$D$2),0)</f>
        <v>0</v>
      </c>
      <c r="AE56" s="103"/>
      <c r="AF56" s="103"/>
      <c r="AG56" s="103"/>
      <c r="AH56" s="103">
        <f>ROUND(AG56*(1+取值表!$D$2),0)</f>
        <v>0</v>
      </c>
      <c r="AI56" s="103"/>
      <c r="AJ56" s="103"/>
      <c r="AK56" s="103"/>
      <c r="AL56" s="103">
        <f>ROUND(AK56*(1+取值表!$D$2),0)</f>
        <v>0</v>
      </c>
      <c r="AM56" s="103"/>
      <c r="AN56" s="103"/>
      <c r="AO56" s="103"/>
      <c r="AP56" s="103">
        <f>ROUND(AO56*(1+取值表!$D$2),0)</f>
        <v>0</v>
      </c>
      <c r="AQ56" s="103"/>
      <c r="AR56" s="103"/>
      <c r="AS56" s="103"/>
      <c r="AT56" s="103">
        <f>ROUND(AS56*(1+取值表!$D$2),0)</f>
        <v>0</v>
      </c>
      <c r="AU56" s="103"/>
      <c r="AV56" s="103"/>
      <c r="AW56" s="103"/>
      <c r="AX56" s="103">
        <f>ROUND(AW56*(1+取值表!$D$2),0)</f>
        <v>0</v>
      </c>
      <c r="AY56" s="103"/>
      <c r="AZ56" s="103"/>
      <c r="BA56" s="103"/>
      <c r="BB56" s="103">
        <f>ROUND(BA56*(1+取值表!$D$2),0)</f>
        <v>0</v>
      </c>
      <c r="BC56" s="103"/>
      <c r="BD56" s="103"/>
      <c r="BE56" s="103"/>
      <c r="BF56" s="103">
        <f>ROUND(BE56*(1+取值表!$D$2),0)</f>
        <v>0</v>
      </c>
      <c r="BG56" s="103"/>
      <c r="BH56" s="103"/>
      <c r="BI56" s="103"/>
      <c r="BJ56" s="103">
        <f>ROUND(BI56*(1+取值表!$D$2),0)</f>
        <v>0</v>
      </c>
      <c r="BK56" s="103"/>
      <c r="BL56" s="103"/>
      <c r="BM56" s="103"/>
      <c r="BN56" s="103">
        <f>ROUND(BM56*(1+取值表!$D$2),0)</f>
        <v>0</v>
      </c>
      <c r="BO56" s="103"/>
      <c r="BP56" s="103"/>
      <c r="BQ56" s="103"/>
      <c r="BR56" s="103">
        <f>ROUND(BQ56*(1+取值表!$D$2),0)</f>
        <v>0</v>
      </c>
      <c r="BS56" s="103"/>
      <c r="BT56" s="103"/>
      <c r="BU56" s="103"/>
      <c r="BV56" s="103">
        <f>ROUND(BU56*(1+取值表!$D$2),0)</f>
        <v>0</v>
      </c>
      <c r="BW56" s="103"/>
      <c r="BX56" s="103"/>
      <c r="BY56" s="103"/>
      <c r="BZ56" s="103">
        <f>ROUND(BY56*(1+取值表!$D$2),0)</f>
        <v>0</v>
      </c>
      <c r="CA56" s="103"/>
      <c r="CB56" s="103"/>
      <c r="CC56" s="103"/>
      <c r="CD56" s="103">
        <f>ROUND(CC56*(1+取值表!$D$2),0)</f>
        <v>0</v>
      </c>
      <c r="CE56" s="103"/>
      <c r="CF56" s="103"/>
      <c r="CG56" s="103"/>
      <c r="CH56" s="103">
        <f>ROUND(CG56*(1+取值表!$D$2),0)</f>
        <v>0</v>
      </c>
      <c r="CI56" s="103"/>
      <c r="CJ56" s="103"/>
      <c r="CK56" s="103"/>
      <c r="CL56" s="103">
        <f>ROUND(CK56*(1+取值表!$D$2),0)</f>
        <v>0</v>
      </c>
      <c r="CM56" s="103"/>
      <c r="CN56" s="103"/>
      <c r="CO56" s="103"/>
      <c r="CP56" s="104">
        <f t="shared" si="861"/>
        <v>0</v>
      </c>
    </row>
    <row r="57" spans="1:211" ht="12.75" customHeight="1">
      <c r="A57" s="546">
        <v>28</v>
      </c>
      <c r="B57" s="548" t="s">
        <v>934</v>
      </c>
      <c r="C57" s="548" t="s">
        <v>935</v>
      </c>
      <c r="D57" s="554" t="s">
        <v>342</v>
      </c>
      <c r="E57" s="556" t="s">
        <v>542</v>
      </c>
      <c r="F57" s="558">
        <v>17.63</v>
      </c>
      <c r="G57" s="560">
        <f>95/30</f>
        <v>3.1666666666666665</v>
      </c>
      <c r="H57" s="542">
        <f t="shared" ref="H57:H64" si="1456">G57*F57*365</f>
        <v>20377.341666666664</v>
      </c>
      <c r="I57" s="99"/>
      <c r="J57" s="105">
        <f>ROUND(G57*F57*365/4,0)</f>
        <v>5094</v>
      </c>
      <c r="K57" s="106">
        <f t="shared" ref="K57" si="1457">J57</f>
        <v>5094</v>
      </c>
      <c r="L57" s="107">
        <f>K57</f>
        <v>5094</v>
      </c>
      <c r="M57" s="107">
        <f>L57</f>
        <v>5094</v>
      </c>
      <c r="N57" s="103">
        <f>ROUND(M57*(1+取值表!$D$2)*取值表!$I$2,0)</f>
        <v>5062</v>
      </c>
      <c r="O57" s="108">
        <f>N57</f>
        <v>5062</v>
      </c>
      <c r="P57" s="108">
        <f>O57</f>
        <v>5062</v>
      </c>
      <c r="Q57" s="108">
        <f>P57</f>
        <v>5062</v>
      </c>
      <c r="R57" s="278">
        <f>ROUND(Q57*(1+取值表!$D$2),0)</f>
        <v>5345</v>
      </c>
      <c r="S57" s="108">
        <f t="shared" ref="S57:U57" si="1458">R57</f>
        <v>5345</v>
      </c>
      <c r="T57" s="108">
        <f t="shared" si="1458"/>
        <v>5345</v>
      </c>
      <c r="U57" s="108">
        <f t="shared" si="1458"/>
        <v>5345</v>
      </c>
      <c r="V57" s="103">
        <f>ROUND(U57*(1+取值表!$D$2),0)</f>
        <v>5644</v>
      </c>
      <c r="W57" s="108">
        <f t="shared" ref="W57:Y57" si="1459">V57</f>
        <v>5644</v>
      </c>
      <c r="X57" s="108">
        <f t="shared" si="1459"/>
        <v>5644</v>
      </c>
      <c r="Y57" s="108">
        <f t="shared" si="1459"/>
        <v>5644</v>
      </c>
      <c r="Z57" s="103">
        <f>ROUND(Y57*(1+取值表!$D$2),0)</f>
        <v>5960</v>
      </c>
      <c r="AA57" s="108">
        <f t="shared" ref="AA57" si="1460">Z57</f>
        <v>5960</v>
      </c>
      <c r="AB57" s="108">
        <f t="shared" ref="AB57" si="1461">AA57</f>
        <v>5960</v>
      </c>
      <c r="AC57" s="108">
        <f t="shared" ref="AC57" si="1462">AB57</f>
        <v>5960</v>
      </c>
      <c r="AD57" s="103">
        <f>ROUND(AC57*(1+取值表!$D$2),0)</f>
        <v>6294</v>
      </c>
      <c r="AE57" s="108">
        <f t="shared" ref="AE57" si="1463">AD57</f>
        <v>6294</v>
      </c>
      <c r="AF57" s="108">
        <f t="shared" ref="AF57" si="1464">AE57</f>
        <v>6294</v>
      </c>
      <c r="AG57" s="108">
        <f t="shared" ref="AG57" si="1465">AF57</f>
        <v>6294</v>
      </c>
      <c r="AH57" s="103">
        <f>ROUND(AG57*(1+取值表!$D$2),0)</f>
        <v>6646</v>
      </c>
      <c r="AI57" s="108">
        <f t="shared" ref="AI57" si="1466">AH57</f>
        <v>6646</v>
      </c>
      <c r="AJ57" s="108">
        <f t="shared" ref="AJ57" si="1467">AI57</f>
        <v>6646</v>
      </c>
      <c r="AK57" s="108">
        <f t="shared" ref="AK57" si="1468">AJ57</f>
        <v>6646</v>
      </c>
      <c r="AL57" s="103">
        <f>ROUND(AK57*(1+取值表!$D$2),0)</f>
        <v>7018</v>
      </c>
      <c r="AM57" s="108">
        <f t="shared" ref="AM57" si="1469">AL57</f>
        <v>7018</v>
      </c>
      <c r="AN57" s="108">
        <f t="shared" ref="AN57" si="1470">AM57</f>
        <v>7018</v>
      </c>
      <c r="AO57" s="108">
        <f t="shared" ref="AO57" si="1471">AN57</f>
        <v>7018</v>
      </c>
      <c r="AP57" s="103">
        <f>ROUND(AO57*(1+取值表!$D$2),0)</f>
        <v>7411</v>
      </c>
      <c r="AQ57" s="108">
        <f t="shared" ref="AQ57" si="1472">AP57</f>
        <v>7411</v>
      </c>
      <c r="AR57" s="108">
        <f t="shared" ref="AR57" si="1473">AQ57</f>
        <v>7411</v>
      </c>
      <c r="AS57" s="108">
        <f t="shared" ref="AS57" si="1474">AR57</f>
        <v>7411</v>
      </c>
      <c r="AT57" s="103">
        <f>ROUND(AS57*(1+取值表!$D$2),0)</f>
        <v>7826</v>
      </c>
      <c r="AU57" s="108">
        <f t="shared" ref="AU57" si="1475">AT57</f>
        <v>7826</v>
      </c>
      <c r="AV57" s="108">
        <f t="shared" ref="AV57" si="1476">AU57</f>
        <v>7826</v>
      </c>
      <c r="AW57" s="108">
        <f t="shared" ref="AW57" si="1477">AV57</f>
        <v>7826</v>
      </c>
      <c r="AX57" s="103">
        <f>ROUND(AW57*(1+取值表!$D$2),0)</f>
        <v>8264</v>
      </c>
      <c r="AY57" s="108">
        <f t="shared" ref="AY57" si="1478">AX57</f>
        <v>8264</v>
      </c>
      <c r="AZ57" s="108">
        <f t="shared" ref="AZ57" si="1479">AY57</f>
        <v>8264</v>
      </c>
      <c r="BA57" s="108">
        <f t="shared" ref="BA57" si="1480">AZ57</f>
        <v>8264</v>
      </c>
      <c r="BB57" s="103">
        <f>ROUND(BA57*(1+取值表!$D$2),0)</f>
        <v>8727</v>
      </c>
      <c r="BC57" s="108">
        <f t="shared" ref="BC57" si="1481">BB57</f>
        <v>8727</v>
      </c>
      <c r="BD57" s="108">
        <f t="shared" ref="BD57" si="1482">BC57</f>
        <v>8727</v>
      </c>
      <c r="BE57" s="108">
        <f t="shared" ref="BE57" si="1483">BD57</f>
        <v>8727</v>
      </c>
      <c r="BF57" s="103">
        <f>ROUND(BE57*(1+取值表!$D$2),0)</f>
        <v>9216</v>
      </c>
      <c r="BG57" s="108">
        <f t="shared" ref="BG57" si="1484">BF57</f>
        <v>9216</v>
      </c>
      <c r="BH57" s="108">
        <f t="shared" ref="BH57" si="1485">BG57</f>
        <v>9216</v>
      </c>
      <c r="BI57" s="108">
        <f t="shared" ref="BI57" si="1486">BH57</f>
        <v>9216</v>
      </c>
      <c r="BJ57" s="103">
        <f>ROUND(BI57*(1+取值表!$D$2),0)</f>
        <v>9732</v>
      </c>
      <c r="BK57" s="108">
        <f t="shared" ref="BK57" si="1487">BJ57</f>
        <v>9732</v>
      </c>
      <c r="BL57" s="108">
        <f t="shared" ref="BL57" si="1488">BK57</f>
        <v>9732</v>
      </c>
      <c r="BM57" s="108">
        <f t="shared" ref="BM57" si="1489">BL57</f>
        <v>9732</v>
      </c>
      <c r="BN57" s="103">
        <f>ROUND(BM57*(1+取值表!$D$2),0)</f>
        <v>10277</v>
      </c>
      <c r="BO57" s="108">
        <f t="shared" ref="BO57" si="1490">BN57</f>
        <v>10277</v>
      </c>
      <c r="BP57" s="108">
        <f t="shared" ref="BP57" si="1491">BO57</f>
        <v>10277</v>
      </c>
      <c r="BQ57" s="108">
        <f t="shared" ref="BQ57" si="1492">BP57</f>
        <v>10277</v>
      </c>
      <c r="BR57" s="103">
        <f>ROUND(BQ57*(1+取值表!$D$2),0)</f>
        <v>10853</v>
      </c>
      <c r="BS57" s="108">
        <f t="shared" ref="BS57" si="1493">BR57</f>
        <v>10853</v>
      </c>
      <c r="BT57" s="108">
        <f t="shared" ref="BT57" si="1494">BS57</f>
        <v>10853</v>
      </c>
      <c r="BU57" s="108">
        <f t="shared" ref="BU57" si="1495">BT57</f>
        <v>10853</v>
      </c>
      <c r="BV57" s="103">
        <f>ROUND(BU57*(1+取值表!$D$2),0)</f>
        <v>11461</v>
      </c>
      <c r="BW57" s="108">
        <f t="shared" ref="BW57" si="1496">BV57</f>
        <v>11461</v>
      </c>
      <c r="BX57" s="108">
        <f t="shared" ref="BX57" si="1497">BW57</f>
        <v>11461</v>
      </c>
      <c r="BY57" s="108">
        <f t="shared" ref="BY57" si="1498">BX57</f>
        <v>11461</v>
      </c>
      <c r="BZ57" s="103">
        <f>ROUND(BY57*(1+取值表!$D$2),0)</f>
        <v>12103</v>
      </c>
      <c r="CA57" s="108">
        <f t="shared" ref="CA57" si="1499">BZ57</f>
        <v>12103</v>
      </c>
      <c r="CB57" s="108">
        <f t="shared" ref="CB57" si="1500">CA57</f>
        <v>12103</v>
      </c>
      <c r="CC57" s="108">
        <f t="shared" ref="CC57" si="1501">CB57</f>
        <v>12103</v>
      </c>
      <c r="CD57" s="103">
        <f>ROUND(CC57*(1+取值表!$D$2),0)</f>
        <v>12781</v>
      </c>
      <c r="CE57" s="108">
        <f t="shared" ref="CE57" si="1502">CD57</f>
        <v>12781</v>
      </c>
      <c r="CF57" s="108">
        <f t="shared" ref="CF57" si="1503">CE57</f>
        <v>12781</v>
      </c>
      <c r="CG57" s="108">
        <f t="shared" ref="CG57" si="1504">CF57</f>
        <v>12781</v>
      </c>
      <c r="CH57" s="103">
        <f>ROUND(CG57*(1+取值表!$D$2),0)</f>
        <v>13497</v>
      </c>
      <c r="CI57" s="108">
        <f t="shared" ref="CI57" si="1505">CH57</f>
        <v>13497</v>
      </c>
      <c r="CJ57" s="108">
        <f t="shared" ref="CJ57" si="1506">CI57</f>
        <v>13497</v>
      </c>
      <c r="CK57" s="108">
        <f t="shared" ref="CK57" si="1507">CJ57</f>
        <v>13497</v>
      </c>
      <c r="CL57" s="103">
        <f>ROUND(CK57*(1+取值表!$D$2),0)</f>
        <v>14253</v>
      </c>
      <c r="CM57" s="108">
        <f t="shared" ref="CM57" si="1508">CL57</f>
        <v>14253</v>
      </c>
      <c r="CN57" s="108">
        <f t="shared" ref="CN57" si="1509">CM57</f>
        <v>14253</v>
      </c>
      <c r="CO57" s="108">
        <f t="shared" ref="CO57" si="1510">CN57</f>
        <v>14253</v>
      </c>
      <c r="CP57" s="104">
        <f t="shared" ref="CP57:CP71" si="1511">SUM(J57:CO57)</f>
        <v>733856</v>
      </c>
    </row>
    <row r="58" spans="1:211" ht="12.75" customHeight="1">
      <c r="A58" s="546"/>
      <c r="B58" s="548" t="s">
        <v>936</v>
      </c>
      <c r="C58" s="548" t="s">
        <v>937</v>
      </c>
      <c r="D58" s="555"/>
      <c r="E58" s="557"/>
      <c r="F58" s="559"/>
      <c r="G58" s="561"/>
      <c r="H58" s="543"/>
      <c r="I58" s="99"/>
      <c r="J58" s="105">
        <f t="shared" ref="J58:J62" si="1512">ROUND(G58*F58*365/4,0)</f>
        <v>0</v>
      </c>
      <c r="K58" s="109"/>
      <c r="L58" s="109"/>
      <c r="M58" s="57"/>
      <c r="N58" s="103"/>
      <c r="O58" s="57"/>
      <c r="P58" s="57"/>
      <c r="Q58" s="57"/>
      <c r="R58" s="57"/>
      <c r="S58" s="57"/>
      <c r="T58" s="57"/>
      <c r="U58" s="57"/>
      <c r="V58" s="103">
        <f>ROUND(U58*(1+取值表!$D$2),0)</f>
        <v>0</v>
      </c>
      <c r="W58" s="57"/>
      <c r="X58" s="57"/>
      <c r="Y58" s="57"/>
      <c r="Z58" s="103">
        <f>ROUND(Y58*(1+取值表!$D$2),0)</f>
        <v>0</v>
      </c>
      <c r="AA58" s="391"/>
      <c r="AB58" s="391"/>
      <c r="AC58" s="391"/>
      <c r="AD58" s="103">
        <f>ROUND(AC58*(1+取值表!$D$2),0)</f>
        <v>0</v>
      </c>
      <c r="AE58" s="391"/>
      <c r="AF58" s="391"/>
      <c r="AG58" s="391"/>
      <c r="AH58" s="103">
        <f>ROUND(AG58*(1+取值表!$D$2),0)</f>
        <v>0</v>
      </c>
      <c r="AI58" s="391"/>
      <c r="AJ58" s="391"/>
      <c r="AK58" s="391"/>
      <c r="AL58" s="103">
        <f>ROUND(AK58*(1+取值表!$D$2),0)</f>
        <v>0</v>
      </c>
      <c r="AM58" s="391"/>
      <c r="AN58" s="391"/>
      <c r="AO58" s="391"/>
      <c r="AP58" s="103">
        <f>ROUND(AO58*(1+取值表!$D$2),0)</f>
        <v>0</v>
      </c>
      <c r="AQ58" s="391"/>
      <c r="AR58" s="391"/>
      <c r="AS58" s="391"/>
      <c r="AT58" s="103">
        <f>ROUND(AS58*(1+取值表!$D$2),0)</f>
        <v>0</v>
      </c>
      <c r="AU58" s="391"/>
      <c r="AV58" s="391"/>
      <c r="AW58" s="391"/>
      <c r="AX58" s="103">
        <f>ROUND(AW58*(1+取值表!$D$2),0)</f>
        <v>0</v>
      </c>
      <c r="AY58" s="391"/>
      <c r="AZ58" s="391"/>
      <c r="BA58" s="391"/>
      <c r="BB58" s="103">
        <f>ROUND(BA58*(1+取值表!$D$2),0)</f>
        <v>0</v>
      </c>
      <c r="BC58" s="391"/>
      <c r="BD58" s="391"/>
      <c r="BE58" s="391"/>
      <c r="BF58" s="103">
        <f>ROUND(BE58*(1+取值表!$D$2),0)</f>
        <v>0</v>
      </c>
      <c r="BG58" s="391"/>
      <c r="BH58" s="391"/>
      <c r="BI58" s="391"/>
      <c r="BJ58" s="103">
        <f>ROUND(BI58*(1+取值表!$D$2),0)</f>
        <v>0</v>
      </c>
      <c r="BK58" s="391"/>
      <c r="BL58" s="391"/>
      <c r="BM58" s="391"/>
      <c r="BN58" s="103">
        <f>ROUND(BM58*(1+取值表!$D$2),0)</f>
        <v>0</v>
      </c>
      <c r="BO58" s="391"/>
      <c r="BP58" s="391"/>
      <c r="BQ58" s="391"/>
      <c r="BR58" s="103">
        <f>ROUND(BQ58*(1+取值表!$D$2),0)</f>
        <v>0</v>
      </c>
      <c r="BS58" s="391"/>
      <c r="BT58" s="391"/>
      <c r="BU58" s="391"/>
      <c r="BV58" s="103">
        <f>ROUND(BU58*(1+取值表!$D$2),0)</f>
        <v>0</v>
      </c>
      <c r="BW58" s="391"/>
      <c r="BX58" s="391"/>
      <c r="BY58" s="391"/>
      <c r="BZ58" s="103">
        <f>ROUND(BY58*(1+取值表!$D$2),0)</f>
        <v>0</v>
      </c>
      <c r="CA58" s="391"/>
      <c r="CB58" s="391"/>
      <c r="CC58" s="391"/>
      <c r="CD58" s="103">
        <f>ROUND(CC58*(1+取值表!$D$2),0)</f>
        <v>0</v>
      </c>
      <c r="CE58" s="391"/>
      <c r="CF58" s="391"/>
      <c r="CG58" s="391"/>
      <c r="CH58" s="103">
        <f>ROUND(CG58*(1+取值表!$D$2),0)</f>
        <v>0</v>
      </c>
      <c r="CI58" s="391"/>
      <c r="CJ58" s="391"/>
      <c r="CK58" s="391"/>
      <c r="CL58" s="103">
        <f>ROUND(CK58*(1+取值表!$D$2),0)</f>
        <v>0</v>
      </c>
      <c r="CM58" s="391"/>
      <c r="CN58" s="391"/>
      <c r="CO58" s="391"/>
      <c r="CP58" s="104">
        <f t="shared" si="1511"/>
        <v>0</v>
      </c>
    </row>
    <row r="59" spans="1:211" ht="16.5" customHeight="1">
      <c r="A59" s="546">
        <v>29</v>
      </c>
      <c r="B59" s="548" t="s">
        <v>938</v>
      </c>
      <c r="C59" s="548" t="s">
        <v>939</v>
      </c>
      <c r="D59" s="554" t="s">
        <v>353</v>
      </c>
      <c r="E59" s="556" t="s">
        <v>542</v>
      </c>
      <c r="F59" s="558">
        <v>16</v>
      </c>
      <c r="G59" s="560">
        <v>3.17</v>
      </c>
      <c r="H59" s="542">
        <f>G59*F59*365</f>
        <v>18512.8</v>
      </c>
      <c r="I59" s="99"/>
      <c r="J59" s="105">
        <f>ROUND(G59*F59*365/4,0)</f>
        <v>4628</v>
      </c>
      <c r="K59" s="110">
        <f>J59</f>
        <v>4628</v>
      </c>
      <c r="L59" s="107">
        <f>K59</f>
        <v>4628</v>
      </c>
      <c r="M59" s="107">
        <f>L59</f>
        <v>4628</v>
      </c>
      <c r="N59" s="103">
        <f>ROUND(M59*(1+取值表!$D$2)*取值表!$I$2,0)</f>
        <v>4599</v>
      </c>
      <c r="O59" s="108">
        <f>N59</f>
        <v>4599</v>
      </c>
      <c r="P59" s="108">
        <f>O59</f>
        <v>4599</v>
      </c>
      <c r="Q59" s="108">
        <f>P59</f>
        <v>4599</v>
      </c>
      <c r="R59" s="278">
        <f>ROUND(Q59*(1+取值表!$D$2),0)</f>
        <v>4857</v>
      </c>
      <c r="S59" s="108">
        <f t="shared" ref="S59:U59" si="1513">R59</f>
        <v>4857</v>
      </c>
      <c r="T59" s="108">
        <f t="shared" si="1513"/>
        <v>4857</v>
      </c>
      <c r="U59" s="108">
        <f t="shared" si="1513"/>
        <v>4857</v>
      </c>
      <c r="V59" s="103">
        <f>ROUND(U59*(1+取值表!$D$2),0)</f>
        <v>5129</v>
      </c>
      <c r="W59" s="108">
        <f t="shared" ref="W59:Y59" si="1514">V59</f>
        <v>5129</v>
      </c>
      <c r="X59" s="108">
        <f t="shared" si="1514"/>
        <v>5129</v>
      </c>
      <c r="Y59" s="108">
        <f t="shared" si="1514"/>
        <v>5129</v>
      </c>
      <c r="Z59" s="103">
        <f>ROUND(Y59*(1+取值表!$D$2),0)</f>
        <v>5416</v>
      </c>
      <c r="AA59" s="108">
        <f t="shared" ref="AA59" si="1515">Z59</f>
        <v>5416</v>
      </c>
      <c r="AB59" s="108">
        <f t="shared" ref="AB59" si="1516">AA59</f>
        <v>5416</v>
      </c>
      <c r="AC59" s="108">
        <f t="shared" ref="AC59" si="1517">AB59</f>
        <v>5416</v>
      </c>
      <c r="AD59" s="103">
        <f>ROUND(AC59*(1+取值表!$D$2),0)</f>
        <v>5719</v>
      </c>
      <c r="AE59" s="108">
        <f t="shared" ref="AE59" si="1518">AD59</f>
        <v>5719</v>
      </c>
      <c r="AF59" s="108">
        <f t="shared" ref="AF59" si="1519">AE59</f>
        <v>5719</v>
      </c>
      <c r="AG59" s="108">
        <f t="shared" ref="AG59" si="1520">AF59</f>
        <v>5719</v>
      </c>
      <c r="AH59" s="103">
        <f>ROUND(AG59*(1+取值表!$D$2),0)</f>
        <v>6039</v>
      </c>
      <c r="AI59" s="108">
        <f t="shared" ref="AI59" si="1521">AH59</f>
        <v>6039</v>
      </c>
      <c r="AJ59" s="108">
        <f t="shared" ref="AJ59" si="1522">AI59</f>
        <v>6039</v>
      </c>
      <c r="AK59" s="108">
        <f t="shared" ref="AK59" si="1523">AJ59</f>
        <v>6039</v>
      </c>
      <c r="AL59" s="103">
        <f>ROUND(AK59*(1+取值表!$D$2),0)</f>
        <v>6377</v>
      </c>
      <c r="AM59" s="108">
        <f t="shared" ref="AM59" si="1524">AL59</f>
        <v>6377</v>
      </c>
      <c r="AN59" s="108">
        <f t="shared" ref="AN59" si="1525">AM59</f>
        <v>6377</v>
      </c>
      <c r="AO59" s="108">
        <f t="shared" ref="AO59" si="1526">AN59</f>
        <v>6377</v>
      </c>
      <c r="AP59" s="103">
        <f>ROUND(AO59*(1+取值表!$D$2),0)</f>
        <v>6734</v>
      </c>
      <c r="AQ59" s="108">
        <f t="shared" ref="AQ59" si="1527">AP59</f>
        <v>6734</v>
      </c>
      <c r="AR59" s="108">
        <f t="shared" ref="AR59" si="1528">AQ59</f>
        <v>6734</v>
      </c>
      <c r="AS59" s="108">
        <f t="shared" ref="AS59" si="1529">AR59</f>
        <v>6734</v>
      </c>
      <c r="AT59" s="103">
        <f>ROUND(AS59*(1+取值表!$D$2),0)</f>
        <v>7111</v>
      </c>
      <c r="AU59" s="108">
        <f t="shared" ref="AU59" si="1530">AT59</f>
        <v>7111</v>
      </c>
      <c r="AV59" s="108">
        <f t="shared" ref="AV59" si="1531">AU59</f>
        <v>7111</v>
      </c>
      <c r="AW59" s="108">
        <f t="shared" ref="AW59" si="1532">AV59</f>
        <v>7111</v>
      </c>
      <c r="AX59" s="103">
        <f>ROUND(AW59*(1+取值表!$D$2),0)</f>
        <v>7509</v>
      </c>
      <c r="AY59" s="108">
        <f t="shared" ref="AY59" si="1533">AX59</f>
        <v>7509</v>
      </c>
      <c r="AZ59" s="108">
        <f t="shared" ref="AZ59" si="1534">AY59</f>
        <v>7509</v>
      </c>
      <c r="BA59" s="108">
        <f t="shared" ref="BA59" si="1535">AZ59</f>
        <v>7509</v>
      </c>
      <c r="BB59" s="103">
        <f>ROUND(BA59*(1+取值表!$D$2),0)</f>
        <v>7930</v>
      </c>
      <c r="BC59" s="108">
        <f t="shared" ref="BC59" si="1536">BB59</f>
        <v>7930</v>
      </c>
      <c r="BD59" s="108">
        <f t="shared" ref="BD59" si="1537">BC59</f>
        <v>7930</v>
      </c>
      <c r="BE59" s="108">
        <f t="shared" ref="BE59" si="1538">BD59</f>
        <v>7930</v>
      </c>
      <c r="BF59" s="103">
        <f>ROUND(BE59*(1+取值表!$D$2),0)</f>
        <v>8374</v>
      </c>
      <c r="BG59" s="108">
        <f t="shared" ref="BG59" si="1539">BF59</f>
        <v>8374</v>
      </c>
      <c r="BH59" s="108">
        <f t="shared" ref="BH59" si="1540">BG59</f>
        <v>8374</v>
      </c>
      <c r="BI59" s="108">
        <f t="shared" ref="BI59" si="1541">BH59</f>
        <v>8374</v>
      </c>
      <c r="BJ59" s="103">
        <f>ROUND(BI59*(1+取值表!$D$2),0)</f>
        <v>8843</v>
      </c>
      <c r="BK59" s="108">
        <f t="shared" ref="BK59" si="1542">BJ59</f>
        <v>8843</v>
      </c>
      <c r="BL59" s="108">
        <f t="shared" ref="BL59" si="1543">BK59</f>
        <v>8843</v>
      </c>
      <c r="BM59" s="108">
        <f t="shared" ref="BM59" si="1544">BL59</f>
        <v>8843</v>
      </c>
      <c r="BN59" s="103">
        <f>ROUND(BM59*(1+取值表!$D$2),0)</f>
        <v>9338</v>
      </c>
      <c r="BO59" s="108">
        <f t="shared" ref="BO59" si="1545">BN59</f>
        <v>9338</v>
      </c>
      <c r="BP59" s="108">
        <f t="shared" ref="BP59" si="1546">BO59</f>
        <v>9338</v>
      </c>
      <c r="BQ59" s="108">
        <f t="shared" ref="BQ59" si="1547">BP59</f>
        <v>9338</v>
      </c>
      <c r="BR59" s="103">
        <f>ROUND(BQ59*(1+取值表!$D$2),0)</f>
        <v>9861</v>
      </c>
      <c r="BS59" s="108">
        <f t="shared" ref="BS59" si="1548">BR59</f>
        <v>9861</v>
      </c>
      <c r="BT59" s="108">
        <f t="shared" ref="BT59" si="1549">BS59</f>
        <v>9861</v>
      </c>
      <c r="BU59" s="108">
        <f t="shared" ref="BU59" si="1550">BT59</f>
        <v>9861</v>
      </c>
      <c r="BV59" s="103">
        <f>ROUND(BU59*(1+取值表!$D$2),0)</f>
        <v>10413</v>
      </c>
      <c r="BW59" s="108">
        <f t="shared" ref="BW59" si="1551">BV59</f>
        <v>10413</v>
      </c>
      <c r="BX59" s="108">
        <f t="shared" ref="BX59" si="1552">BW59</f>
        <v>10413</v>
      </c>
      <c r="BY59" s="108">
        <f t="shared" ref="BY59" si="1553">BX59</f>
        <v>10413</v>
      </c>
      <c r="BZ59" s="103">
        <f>ROUND(BY59*(1+取值表!$D$2),0)</f>
        <v>10996</v>
      </c>
      <c r="CA59" s="108">
        <f t="shared" ref="CA59" si="1554">BZ59</f>
        <v>10996</v>
      </c>
      <c r="CB59" s="108">
        <f t="shared" ref="CB59" si="1555">CA59</f>
        <v>10996</v>
      </c>
      <c r="CC59" s="108">
        <f t="shared" ref="CC59" si="1556">CB59</f>
        <v>10996</v>
      </c>
      <c r="CD59" s="103">
        <f>ROUND(CC59*(1+取值表!$D$2),0)</f>
        <v>11612</v>
      </c>
      <c r="CE59" s="108">
        <f t="shared" ref="CE59" si="1557">CD59</f>
        <v>11612</v>
      </c>
      <c r="CF59" s="108">
        <f t="shared" ref="CF59" si="1558">CE59</f>
        <v>11612</v>
      </c>
      <c r="CG59" s="108">
        <f t="shared" ref="CG59" si="1559">CF59</f>
        <v>11612</v>
      </c>
      <c r="CH59" s="103">
        <f>ROUND(CG59*(1+取值表!$D$2),0)</f>
        <v>12262</v>
      </c>
      <c r="CI59" s="108">
        <f t="shared" ref="CI59" si="1560">CH59</f>
        <v>12262</v>
      </c>
      <c r="CJ59" s="108">
        <f t="shared" ref="CJ59" si="1561">CI59</f>
        <v>12262</v>
      </c>
      <c r="CK59" s="108">
        <f t="shared" ref="CK59" si="1562">CJ59</f>
        <v>12262</v>
      </c>
      <c r="CL59" s="103">
        <f>ROUND(CK59*(1+取值表!$D$2),0)</f>
        <v>12949</v>
      </c>
      <c r="CM59" s="108">
        <f t="shared" ref="CM59" si="1563">CL59</f>
        <v>12949</v>
      </c>
      <c r="CN59" s="108">
        <f t="shared" ref="CN59" si="1564">CM59</f>
        <v>12949</v>
      </c>
      <c r="CO59" s="108">
        <f t="shared" ref="CO59" si="1565">CN59</f>
        <v>12949</v>
      </c>
      <c r="CP59" s="104">
        <f t="shared" si="1511"/>
        <v>666784</v>
      </c>
    </row>
    <row r="60" spans="1:211" ht="13.5" customHeight="1">
      <c r="A60" s="546"/>
      <c r="B60" s="548" t="s">
        <v>940</v>
      </c>
      <c r="C60" s="548" t="s">
        <v>941</v>
      </c>
      <c r="D60" s="555"/>
      <c r="E60" s="557"/>
      <c r="F60" s="559"/>
      <c r="G60" s="561"/>
      <c r="H60" s="543"/>
      <c r="I60" s="99"/>
      <c r="J60" s="105">
        <f t="shared" si="1512"/>
        <v>0</v>
      </c>
      <c r="K60" s="107"/>
      <c r="L60" s="109"/>
      <c r="M60" s="57"/>
      <c r="N60" s="57"/>
      <c r="O60" s="57"/>
      <c r="P60" s="57"/>
      <c r="Q60" s="57"/>
      <c r="R60" s="57"/>
      <c r="S60" s="57"/>
      <c r="T60" s="57"/>
      <c r="U60" s="57"/>
      <c r="V60" s="103">
        <f>ROUND(U60*(1+取值表!$D$2),0)</f>
        <v>0</v>
      </c>
      <c r="W60" s="57"/>
      <c r="X60" s="57"/>
      <c r="Y60" s="57"/>
      <c r="Z60" s="103">
        <f>ROUND(Y60*(1+取值表!$D$2),0)</f>
        <v>0</v>
      </c>
      <c r="AA60" s="391"/>
      <c r="AB60" s="391"/>
      <c r="AC60" s="391"/>
      <c r="AD60" s="103">
        <f>ROUND(AC60*(1+取值表!$D$2),0)</f>
        <v>0</v>
      </c>
      <c r="AE60" s="391"/>
      <c r="AF60" s="391"/>
      <c r="AG60" s="391"/>
      <c r="AH60" s="103">
        <f>ROUND(AG60*(1+取值表!$D$2),0)</f>
        <v>0</v>
      </c>
      <c r="AI60" s="391"/>
      <c r="AJ60" s="391"/>
      <c r="AK60" s="391"/>
      <c r="AL60" s="103">
        <f>ROUND(AK60*(1+取值表!$D$2),0)</f>
        <v>0</v>
      </c>
      <c r="AM60" s="391"/>
      <c r="AN60" s="391"/>
      <c r="AO60" s="391"/>
      <c r="AP60" s="103">
        <f>ROUND(AO60*(1+取值表!$D$2),0)</f>
        <v>0</v>
      </c>
      <c r="AQ60" s="391"/>
      <c r="AR60" s="391"/>
      <c r="AS60" s="391"/>
      <c r="AT60" s="103">
        <f>ROUND(AS60*(1+取值表!$D$2),0)</f>
        <v>0</v>
      </c>
      <c r="AU60" s="391"/>
      <c r="AV60" s="391"/>
      <c r="AW60" s="391"/>
      <c r="AX60" s="103">
        <f>ROUND(AW60*(1+取值表!$D$2),0)</f>
        <v>0</v>
      </c>
      <c r="AY60" s="391"/>
      <c r="AZ60" s="391"/>
      <c r="BA60" s="391"/>
      <c r="BB60" s="103">
        <f>ROUND(BA60*(1+取值表!$D$2),0)</f>
        <v>0</v>
      </c>
      <c r="BC60" s="391"/>
      <c r="BD60" s="391"/>
      <c r="BE60" s="391"/>
      <c r="BF60" s="103">
        <f>ROUND(BE60*(1+取值表!$D$2),0)</f>
        <v>0</v>
      </c>
      <c r="BG60" s="391"/>
      <c r="BH60" s="391"/>
      <c r="BI60" s="391"/>
      <c r="BJ60" s="103">
        <f>ROUND(BI60*(1+取值表!$D$2),0)</f>
        <v>0</v>
      </c>
      <c r="BK60" s="391"/>
      <c r="BL60" s="391"/>
      <c r="BM60" s="391"/>
      <c r="BN60" s="103">
        <f>ROUND(BM60*(1+取值表!$D$2),0)</f>
        <v>0</v>
      </c>
      <c r="BO60" s="391"/>
      <c r="BP60" s="391"/>
      <c r="BQ60" s="391"/>
      <c r="BR60" s="103">
        <f>ROUND(BQ60*(1+取值表!$D$2),0)</f>
        <v>0</v>
      </c>
      <c r="BS60" s="391"/>
      <c r="BT60" s="391"/>
      <c r="BU60" s="391"/>
      <c r="BV60" s="103">
        <f>ROUND(BU60*(1+取值表!$D$2),0)</f>
        <v>0</v>
      </c>
      <c r="BW60" s="391"/>
      <c r="BX60" s="391"/>
      <c r="BY60" s="391"/>
      <c r="BZ60" s="103">
        <f>ROUND(BY60*(1+取值表!$D$2),0)</f>
        <v>0</v>
      </c>
      <c r="CA60" s="391"/>
      <c r="CB60" s="391"/>
      <c r="CC60" s="391"/>
      <c r="CD60" s="103">
        <f>ROUND(CC60*(1+取值表!$D$2),0)</f>
        <v>0</v>
      </c>
      <c r="CE60" s="391"/>
      <c r="CF60" s="391"/>
      <c r="CG60" s="391"/>
      <c r="CH60" s="103">
        <f>ROUND(CG60*(1+取值表!$D$2),0)</f>
        <v>0</v>
      </c>
      <c r="CI60" s="391"/>
      <c r="CJ60" s="391"/>
      <c r="CK60" s="391"/>
      <c r="CL60" s="103">
        <f>ROUND(CK60*(1+取值表!$D$2),0)</f>
        <v>0</v>
      </c>
      <c r="CM60" s="391"/>
      <c r="CN60" s="391"/>
      <c r="CO60" s="391"/>
      <c r="CP60" s="104">
        <f t="shared" si="1511"/>
        <v>0</v>
      </c>
    </row>
    <row r="61" spans="1:211" ht="13.5" customHeight="1">
      <c r="A61" s="57">
        <v>30</v>
      </c>
      <c r="B61" s="12" t="s">
        <v>942</v>
      </c>
      <c r="C61" s="12" t="s">
        <v>943</v>
      </c>
      <c r="D61" s="111" t="s">
        <v>358</v>
      </c>
      <c r="E61" s="112" t="s">
        <v>784</v>
      </c>
      <c r="F61" s="99">
        <v>16.52</v>
      </c>
      <c r="G61" s="100">
        <v>3.12</v>
      </c>
      <c r="H61" s="113">
        <f>G61*F61*365</f>
        <v>18812.975999999999</v>
      </c>
      <c r="I61" s="99"/>
      <c r="J61" s="105">
        <f t="shared" si="1512"/>
        <v>4703</v>
      </c>
      <c r="K61" s="107">
        <f t="shared" ref="K61:M62" si="1566">J61</f>
        <v>4703</v>
      </c>
      <c r="L61" s="106">
        <f t="shared" si="1566"/>
        <v>4703</v>
      </c>
      <c r="M61" s="107">
        <f t="shared" si="1566"/>
        <v>4703</v>
      </c>
      <c r="N61" s="103">
        <f>ROUND(M61*(1+取值表!$D$2)*取值表!$I$2,0)</f>
        <v>4673</v>
      </c>
      <c r="O61" s="108">
        <f t="shared" ref="O61:Q62" si="1567">N61</f>
        <v>4673</v>
      </c>
      <c r="P61" s="108">
        <f t="shared" si="1567"/>
        <v>4673</v>
      </c>
      <c r="Q61" s="108">
        <f t="shared" si="1567"/>
        <v>4673</v>
      </c>
      <c r="R61" s="278">
        <f>ROUND(Q61*(1+取值表!$D$2),0)</f>
        <v>4935</v>
      </c>
      <c r="S61" s="108">
        <f t="shared" ref="S61:U61" si="1568">R61</f>
        <v>4935</v>
      </c>
      <c r="T61" s="108">
        <f t="shared" si="1568"/>
        <v>4935</v>
      </c>
      <c r="U61" s="108">
        <f t="shared" si="1568"/>
        <v>4935</v>
      </c>
      <c r="V61" s="103">
        <f>ROUND(U61*(1+取值表!$D$2),0)</f>
        <v>5211</v>
      </c>
      <c r="W61" s="108">
        <f t="shared" ref="W61:Y61" si="1569">V61</f>
        <v>5211</v>
      </c>
      <c r="X61" s="108">
        <f t="shared" si="1569"/>
        <v>5211</v>
      </c>
      <c r="Y61" s="108">
        <f t="shared" si="1569"/>
        <v>5211</v>
      </c>
      <c r="Z61" s="103">
        <f>ROUND(Y61*(1+取值表!$D$2),0)</f>
        <v>5503</v>
      </c>
      <c r="AA61" s="108">
        <f t="shared" ref="AA61:AA62" si="1570">Z61</f>
        <v>5503</v>
      </c>
      <c r="AB61" s="108">
        <f t="shared" ref="AB61:AB62" si="1571">AA61</f>
        <v>5503</v>
      </c>
      <c r="AC61" s="108">
        <f t="shared" ref="AC61:AC62" si="1572">AB61</f>
        <v>5503</v>
      </c>
      <c r="AD61" s="103">
        <f>ROUND(AC61*(1+取值表!$D$2),0)</f>
        <v>5811</v>
      </c>
      <c r="AE61" s="108">
        <f t="shared" ref="AE61:AE62" si="1573">AD61</f>
        <v>5811</v>
      </c>
      <c r="AF61" s="108">
        <f t="shared" ref="AF61:AF62" si="1574">AE61</f>
        <v>5811</v>
      </c>
      <c r="AG61" s="108">
        <f t="shared" ref="AG61:AG62" si="1575">AF61</f>
        <v>5811</v>
      </c>
      <c r="AH61" s="103">
        <f>ROUND(AG61*(1+取值表!$D$2),0)</f>
        <v>6136</v>
      </c>
      <c r="AI61" s="108">
        <f t="shared" ref="AI61:AI62" si="1576">AH61</f>
        <v>6136</v>
      </c>
      <c r="AJ61" s="108">
        <f t="shared" ref="AJ61:AJ62" si="1577">AI61</f>
        <v>6136</v>
      </c>
      <c r="AK61" s="108">
        <f t="shared" ref="AK61:AK62" si="1578">AJ61</f>
        <v>6136</v>
      </c>
      <c r="AL61" s="103">
        <f>ROUND(AK61*(1+取值表!$D$2),0)</f>
        <v>6480</v>
      </c>
      <c r="AM61" s="108">
        <f t="shared" ref="AM61:AM62" si="1579">AL61</f>
        <v>6480</v>
      </c>
      <c r="AN61" s="108">
        <f t="shared" ref="AN61:AN62" si="1580">AM61</f>
        <v>6480</v>
      </c>
      <c r="AO61" s="108">
        <f t="shared" ref="AO61:AO62" si="1581">AN61</f>
        <v>6480</v>
      </c>
      <c r="AP61" s="103">
        <f>ROUND(AO61*(1+取值表!$D$2),0)</f>
        <v>6843</v>
      </c>
      <c r="AQ61" s="108">
        <f t="shared" ref="AQ61:AQ62" si="1582">AP61</f>
        <v>6843</v>
      </c>
      <c r="AR61" s="108">
        <f t="shared" ref="AR61:AR62" si="1583">AQ61</f>
        <v>6843</v>
      </c>
      <c r="AS61" s="108">
        <f t="shared" ref="AS61:AS62" si="1584">AR61</f>
        <v>6843</v>
      </c>
      <c r="AT61" s="103">
        <f>ROUND(AS61*(1+取值表!$D$2),0)</f>
        <v>7226</v>
      </c>
      <c r="AU61" s="108">
        <f t="shared" ref="AU61:AU62" si="1585">AT61</f>
        <v>7226</v>
      </c>
      <c r="AV61" s="108">
        <f t="shared" ref="AV61:AV62" si="1586">AU61</f>
        <v>7226</v>
      </c>
      <c r="AW61" s="108">
        <f t="shared" ref="AW61:AW62" si="1587">AV61</f>
        <v>7226</v>
      </c>
      <c r="AX61" s="103">
        <f>ROUND(AW61*(1+取值表!$D$2),0)</f>
        <v>7631</v>
      </c>
      <c r="AY61" s="108">
        <f t="shared" ref="AY61:AY62" si="1588">AX61</f>
        <v>7631</v>
      </c>
      <c r="AZ61" s="108">
        <f t="shared" ref="AZ61:AZ62" si="1589">AY61</f>
        <v>7631</v>
      </c>
      <c r="BA61" s="108">
        <f t="shared" ref="BA61:BA62" si="1590">AZ61</f>
        <v>7631</v>
      </c>
      <c r="BB61" s="103">
        <f>ROUND(BA61*(1+取值表!$D$2),0)</f>
        <v>8058</v>
      </c>
      <c r="BC61" s="108">
        <f t="shared" ref="BC61:BC62" si="1591">BB61</f>
        <v>8058</v>
      </c>
      <c r="BD61" s="108">
        <f t="shared" ref="BD61:BD62" si="1592">BC61</f>
        <v>8058</v>
      </c>
      <c r="BE61" s="108">
        <f t="shared" ref="BE61:BE62" si="1593">BD61</f>
        <v>8058</v>
      </c>
      <c r="BF61" s="103">
        <f>ROUND(BE61*(1+取值表!$D$2),0)</f>
        <v>8509</v>
      </c>
      <c r="BG61" s="108">
        <f t="shared" ref="BG61:BG62" si="1594">BF61</f>
        <v>8509</v>
      </c>
      <c r="BH61" s="108">
        <f t="shared" ref="BH61:BH62" si="1595">BG61</f>
        <v>8509</v>
      </c>
      <c r="BI61" s="108">
        <f t="shared" ref="BI61:BI62" si="1596">BH61</f>
        <v>8509</v>
      </c>
      <c r="BJ61" s="103">
        <f>ROUND(BI61*(1+取值表!$D$2),0)</f>
        <v>8986</v>
      </c>
      <c r="BK61" s="108">
        <f t="shared" ref="BK61:BK62" si="1597">BJ61</f>
        <v>8986</v>
      </c>
      <c r="BL61" s="108">
        <f t="shared" ref="BL61:BL62" si="1598">BK61</f>
        <v>8986</v>
      </c>
      <c r="BM61" s="108">
        <f t="shared" ref="BM61:BM62" si="1599">BL61</f>
        <v>8986</v>
      </c>
      <c r="BN61" s="103">
        <f>ROUND(BM61*(1+取值表!$D$2),0)</f>
        <v>9489</v>
      </c>
      <c r="BO61" s="108">
        <f t="shared" ref="BO61:BO62" si="1600">BN61</f>
        <v>9489</v>
      </c>
      <c r="BP61" s="108">
        <f t="shared" ref="BP61:BP62" si="1601">BO61</f>
        <v>9489</v>
      </c>
      <c r="BQ61" s="108">
        <f t="shared" ref="BQ61:BQ62" si="1602">BP61</f>
        <v>9489</v>
      </c>
      <c r="BR61" s="103">
        <f>ROUND(BQ61*(1+取值表!$D$2),0)</f>
        <v>10020</v>
      </c>
      <c r="BS61" s="108">
        <f t="shared" ref="BS61:BS62" si="1603">BR61</f>
        <v>10020</v>
      </c>
      <c r="BT61" s="108">
        <f t="shared" ref="BT61:BT62" si="1604">BS61</f>
        <v>10020</v>
      </c>
      <c r="BU61" s="108">
        <f t="shared" ref="BU61:BU62" si="1605">BT61</f>
        <v>10020</v>
      </c>
      <c r="BV61" s="103">
        <f>ROUND(BU61*(1+取值表!$D$2),0)</f>
        <v>10581</v>
      </c>
      <c r="BW61" s="108">
        <f t="shared" ref="BW61:BW62" si="1606">BV61</f>
        <v>10581</v>
      </c>
      <c r="BX61" s="108">
        <f t="shared" ref="BX61:BX62" si="1607">BW61</f>
        <v>10581</v>
      </c>
      <c r="BY61" s="108">
        <f t="shared" ref="BY61:BY62" si="1608">BX61</f>
        <v>10581</v>
      </c>
      <c r="BZ61" s="103">
        <f>ROUND(BY61*(1+取值表!$D$2),0)</f>
        <v>11174</v>
      </c>
      <c r="CA61" s="108">
        <f t="shared" ref="CA61:CA62" si="1609">BZ61</f>
        <v>11174</v>
      </c>
      <c r="CB61" s="108">
        <f t="shared" ref="CB61:CB62" si="1610">CA61</f>
        <v>11174</v>
      </c>
      <c r="CC61" s="108">
        <f t="shared" ref="CC61:CC62" si="1611">CB61</f>
        <v>11174</v>
      </c>
      <c r="CD61" s="103">
        <f>ROUND(CC61*(1+取值表!$D$2),0)</f>
        <v>11800</v>
      </c>
      <c r="CE61" s="108">
        <f t="shared" ref="CE61:CE62" si="1612">CD61</f>
        <v>11800</v>
      </c>
      <c r="CF61" s="108">
        <f t="shared" ref="CF61:CF62" si="1613">CE61</f>
        <v>11800</v>
      </c>
      <c r="CG61" s="108">
        <f t="shared" ref="CG61:CG62" si="1614">CF61</f>
        <v>11800</v>
      </c>
      <c r="CH61" s="103">
        <f>ROUND(CG61*(1+取值表!$D$2),0)</f>
        <v>12461</v>
      </c>
      <c r="CI61" s="108">
        <f t="shared" ref="CI61:CI62" si="1615">CH61</f>
        <v>12461</v>
      </c>
      <c r="CJ61" s="108">
        <f t="shared" ref="CJ61:CJ62" si="1616">CI61</f>
        <v>12461</v>
      </c>
      <c r="CK61" s="108">
        <f t="shared" ref="CK61:CK62" si="1617">CJ61</f>
        <v>12461</v>
      </c>
      <c r="CL61" s="103">
        <f>ROUND(CK61*(1+取值表!$D$2),0)</f>
        <v>13159</v>
      </c>
      <c r="CM61" s="108">
        <f t="shared" ref="CM61:CM62" si="1618">CL61</f>
        <v>13159</v>
      </c>
      <c r="CN61" s="108">
        <f t="shared" ref="CN61:CN62" si="1619">CM61</f>
        <v>13159</v>
      </c>
      <c r="CO61" s="108">
        <f t="shared" ref="CO61:CO62" si="1620">CN61</f>
        <v>13159</v>
      </c>
      <c r="CP61" s="104">
        <f t="shared" si="1511"/>
        <v>677556</v>
      </c>
    </row>
    <row r="62" spans="1:211" s="70" customFormat="1" ht="12" customHeight="1">
      <c r="A62" s="535">
        <v>31</v>
      </c>
      <c r="B62" s="536" t="s">
        <v>944</v>
      </c>
      <c r="C62" s="537" t="s">
        <v>945</v>
      </c>
      <c r="D62" s="538" t="s">
        <v>629</v>
      </c>
      <c r="E62" s="544">
        <v>-3</v>
      </c>
      <c r="F62" s="540">
        <v>16.809999999999999</v>
      </c>
      <c r="G62" s="540">
        <v>3.12</v>
      </c>
      <c r="H62" s="542">
        <f>G62*F62*365</f>
        <v>19143.227999999999</v>
      </c>
      <c r="I62" s="113"/>
      <c r="J62" s="102">
        <f t="shared" si="1512"/>
        <v>4786</v>
      </c>
      <c r="K62" s="101">
        <f t="shared" si="1566"/>
        <v>4786</v>
      </c>
      <c r="L62" s="101">
        <f t="shared" si="1566"/>
        <v>4786</v>
      </c>
      <c r="M62" s="101">
        <f t="shared" si="1566"/>
        <v>4786</v>
      </c>
      <c r="N62" s="103">
        <f>ROUND(M62*(1+取值表!$D$2)*取值表!$I$2,0)</f>
        <v>4756</v>
      </c>
      <c r="O62" s="101">
        <f t="shared" si="1567"/>
        <v>4756</v>
      </c>
      <c r="P62" s="101">
        <f t="shared" si="1567"/>
        <v>4756</v>
      </c>
      <c r="Q62" s="101">
        <f t="shared" si="1567"/>
        <v>4756</v>
      </c>
      <c r="R62" s="278">
        <f>ROUND(Q62*(1+取值表!$D$2),0)</f>
        <v>5022</v>
      </c>
      <c r="S62" s="101">
        <f t="shared" ref="S62:U62" si="1621">R62</f>
        <v>5022</v>
      </c>
      <c r="T62" s="101">
        <f t="shared" si="1621"/>
        <v>5022</v>
      </c>
      <c r="U62" s="101">
        <f t="shared" si="1621"/>
        <v>5022</v>
      </c>
      <c r="V62" s="103">
        <f>ROUND(U62*(1+取值表!$D$2),0)</f>
        <v>5303</v>
      </c>
      <c r="W62" s="101">
        <f t="shared" ref="W62:Y62" si="1622">V62</f>
        <v>5303</v>
      </c>
      <c r="X62" s="101">
        <f t="shared" si="1622"/>
        <v>5303</v>
      </c>
      <c r="Y62" s="101">
        <f t="shared" si="1622"/>
        <v>5303</v>
      </c>
      <c r="Z62" s="103">
        <f>ROUND(Y62*(1+取值表!$D$2),0)</f>
        <v>5600</v>
      </c>
      <c r="AA62" s="101">
        <f t="shared" si="1570"/>
        <v>5600</v>
      </c>
      <c r="AB62" s="101">
        <f t="shared" si="1571"/>
        <v>5600</v>
      </c>
      <c r="AC62" s="101">
        <f t="shared" si="1572"/>
        <v>5600</v>
      </c>
      <c r="AD62" s="103">
        <f>ROUND(AC62*(1+取值表!$D$2),0)</f>
        <v>5914</v>
      </c>
      <c r="AE62" s="101">
        <f t="shared" si="1573"/>
        <v>5914</v>
      </c>
      <c r="AF62" s="101">
        <f t="shared" si="1574"/>
        <v>5914</v>
      </c>
      <c r="AG62" s="101">
        <f t="shared" si="1575"/>
        <v>5914</v>
      </c>
      <c r="AH62" s="103">
        <f>ROUND(AG62*(1+取值表!$D$2),0)</f>
        <v>6245</v>
      </c>
      <c r="AI62" s="101">
        <f t="shared" si="1576"/>
        <v>6245</v>
      </c>
      <c r="AJ62" s="101">
        <f t="shared" si="1577"/>
        <v>6245</v>
      </c>
      <c r="AK62" s="101">
        <f t="shared" si="1578"/>
        <v>6245</v>
      </c>
      <c r="AL62" s="103">
        <f>ROUND(AK62*(1+取值表!$D$2),0)</f>
        <v>6595</v>
      </c>
      <c r="AM62" s="101">
        <f t="shared" si="1579"/>
        <v>6595</v>
      </c>
      <c r="AN62" s="101">
        <f t="shared" si="1580"/>
        <v>6595</v>
      </c>
      <c r="AO62" s="101">
        <f t="shared" si="1581"/>
        <v>6595</v>
      </c>
      <c r="AP62" s="103">
        <f>ROUND(AO62*(1+取值表!$D$2),0)</f>
        <v>6964</v>
      </c>
      <c r="AQ62" s="101">
        <f t="shared" si="1582"/>
        <v>6964</v>
      </c>
      <c r="AR62" s="101">
        <f t="shared" si="1583"/>
        <v>6964</v>
      </c>
      <c r="AS62" s="101">
        <f t="shared" si="1584"/>
        <v>6964</v>
      </c>
      <c r="AT62" s="103">
        <f>ROUND(AS62*(1+取值表!$D$2),0)</f>
        <v>7354</v>
      </c>
      <c r="AU62" s="101">
        <f t="shared" si="1585"/>
        <v>7354</v>
      </c>
      <c r="AV62" s="101">
        <f t="shared" si="1586"/>
        <v>7354</v>
      </c>
      <c r="AW62" s="101">
        <f t="shared" si="1587"/>
        <v>7354</v>
      </c>
      <c r="AX62" s="103">
        <f>ROUND(AW62*(1+取值表!$D$2),0)</f>
        <v>7766</v>
      </c>
      <c r="AY62" s="101">
        <f t="shared" si="1588"/>
        <v>7766</v>
      </c>
      <c r="AZ62" s="101">
        <f t="shared" si="1589"/>
        <v>7766</v>
      </c>
      <c r="BA62" s="101">
        <f t="shared" si="1590"/>
        <v>7766</v>
      </c>
      <c r="BB62" s="103">
        <f>ROUND(BA62*(1+取值表!$D$2),0)</f>
        <v>8201</v>
      </c>
      <c r="BC62" s="101">
        <f t="shared" si="1591"/>
        <v>8201</v>
      </c>
      <c r="BD62" s="101">
        <f t="shared" si="1592"/>
        <v>8201</v>
      </c>
      <c r="BE62" s="101">
        <f t="shared" si="1593"/>
        <v>8201</v>
      </c>
      <c r="BF62" s="103">
        <f>ROUND(BE62*(1+取值表!$D$2),0)</f>
        <v>8660</v>
      </c>
      <c r="BG62" s="101">
        <f t="shared" si="1594"/>
        <v>8660</v>
      </c>
      <c r="BH62" s="101">
        <f t="shared" si="1595"/>
        <v>8660</v>
      </c>
      <c r="BI62" s="101">
        <f t="shared" si="1596"/>
        <v>8660</v>
      </c>
      <c r="BJ62" s="103">
        <f>ROUND(BI62*(1+取值表!$D$2),0)</f>
        <v>9145</v>
      </c>
      <c r="BK62" s="101">
        <f t="shared" si="1597"/>
        <v>9145</v>
      </c>
      <c r="BL62" s="101">
        <f t="shared" si="1598"/>
        <v>9145</v>
      </c>
      <c r="BM62" s="101">
        <f t="shared" si="1599"/>
        <v>9145</v>
      </c>
      <c r="BN62" s="103">
        <f>ROUND(BM62*(1+取值表!$D$2),0)</f>
        <v>9657</v>
      </c>
      <c r="BO62" s="101">
        <f t="shared" si="1600"/>
        <v>9657</v>
      </c>
      <c r="BP62" s="101">
        <f t="shared" si="1601"/>
        <v>9657</v>
      </c>
      <c r="BQ62" s="101">
        <f t="shared" si="1602"/>
        <v>9657</v>
      </c>
      <c r="BR62" s="103">
        <f>ROUND(BQ62*(1+取值表!$D$2),0)</f>
        <v>10198</v>
      </c>
      <c r="BS62" s="101">
        <f t="shared" si="1603"/>
        <v>10198</v>
      </c>
      <c r="BT62" s="101">
        <f t="shared" si="1604"/>
        <v>10198</v>
      </c>
      <c r="BU62" s="101">
        <f t="shared" si="1605"/>
        <v>10198</v>
      </c>
      <c r="BV62" s="103">
        <f>ROUND(BU62*(1+取值表!$D$2),0)</f>
        <v>10769</v>
      </c>
      <c r="BW62" s="101">
        <f t="shared" si="1606"/>
        <v>10769</v>
      </c>
      <c r="BX62" s="101">
        <f t="shared" si="1607"/>
        <v>10769</v>
      </c>
      <c r="BY62" s="101">
        <f t="shared" si="1608"/>
        <v>10769</v>
      </c>
      <c r="BZ62" s="103">
        <f>ROUND(BY62*(1+取值表!$D$2),0)</f>
        <v>11372</v>
      </c>
      <c r="CA62" s="101">
        <f t="shared" si="1609"/>
        <v>11372</v>
      </c>
      <c r="CB62" s="101">
        <f t="shared" si="1610"/>
        <v>11372</v>
      </c>
      <c r="CC62" s="101">
        <f t="shared" si="1611"/>
        <v>11372</v>
      </c>
      <c r="CD62" s="103">
        <f>ROUND(CC62*(1+取值表!$D$2),0)</f>
        <v>12009</v>
      </c>
      <c r="CE62" s="101">
        <f t="shared" si="1612"/>
        <v>12009</v>
      </c>
      <c r="CF62" s="101">
        <f t="shared" si="1613"/>
        <v>12009</v>
      </c>
      <c r="CG62" s="101">
        <f t="shared" si="1614"/>
        <v>12009</v>
      </c>
      <c r="CH62" s="103">
        <f>ROUND(CG62*(1+取值表!$D$2),0)</f>
        <v>12682</v>
      </c>
      <c r="CI62" s="101">
        <f t="shared" si="1615"/>
        <v>12682</v>
      </c>
      <c r="CJ62" s="101">
        <f t="shared" si="1616"/>
        <v>12682</v>
      </c>
      <c r="CK62" s="101">
        <f t="shared" si="1617"/>
        <v>12682</v>
      </c>
      <c r="CL62" s="103">
        <f>ROUND(CK62*(1+取值表!$D$2),0)</f>
        <v>13392</v>
      </c>
      <c r="CM62" s="101">
        <f t="shared" si="1618"/>
        <v>13392</v>
      </c>
      <c r="CN62" s="101">
        <f t="shared" si="1619"/>
        <v>13392</v>
      </c>
      <c r="CO62" s="101">
        <f t="shared" si="1620"/>
        <v>13392</v>
      </c>
      <c r="CP62" s="104">
        <f t="shared" si="1511"/>
        <v>689560</v>
      </c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4"/>
      <c r="EL62" s="114"/>
      <c r="EM62" s="114"/>
      <c r="EN62" s="114"/>
      <c r="EO62" s="114"/>
      <c r="EP62" s="114"/>
      <c r="EQ62" s="114"/>
      <c r="ER62" s="114"/>
      <c r="ES62" s="114"/>
      <c r="ET62" s="114"/>
      <c r="EU62" s="114"/>
      <c r="EV62" s="114"/>
      <c r="EW62" s="114"/>
      <c r="EX62" s="114"/>
      <c r="EY62" s="114"/>
      <c r="EZ62" s="114"/>
      <c r="FA62" s="114"/>
      <c r="FB62" s="114"/>
      <c r="FC62" s="114"/>
      <c r="FD62" s="114"/>
      <c r="FE62" s="114"/>
      <c r="FF62" s="114"/>
      <c r="FG62" s="114"/>
      <c r="FH62" s="114"/>
      <c r="FI62" s="114"/>
      <c r="FJ62" s="114"/>
      <c r="FK62" s="114"/>
      <c r="FL62" s="114"/>
      <c r="FM62" s="114"/>
      <c r="FN62" s="114"/>
      <c r="FO62" s="114"/>
      <c r="FP62" s="114"/>
      <c r="FQ62" s="114"/>
      <c r="FR62" s="114"/>
      <c r="FS62" s="114"/>
      <c r="FT62" s="114"/>
      <c r="FU62" s="114"/>
      <c r="FV62" s="114"/>
      <c r="FW62" s="114"/>
      <c r="FX62" s="114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114"/>
      <c r="GJ62" s="114"/>
      <c r="GK62" s="114"/>
      <c r="GL62" s="114"/>
      <c r="GM62" s="114"/>
      <c r="GN62" s="114"/>
      <c r="GO62" s="114"/>
      <c r="GP62" s="114"/>
      <c r="GQ62" s="114"/>
      <c r="GR62" s="114"/>
      <c r="GS62" s="114"/>
      <c r="GT62" s="114"/>
      <c r="GU62" s="114"/>
      <c r="GV62" s="114"/>
      <c r="GW62" s="114"/>
      <c r="GX62" s="114"/>
      <c r="GY62" s="114"/>
      <c r="GZ62" s="115">
        <f t="shared" ref="GZ62:GZ71" si="1623">SUM(J62:GY62)</f>
        <v>1379120</v>
      </c>
      <c r="HA62" s="116"/>
      <c r="HB62" s="117"/>
      <c r="HC62" s="118">
        <v>16924.8</v>
      </c>
    </row>
    <row r="63" spans="1:211" s="70" customFormat="1" ht="12.75">
      <c r="A63" s="535"/>
      <c r="B63" s="536"/>
      <c r="C63" s="537"/>
      <c r="D63" s="538"/>
      <c r="E63" s="545"/>
      <c r="F63" s="540"/>
      <c r="G63" s="540"/>
      <c r="H63" s="543"/>
      <c r="I63" s="113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3">
        <f>ROUND(U63*(1+取值表!$D$2),0)</f>
        <v>0</v>
      </c>
      <c r="W63" s="101"/>
      <c r="X63" s="101"/>
      <c r="Y63" s="101"/>
      <c r="Z63" s="103">
        <f>ROUND(Y63*(1+取值表!$D$2),0)</f>
        <v>0</v>
      </c>
      <c r="AA63" s="101"/>
      <c r="AB63" s="101"/>
      <c r="AC63" s="101"/>
      <c r="AD63" s="103">
        <f>ROUND(AC63*(1+取值表!$D$2),0)</f>
        <v>0</v>
      </c>
      <c r="AE63" s="101"/>
      <c r="AF63" s="101"/>
      <c r="AG63" s="101"/>
      <c r="AH63" s="103">
        <f>ROUND(AG63*(1+取值表!$D$2),0)</f>
        <v>0</v>
      </c>
      <c r="AI63" s="101"/>
      <c r="AJ63" s="101"/>
      <c r="AK63" s="101"/>
      <c r="AL63" s="103">
        <f>ROUND(AK63*(1+取值表!$D$2),0)</f>
        <v>0</v>
      </c>
      <c r="AM63" s="101"/>
      <c r="AN63" s="101"/>
      <c r="AO63" s="101"/>
      <c r="AP63" s="103">
        <f>ROUND(AO63*(1+取值表!$D$2),0)</f>
        <v>0</v>
      </c>
      <c r="AQ63" s="101"/>
      <c r="AR63" s="101"/>
      <c r="AS63" s="101"/>
      <c r="AT63" s="103">
        <f>ROUND(AS63*(1+取值表!$D$2),0)</f>
        <v>0</v>
      </c>
      <c r="AU63" s="101"/>
      <c r="AV63" s="101"/>
      <c r="AW63" s="101"/>
      <c r="AX63" s="103">
        <f>ROUND(AW63*(1+取值表!$D$2),0)</f>
        <v>0</v>
      </c>
      <c r="AY63" s="101"/>
      <c r="AZ63" s="101"/>
      <c r="BA63" s="101"/>
      <c r="BB63" s="103">
        <f>ROUND(BA63*(1+取值表!$D$2),0)</f>
        <v>0</v>
      </c>
      <c r="BC63" s="101"/>
      <c r="BD63" s="101"/>
      <c r="BE63" s="101"/>
      <c r="BF63" s="103">
        <f>ROUND(BE63*(1+取值表!$D$2),0)</f>
        <v>0</v>
      </c>
      <c r="BG63" s="101"/>
      <c r="BH63" s="101"/>
      <c r="BI63" s="101"/>
      <c r="BJ63" s="103">
        <f>ROUND(BI63*(1+取值表!$D$2),0)</f>
        <v>0</v>
      </c>
      <c r="BK63" s="101"/>
      <c r="BL63" s="101"/>
      <c r="BM63" s="101"/>
      <c r="BN63" s="103">
        <f>ROUND(BM63*(1+取值表!$D$2),0)</f>
        <v>0</v>
      </c>
      <c r="BO63" s="101"/>
      <c r="BP63" s="101"/>
      <c r="BQ63" s="101"/>
      <c r="BR63" s="103">
        <f>ROUND(BQ63*(1+取值表!$D$2),0)</f>
        <v>0</v>
      </c>
      <c r="BS63" s="101"/>
      <c r="BT63" s="101"/>
      <c r="BU63" s="101"/>
      <c r="BV63" s="103">
        <f>ROUND(BU63*(1+取值表!$D$2),0)</f>
        <v>0</v>
      </c>
      <c r="BW63" s="101"/>
      <c r="BX63" s="101"/>
      <c r="BY63" s="101"/>
      <c r="BZ63" s="103">
        <f>ROUND(BY63*(1+取值表!$D$2),0)</f>
        <v>0</v>
      </c>
      <c r="CA63" s="101"/>
      <c r="CB63" s="101"/>
      <c r="CC63" s="101"/>
      <c r="CD63" s="103">
        <f>ROUND(CC63*(1+取值表!$D$2),0)</f>
        <v>0</v>
      </c>
      <c r="CE63" s="101"/>
      <c r="CF63" s="101"/>
      <c r="CG63" s="101"/>
      <c r="CH63" s="103">
        <f>ROUND(CG63*(1+取值表!$D$2),0)</f>
        <v>0</v>
      </c>
      <c r="CI63" s="101"/>
      <c r="CJ63" s="101"/>
      <c r="CK63" s="101"/>
      <c r="CL63" s="103">
        <f>ROUND(CK63*(1+取值表!$D$2),0)</f>
        <v>0</v>
      </c>
      <c r="CM63" s="101"/>
      <c r="CN63" s="101"/>
      <c r="CO63" s="101"/>
      <c r="CP63" s="104">
        <f t="shared" si="1511"/>
        <v>0</v>
      </c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114"/>
      <c r="ES63" s="114"/>
      <c r="ET63" s="114"/>
      <c r="EU63" s="114"/>
      <c r="EV63" s="114"/>
      <c r="EW63" s="114"/>
      <c r="EX63" s="114"/>
      <c r="EY63" s="114"/>
      <c r="EZ63" s="114"/>
      <c r="FA63" s="114"/>
      <c r="FB63" s="114"/>
      <c r="FC63" s="114"/>
      <c r="FD63" s="114"/>
      <c r="FE63" s="114"/>
      <c r="FF63" s="114"/>
      <c r="FG63" s="114"/>
      <c r="FH63" s="114"/>
      <c r="FI63" s="114"/>
      <c r="FJ63" s="114"/>
      <c r="FK63" s="114"/>
      <c r="FL63" s="114"/>
      <c r="FM63" s="114"/>
      <c r="FN63" s="114"/>
      <c r="FO63" s="114"/>
      <c r="FP63" s="114"/>
      <c r="FQ63" s="114"/>
      <c r="FR63" s="114"/>
      <c r="FS63" s="114"/>
      <c r="FT63" s="114"/>
      <c r="FU63" s="114"/>
      <c r="FV63" s="114"/>
      <c r="FW63" s="114"/>
      <c r="FX63" s="114"/>
      <c r="FY63" s="114"/>
      <c r="FZ63" s="114"/>
      <c r="GA63" s="114"/>
      <c r="GB63" s="114"/>
      <c r="GC63" s="114"/>
      <c r="GD63" s="114"/>
      <c r="GE63" s="114"/>
      <c r="GF63" s="114"/>
      <c r="GG63" s="114"/>
      <c r="GH63" s="114"/>
      <c r="GI63" s="114"/>
      <c r="GJ63" s="114"/>
      <c r="GK63" s="114"/>
      <c r="GL63" s="114"/>
      <c r="GM63" s="114"/>
      <c r="GN63" s="114"/>
      <c r="GO63" s="114"/>
      <c r="GP63" s="114"/>
      <c r="GQ63" s="114"/>
      <c r="GR63" s="114"/>
      <c r="GS63" s="114"/>
      <c r="GT63" s="114"/>
      <c r="GU63" s="114"/>
      <c r="GV63" s="114"/>
      <c r="GW63" s="114"/>
      <c r="GX63" s="114"/>
      <c r="GY63" s="114"/>
      <c r="GZ63" s="115">
        <f t="shared" si="1623"/>
        <v>0</v>
      </c>
      <c r="HA63" s="116"/>
      <c r="HB63" s="117"/>
      <c r="HC63" s="118">
        <v>8462.4</v>
      </c>
    </row>
    <row r="64" spans="1:211" s="70" customFormat="1" ht="13.5" customHeight="1">
      <c r="A64" s="535">
        <v>32</v>
      </c>
      <c r="B64" s="536" t="s">
        <v>946</v>
      </c>
      <c r="C64" s="537" t="s">
        <v>901</v>
      </c>
      <c r="D64" s="538" t="s">
        <v>630</v>
      </c>
      <c r="E64" s="539" t="s">
        <v>631</v>
      </c>
      <c r="F64" s="540">
        <v>16</v>
      </c>
      <c r="G64" s="540">
        <v>3.12</v>
      </c>
      <c r="H64" s="542">
        <f t="shared" si="1456"/>
        <v>18220.8</v>
      </c>
      <c r="I64" s="541"/>
      <c r="J64" s="102">
        <f>ROUND(G64*F64*365/4,0)</f>
        <v>4555</v>
      </c>
      <c r="K64" s="101">
        <f>J64</f>
        <v>4555</v>
      </c>
      <c r="L64" s="101">
        <f>K64</f>
        <v>4555</v>
      </c>
      <c r="M64" s="101">
        <f>L64</f>
        <v>4555</v>
      </c>
      <c r="N64" s="103">
        <f>ROUND(M64*(1+取值表!$D$2)*取值表!$I$2,0)</f>
        <v>4526</v>
      </c>
      <c r="O64" s="101">
        <f>N64</f>
        <v>4526</v>
      </c>
      <c r="P64" s="101">
        <f>O64</f>
        <v>4526</v>
      </c>
      <c r="Q64" s="101">
        <f>P64</f>
        <v>4526</v>
      </c>
      <c r="R64" s="278">
        <f>ROUND(Q64*(1+取值表!$D$2),0)</f>
        <v>4779</v>
      </c>
      <c r="S64" s="101">
        <f t="shared" ref="S64:U64" si="1624">R64</f>
        <v>4779</v>
      </c>
      <c r="T64" s="101">
        <f t="shared" si="1624"/>
        <v>4779</v>
      </c>
      <c r="U64" s="101">
        <f t="shared" si="1624"/>
        <v>4779</v>
      </c>
      <c r="V64" s="103">
        <f>ROUND(U64*(1+取值表!$D$2),0)</f>
        <v>5047</v>
      </c>
      <c r="W64" s="101">
        <f t="shared" ref="W64:Y64" si="1625">V64</f>
        <v>5047</v>
      </c>
      <c r="X64" s="101">
        <f t="shared" si="1625"/>
        <v>5047</v>
      </c>
      <c r="Y64" s="101">
        <f t="shared" si="1625"/>
        <v>5047</v>
      </c>
      <c r="Z64" s="103">
        <f>ROUND(Y64*(1+取值表!$D$2),0)</f>
        <v>5330</v>
      </c>
      <c r="AA64" s="101">
        <f t="shared" ref="AA64" si="1626">Z64</f>
        <v>5330</v>
      </c>
      <c r="AB64" s="101">
        <f t="shared" ref="AB64" si="1627">AA64</f>
        <v>5330</v>
      </c>
      <c r="AC64" s="101">
        <f t="shared" ref="AC64" si="1628">AB64</f>
        <v>5330</v>
      </c>
      <c r="AD64" s="103">
        <f>ROUND(AC64*(1+取值表!$D$2),0)</f>
        <v>5628</v>
      </c>
      <c r="AE64" s="101">
        <f t="shared" ref="AE64" si="1629">AD64</f>
        <v>5628</v>
      </c>
      <c r="AF64" s="101">
        <f t="shared" ref="AF64" si="1630">AE64</f>
        <v>5628</v>
      </c>
      <c r="AG64" s="101">
        <f t="shared" ref="AG64" si="1631">AF64</f>
        <v>5628</v>
      </c>
      <c r="AH64" s="103">
        <f>ROUND(AG64*(1+取值表!$D$2),0)</f>
        <v>5943</v>
      </c>
      <c r="AI64" s="101">
        <f t="shared" ref="AI64" si="1632">AH64</f>
        <v>5943</v>
      </c>
      <c r="AJ64" s="101">
        <f t="shared" ref="AJ64" si="1633">AI64</f>
        <v>5943</v>
      </c>
      <c r="AK64" s="101">
        <f t="shared" ref="AK64" si="1634">AJ64</f>
        <v>5943</v>
      </c>
      <c r="AL64" s="103">
        <f>ROUND(AK64*(1+取值表!$D$2),0)</f>
        <v>6276</v>
      </c>
      <c r="AM64" s="101">
        <f t="shared" ref="AM64" si="1635">AL64</f>
        <v>6276</v>
      </c>
      <c r="AN64" s="101">
        <f t="shared" ref="AN64" si="1636">AM64</f>
        <v>6276</v>
      </c>
      <c r="AO64" s="101">
        <f t="shared" ref="AO64" si="1637">AN64</f>
        <v>6276</v>
      </c>
      <c r="AP64" s="103">
        <f>ROUND(AO64*(1+取值表!$D$2),0)</f>
        <v>6627</v>
      </c>
      <c r="AQ64" s="101">
        <f t="shared" ref="AQ64" si="1638">AP64</f>
        <v>6627</v>
      </c>
      <c r="AR64" s="101">
        <f t="shared" ref="AR64" si="1639">AQ64</f>
        <v>6627</v>
      </c>
      <c r="AS64" s="101">
        <f t="shared" ref="AS64" si="1640">AR64</f>
        <v>6627</v>
      </c>
      <c r="AT64" s="103">
        <f>ROUND(AS64*(1+取值表!$D$2),0)</f>
        <v>6998</v>
      </c>
      <c r="AU64" s="101">
        <f t="shared" ref="AU64" si="1641">AT64</f>
        <v>6998</v>
      </c>
      <c r="AV64" s="101">
        <f t="shared" ref="AV64" si="1642">AU64</f>
        <v>6998</v>
      </c>
      <c r="AW64" s="101">
        <f t="shared" ref="AW64" si="1643">AV64</f>
        <v>6998</v>
      </c>
      <c r="AX64" s="103">
        <f>ROUND(AW64*(1+取值表!$D$2),0)</f>
        <v>7390</v>
      </c>
      <c r="AY64" s="101">
        <f t="shared" ref="AY64" si="1644">AX64</f>
        <v>7390</v>
      </c>
      <c r="AZ64" s="101">
        <f t="shared" ref="AZ64" si="1645">AY64</f>
        <v>7390</v>
      </c>
      <c r="BA64" s="101">
        <f t="shared" ref="BA64" si="1646">AZ64</f>
        <v>7390</v>
      </c>
      <c r="BB64" s="103">
        <f>ROUND(BA64*(1+取值表!$D$2),0)</f>
        <v>7804</v>
      </c>
      <c r="BC64" s="101">
        <f t="shared" ref="BC64" si="1647">BB64</f>
        <v>7804</v>
      </c>
      <c r="BD64" s="101">
        <f t="shared" ref="BD64" si="1648">BC64</f>
        <v>7804</v>
      </c>
      <c r="BE64" s="101">
        <f t="shared" ref="BE64" si="1649">BD64</f>
        <v>7804</v>
      </c>
      <c r="BF64" s="103">
        <f>ROUND(BE64*(1+取值表!$D$2),0)</f>
        <v>8241</v>
      </c>
      <c r="BG64" s="101">
        <f t="shared" ref="BG64" si="1650">BF64</f>
        <v>8241</v>
      </c>
      <c r="BH64" s="101">
        <f t="shared" ref="BH64" si="1651">BG64</f>
        <v>8241</v>
      </c>
      <c r="BI64" s="101">
        <f t="shared" ref="BI64" si="1652">BH64</f>
        <v>8241</v>
      </c>
      <c r="BJ64" s="103">
        <f>ROUND(BI64*(1+取值表!$D$2),0)</f>
        <v>8702</v>
      </c>
      <c r="BK64" s="101">
        <f t="shared" ref="BK64" si="1653">BJ64</f>
        <v>8702</v>
      </c>
      <c r="BL64" s="101">
        <f t="shared" ref="BL64" si="1654">BK64</f>
        <v>8702</v>
      </c>
      <c r="BM64" s="101">
        <f t="shared" ref="BM64" si="1655">BL64</f>
        <v>8702</v>
      </c>
      <c r="BN64" s="103">
        <f>ROUND(BM64*(1+取值表!$D$2),0)</f>
        <v>9189</v>
      </c>
      <c r="BO64" s="101">
        <f t="shared" ref="BO64" si="1656">BN64</f>
        <v>9189</v>
      </c>
      <c r="BP64" s="101">
        <f t="shared" ref="BP64" si="1657">BO64</f>
        <v>9189</v>
      </c>
      <c r="BQ64" s="101">
        <f t="shared" ref="BQ64" si="1658">BP64</f>
        <v>9189</v>
      </c>
      <c r="BR64" s="103">
        <f>ROUND(BQ64*(1+取值表!$D$2),0)</f>
        <v>9704</v>
      </c>
      <c r="BS64" s="101">
        <f t="shared" ref="BS64" si="1659">BR64</f>
        <v>9704</v>
      </c>
      <c r="BT64" s="101">
        <f t="shared" ref="BT64" si="1660">BS64</f>
        <v>9704</v>
      </c>
      <c r="BU64" s="101">
        <f t="shared" ref="BU64" si="1661">BT64</f>
        <v>9704</v>
      </c>
      <c r="BV64" s="103">
        <f>ROUND(BU64*(1+取值表!$D$2),0)</f>
        <v>10247</v>
      </c>
      <c r="BW64" s="101">
        <f t="shared" ref="BW64" si="1662">BV64</f>
        <v>10247</v>
      </c>
      <c r="BX64" s="101">
        <f t="shared" ref="BX64" si="1663">BW64</f>
        <v>10247</v>
      </c>
      <c r="BY64" s="101">
        <f t="shared" ref="BY64" si="1664">BX64</f>
        <v>10247</v>
      </c>
      <c r="BZ64" s="103">
        <f>ROUND(BY64*(1+取值表!$D$2),0)</f>
        <v>10821</v>
      </c>
      <c r="CA64" s="101">
        <f t="shared" ref="CA64" si="1665">BZ64</f>
        <v>10821</v>
      </c>
      <c r="CB64" s="101">
        <f t="shared" ref="CB64" si="1666">CA64</f>
        <v>10821</v>
      </c>
      <c r="CC64" s="101">
        <f t="shared" ref="CC64" si="1667">CB64</f>
        <v>10821</v>
      </c>
      <c r="CD64" s="103">
        <f>ROUND(CC64*(1+取值表!$D$2),0)</f>
        <v>11427</v>
      </c>
      <c r="CE64" s="101">
        <f t="shared" ref="CE64" si="1668">CD64</f>
        <v>11427</v>
      </c>
      <c r="CF64" s="101">
        <f t="shared" ref="CF64" si="1669">CE64</f>
        <v>11427</v>
      </c>
      <c r="CG64" s="101">
        <f t="shared" ref="CG64" si="1670">CF64</f>
        <v>11427</v>
      </c>
      <c r="CH64" s="103">
        <f>ROUND(CG64*(1+取值表!$D$2),0)</f>
        <v>12067</v>
      </c>
      <c r="CI64" s="101">
        <f t="shared" ref="CI64" si="1671">CH64</f>
        <v>12067</v>
      </c>
      <c r="CJ64" s="101">
        <f t="shared" ref="CJ64" si="1672">CI64</f>
        <v>12067</v>
      </c>
      <c r="CK64" s="101">
        <f t="shared" ref="CK64" si="1673">CJ64</f>
        <v>12067</v>
      </c>
      <c r="CL64" s="103">
        <f>ROUND(CK64*(1+取值表!$D$2),0)</f>
        <v>12743</v>
      </c>
      <c r="CM64" s="101">
        <f t="shared" ref="CM64" si="1674">CL64</f>
        <v>12743</v>
      </c>
      <c r="CN64" s="101">
        <f t="shared" ref="CN64" si="1675">CM64</f>
        <v>12743</v>
      </c>
      <c r="CO64" s="101">
        <f t="shared" ref="CO64" si="1676">CN64</f>
        <v>12743</v>
      </c>
      <c r="CP64" s="104">
        <f t="shared" si="1511"/>
        <v>656176</v>
      </c>
      <c r="CQ64" s="119"/>
      <c r="CR64" s="119"/>
      <c r="CS64" s="119"/>
      <c r="CT64" s="119"/>
      <c r="CU64" s="119"/>
      <c r="CV64" s="119"/>
      <c r="CW64" s="119"/>
      <c r="CX64" s="119"/>
      <c r="CY64" s="119"/>
      <c r="CZ64" s="119"/>
      <c r="DA64" s="119"/>
      <c r="DB64" s="119"/>
      <c r="DC64" s="119"/>
      <c r="DD64" s="119"/>
      <c r="DE64" s="119"/>
      <c r="DF64" s="119"/>
      <c r="DG64" s="119"/>
      <c r="DH64" s="119"/>
      <c r="DI64" s="119"/>
      <c r="DJ64" s="119"/>
      <c r="DK64" s="119"/>
      <c r="DL64" s="119"/>
      <c r="DM64" s="119"/>
      <c r="DN64" s="119"/>
      <c r="DO64" s="119"/>
      <c r="DP64" s="119"/>
      <c r="DQ64" s="119"/>
      <c r="DR64" s="119"/>
      <c r="DS64" s="119"/>
      <c r="DT64" s="119"/>
      <c r="DU64" s="119"/>
      <c r="DV64" s="119"/>
      <c r="DW64" s="119"/>
      <c r="DX64" s="119"/>
      <c r="DY64" s="119"/>
      <c r="DZ64" s="119"/>
      <c r="EA64" s="119"/>
      <c r="EB64" s="119"/>
      <c r="EC64" s="119"/>
      <c r="ED64" s="119"/>
      <c r="EE64" s="119"/>
      <c r="EF64" s="119"/>
      <c r="EG64" s="119"/>
      <c r="EH64" s="119"/>
      <c r="EI64" s="119"/>
      <c r="EJ64" s="119"/>
      <c r="EK64" s="119"/>
      <c r="EL64" s="119"/>
      <c r="EM64" s="119"/>
      <c r="EN64" s="119"/>
      <c r="EO64" s="119"/>
      <c r="EP64" s="119"/>
      <c r="EQ64" s="119"/>
      <c r="ER64" s="119"/>
      <c r="ES64" s="119"/>
      <c r="ET64" s="119"/>
      <c r="EU64" s="119"/>
      <c r="EV64" s="119"/>
      <c r="EW64" s="119"/>
      <c r="EX64" s="119"/>
      <c r="EY64" s="119"/>
      <c r="EZ64" s="119"/>
      <c r="FA64" s="119"/>
      <c r="FB64" s="119"/>
      <c r="FC64" s="119"/>
      <c r="FD64" s="119"/>
      <c r="FE64" s="119"/>
      <c r="FF64" s="119"/>
      <c r="FG64" s="119"/>
      <c r="FH64" s="119"/>
      <c r="FI64" s="119"/>
      <c r="FJ64" s="119"/>
      <c r="FK64" s="119"/>
      <c r="FL64" s="119"/>
      <c r="FM64" s="119"/>
      <c r="FN64" s="119"/>
      <c r="FO64" s="119"/>
      <c r="FP64" s="119"/>
      <c r="FQ64" s="119"/>
      <c r="FR64" s="119"/>
      <c r="FS64" s="119"/>
      <c r="FT64" s="119"/>
      <c r="FU64" s="119"/>
      <c r="FV64" s="119"/>
      <c r="FW64" s="119"/>
      <c r="FX64" s="119"/>
      <c r="FY64" s="119"/>
      <c r="FZ64" s="119"/>
      <c r="GA64" s="119"/>
      <c r="GB64" s="119"/>
      <c r="GC64" s="119"/>
      <c r="GD64" s="119"/>
      <c r="GE64" s="119"/>
      <c r="GF64" s="119"/>
      <c r="GG64" s="119"/>
      <c r="GH64" s="119"/>
      <c r="GI64" s="119"/>
      <c r="GJ64" s="119"/>
      <c r="GK64" s="119"/>
      <c r="GL64" s="119"/>
      <c r="GM64" s="119"/>
      <c r="GN64" s="119"/>
      <c r="GO64" s="119"/>
      <c r="GP64" s="119"/>
      <c r="GQ64" s="119"/>
      <c r="GR64" s="119"/>
      <c r="GS64" s="119"/>
      <c r="GT64" s="119"/>
      <c r="GU64" s="119"/>
      <c r="GV64" s="119"/>
      <c r="GW64" s="119"/>
      <c r="GX64" s="119"/>
      <c r="GY64" s="119"/>
      <c r="GZ64" s="120">
        <f t="shared" si="1623"/>
        <v>1312352</v>
      </c>
      <c r="HA64" s="121">
        <f>HB64*2</f>
        <v>14467.04</v>
      </c>
      <c r="HB64" s="122">
        <v>7233.52</v>
      </c>
      <c r="HC64" s="118">
        <v>58880</v>
      </c>
    </row>
    <row r="65" spans="1:211" s="70" customFormat="1" ht="12.75">
      <c r="A65" s="535"/>
      <c r="B65" s="536"/>
      <c r="C65" s="537"/>
      <c r="D65" s="538"/>
      <c r="E65" s="539"/>
      <c r="F65" s="540"/>
      <c r="G65" s="540"/>
      <c r="H65" s="543"/>
      <c r="I65" s="54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3">
        <f>ROUND(U65*(1+取值表!$D$2),0)</f>
        <v>0</v>
      </c>
      <c r="W65" s="101"/>
      <c r="X65" s="101"/>
      <c r="Y65" s="101"/>
      <c r="Z65" s="103">
        <f>ROUND(Y65*(1+取值表!$D$2),0)</f>
        <v>0</v>
      </c>
      <c r="AA65" s="101"/>
      <c r="AB65" s="101"/>
      <c r="AC65" s="101"/>
      <c r="AD65" s="103">
        <f>ROUND(AC65*(1+取值表!$D$2),0)</f>
        <v>0</v>
      </c>
      <c r="AE65" s="101"/>
      <c r="AF65" s="101"/>
      <c r="AG65" s="101"/>
      <c r="AH65" s="103">
        <f>ROUND(AG65*(1+取值表!$D$2),0)</f>
        <v>0</v>
      </c>
      <c r="AI65" s="101"/>
      <c r="AJ65" s="101"/>
      <c r="AK65" s="101"/>
      <c r="AL65" s="103">
        <f>ROUND(AK65*(1+取值表!$D$2),0)</f>
        <v>0</v>
      </c>
      <c r="AM65" s="101"/>
      <c r="AN65" s="101"/>
      <c r="AO65" s="101"/>
      <c r="AP65" s="103">
        <f>ROUND(AO65*(1+取值表!$D$2),0)</f>
        <v>0</v>
      </c>
      <c r="AQ65" s="101"/>
      <c r="AR65" s="101"/>
      <c r="AS65" s="101"/>
      <c r="AT65" s="103">
        <f>ROUND(AS65*(1+取值表!$D$2),0)</f>
        <v>0</v>
      </c>
      <c r="AU65" s="101"/>
      <c r="AV65" s="101"/>
      <c r="AW65" s="101"/>
      <c r="AX65" s="103">
        <f>ROUND(AW65*(1+取值表!$D$2),0)</f>
        <v>0</v>
      </c>
      <c r="AY65" s="101"/>
      <c r="AZ65" s="101"/>
      <c r="BA65" s="101"/>
      <c r="BB65" s="103">
        <f>ROUND(BA65*(1+取值表!$D$2),0)</f>
        <v>0</v>
      </c>
      <c r="BC65" s="101"/>
      <c r="BD65" s="101"/>
      <c r="BE65" s="101"/>
      <c r="BF65" s="103">
        <f>ROUND(BE65*(1+取值表!$D$2),0)</f>
        <v>0</v>
      </c>
      <c r="BG65" s="101"/>
      <c r="BH65" s="101"/>
      <c r="BI65" s="101"/>
      <c r="BJ65" s="103">
        <f>ROUND(BI65*(1+取值表!$D$2),0)</f>
        <v>0</v>
      </c>
      <c r="BK65" s="101"/>
      <c r="BL65" s="101"/>
      <c r="BM65" s="101"/>
      <c r="BN65" s="103">
        <f>ROUND(BM65*(1+取值表!$D$2),0)</f>
        <v>0</v>
      </c>
      <c r="BO65" s="101"/>
      <c r="BP65" s="101"/>
      <c r="BQ65" s="101"/>
      <c r="BR65" s="103">
        <f>ROUND(BQ65*(1+取值表!$D$2),0)</f>
        <v>0</v>
      </c>
      <c r="BS65" s="101"/>
      <c r="BT65" s="101"/>
      <c r="BU65" s="101"/>
      <c r="BV65" s="103">
        <f>ROUND(BU65*(1+取值表!$D$2),0)</f>
        <v>0</v>
      </c>
      <c r="BW65" s="101"/>
      <c r="BX65" s="101"/>
      <c r="BY65" s="101"/>
      <c r="BZ65" s="103">
        <f>ROUND(BY65*(1+取值表!$D$2),0)</f>
        <v>0</v>
      </c>
      <c r="CA65" s="101"/>
      <c r="CB65" s="101"/>
      <c r="CC65" s="101"/>
      <c r="CD65" s="103">
        <f>ROUND(CC65*(1+取值表!$D$2),0)</f>
        <v>0</v>
      </c>
      <c r="CE65" s="101"/>
      <c r="CF65" s="101"/>
      <c r="CG65" s="101"/>
      <c r="CH65" s="103">
        <f>ROUND(CG65*(1+取值表!$D$2),0)</f>
        <v>0</v>
      </c>
      <c r="CI65" s="101"/>
      <c r="CJ65" s="101"/>
      <c r="CK65" s="101"/>
      <c r="CL65" s="103">
        <f>ROUND(CK65*(1+取值表!$D$2),0)</f>
        <v>0</v>
      </c>
      <c r="CM65" s="101"/>
      <c r="CN65" s="101"/>
      <c r="CO65" s="101"/>
      <c r="CP65" s="104">
        <f t="shared" si="1511"/>
        <v>0</v>
      </c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4"/>
      <c r="EL65" s="114"/>
      <c r="EM65" s="114"/>
      <c r="EN65" s="114"/>
      <c r="EO65" s="114"/>
      <c r="EP65" s="114"/>
      <c r="EQ65" s="114"/>
      <c r="ER65" s="114"/>
      <c r="ES65" s="114"/>
      <c r="ET65" s="114"/>
      <c r="EU65" s="114"/>
      <c r="EV65" s="114"/>
      <c r="EW65" s="114"/>
      <c r="EX65" s="114"/>
      <c r="EY65" s="114"/>
      <c r="EZ65" s="114"/>
      <c r="FA65" s="114"/>
      <c r="FB65" s="114"/>
      <c r="FC65" s="114"/>
      <c r="FD65" s="114"/>
      <c r="FE65" s="114"/>
      <c r="FF65" s="114"/>
      <c r="FG65" s="114"/>
      <c r="FH65" s="114"/>
      <c r="FI65" s="114"/>
      <c r="FJ65" s="114"/>
      <c r="FK65" s="114"/>
      <c r="FL65" s="114"/>
      <c r="FM65" s="114"/>
      <c r="FN65" s="114"/>
      <c r="FO65" s="114"/>
      <c r="FP65" s="114"/>
      <c r="FQ65" s="114"/>
      <c r="FR65" s="114"/>
      <c r="FS65" s="114"/>
      <c r="FT65" s="114"/>
      <c r="FU65" s="114"/>
      <c r="FV65" s="114"/>
      <c r="FW65" s="114"/>
      <c r="FX65" s="114"/>
      <c r="FY65" s="114"/>
      <c r="FZ65" s="114"/>
      <c r="GA65" s="114"/>
      <c r="GB65" s="114"/>
      <c r="GC65" s="114"/>
      <c r="GD65" s="114"/>
      <c r="GE65" s="114"/>
      <c r="GF65" s="114"/>
      <c r="GG65" s="114"/>
      <c r="GH65" s="114"/>
      <c r="GI65" s="114"/>
      <c r="GJ65" s="114"/>
      <c r="GK65" s="114"/>
      <c r="GL65" s="114"/>
      <c r="GM65" s="114"/>
      <c r="GN65" s="114"/>
      <c r="GO65" s="114"/>
      <c r="GP65" s="114"/>
      <c r="GQ65" s="114"/>
      <c r="GR65" s="114"/>
      <c r="GS65" s="114"/>
      <c r="GT65" s="114"/>
      <c r="GU65" s="114"/>
      <c r="GV65" s="114"/>
      <c r="GW65" s="114"/>
      <c r="GX65" s="114"/>
      <c r="GY65" s="114"/>
      <c r="GZ65" s="115">
        <f t="shared" si="1623"/>
        <v>0</v>
      </c>
      <c r="HA65" s="116">
        <v>14467.04</v>
      </c>
      <c r="HB65" s="117">
        <v>7233.52</v>
      </c>
      <c r="HC65" s="118">
        <v>47360</v>
      </c>
    </row>
    <row r="66" spans="1:211" s="70" customFormat="1" ht="12" customHeight="1">
      <c r="A66" s="535">
        <v>33</v>
      </c>
      <c r="B66" s="536" t="s">
        <v>947</v>
      </c>
      <c r="C66" s="537" t="s">
        <v>926</v>
      </c>
      <c r="D66" s="538" t="s">
        <v>545</v>
      </c>
      <c r="E66" s="539" t="s">
        <v>631</v>
      </c>
      <c r="F66" s="540">
        <v>17.63</v>
      </c>
      <c r="G66" s="540">
        <v>3.12</v>
      </c>
      <c r="H66" s="542">
        <f>G66*F66*365</f>
        <v>20077.044000000002</v>
      </c>
      <c r="I66" s="541"/>
      <c r="J66" s="102">
        <f>ROUND(G66*F66*365/4,0)</f>
        <v>5019</v>
      </c>
      <c r="K66" s="101">
        <f>J66</f>
        <v>5019</v>
      </c>
      <c r="L66" s="101">
        <f>K66</f>
        <v>5019</v>
      </c>
      <c r="M66" s="101">
        <f>L66</f>
        <v>5019</v>
      </c>
      <c r="N66" s="103">
        <f>ROUND(M66*(1+取值表!$D$2)*取值表!$I$2,0)</f>
        <v>4987</v>
      </c>
      <c r="O66" s="101">
        <f>N66</f>
        <v>4987</v>
      </c>
      <c r="P66" s="101">
        <f>O66</f>
        <v>4987</v>
      </c>
      <c r="Q66" s="101">
        <f>P66</f>
        <v>4987</v>
      </c>
      <c r="R66" s="278">
        <f>ROUND(Q66*(1+取值表!$D$2),0)</f>
        <v>5266</v>
      </c>
      <c r="S66" s="101">
        <f t="shared" ref="S66:U66" si="1677">R66</f>
        <v>5266</v>
      </c>
      <c r="T66" s="101">
        <f t="shared" si="1677"/>
        <v>5266</v>
      </c>
      <c r="U66" s="101">
        <f t="shared" si="1677"/>
        <v>5266</v>
      </c>
      <c r="V66" s="103">
        <f>ROUND(U66*(1+取值表!$D$2),0)</f>
        <v>5561</v>
      </c>
      <c r="W66" s="101">
        <f t="shared" ref="W66:Y66" si="1678">V66</f>
        <v>5561</v>
      </c>
      <c r="X66" s="101">
        <f t="shared" si="1678"/>
        <v>5561</v>
      </c>
      <c r="Y66" s="101">
        <f t="shared" si="1678"/>
        <v>5561</v>
      </c>
      <c r="Z66" s="103">
        <f>ROUND(Y66*(1+取值表!$D$2),0)</f>
        <v>5872</v>
      </c>
      <c r="AA66" s="101">
        <f t="shared" ref="AA66" si="1679">Z66</f>
        <v>5872</v>
      </c>
      <c r="AB66" s="101">
        <f t="shared" ref="AB66" si="1680">AA66</f>
        <v>5872</v>
      </c>
      <c r="AC66" s="101">
        <f t="shared" ref="AC66" si="1681">AB66</f>
        <v>5872</v>
      </c>
      <c r="AD66" s="103">
        <f>ROUND(AC66*(1+取值表!$D$2),0)</f>
        <v>6201</v>
      </c>
      <c r="AE66" s="101">
        <f t="shared" ref="AE66" si="1682">AD66</f>
        <v>6201</v>
      </c>
      <c r="AF66" s="101">
        <f t="shared" ref="AF66" si="1683">AE66</f>
        <v>6201</v>
      </c>
      <c r="AG66" s="101">
        <f t="shared" ref="AG66" si="1684">AF66</f>
        <v>6201</v>
      </c>
      <c r="AH66" s="103">
        <f>ROUND(AG66*(1+取值表!$D$2),0)</f>
        <v>6548</v>
      </c>
      <c r="AI66" s="101">
        <f t="shared" ref="AI66" si="1685">AH66</f>
        <v>6548</v>
      </c>
      <c r="AJ66" s="101">
        <f t="shared" ref="AJ66" si="1686">AI66</f>
        <v>6548</v>
      </c>
      <c r="AK66" s="101">
        <f t="shared" ref="AK66" si="1687">AJ66</f>
        <v>6548</v>
      </c>
      <c r="AL66" s="103">
        <f>ROUND(AK66*(1+取值表!$D$2),0)</f>
        <v>6915</v>
      </c>
      <c r="AM66" s="101">
        <f t="shared" ref="AM66" si="1688">AL66</f>
        <v>6915</v>
      </c>
      <c r="AN66" s="101">
        <f t="shared" ref="AN66" si="1689">AM66</f>
        <v>6915</v>
      </c>
      <c r="AO66" s="101">
        <f t="shared" ref="AO66" si="1690">AN66</f>
        <v>6915</v>
      </c>
      <c r="AP66" s="103">
        <f>ROUND(AO66*(1+取值表!$D$2),0)</f>
        <v>7302</v>
      </c>
      <c r="AQ66" s="101">
        <f t="shared" ref="AQ66" si="1691">AP66</f>
        <v>7302</v>
      </c>
      <c r="AR66" s="101">
        <f t="shared" ref="AR66" si="1692">AQ66</f>
        <v>7302</v>
      </c>
      <c r="AS66" s="101">
        <f t="shared" ref="AS66" si="1693">AR66</f>
        <v>7302</v>
      </c>
      <c r="AT66" s="103">
        <f>ROUND(AS66*(1+取值表!$D$2),0)</f>
        <v>7711</v>
      </c>
      <c r="AU66" s="101">
        <f t="shared" ref="AU66" si="1694">AT66</f>
        <v>7711</v>
      </c>
      <c r="AV66" s="101">
        <f t="shared" ref="AV66" si="1695">AU66</f>
        <v>7711</v>
      </c>
      <c r="AW66" s="101">
        <f t="shared" ref="AW66" si="1696">AV66</f>
        <v>7711</v>
      </c>
      <c r="AX66" s="103">
        <f>ROUND(AW66*(1+取值表!$D$2),0)</f>
        <v>8143</v>
      </c>
      <c r="AY66" s="101">
        <f t="shared" ref="AY66" si="1697">AX66</f>
        <v>8143</v>
      </c>
      <c r="AZ66" s="101">
        <f t="shared" ref="AZ66" si="1698">AY66</f>
        <v>8143</v>
      </c>
      <c r="BA66" s="101">
        <f t="shared" ref="BA66" si="1699">AZ66</f>
        <v>8143</v>
      </c>
      <c r="BB66" s="103">
        <f>ROUND(BA66*(1+取值表!$D$2),0)</f>
        <v>8599</v>
      </c>
      <c r="BC66" s="101">
        <f t="shared" ref="BC66" si="1700">BB66</f>
        <v>8599</v>
      </c>
      <c r="BD66" s="101">
        <f t="shared" ref="BD66" si="1701">BC66</f>
        <v>8599</v>
      </c>
      <c r="BE66" s="101">
        <f t="shared" ref="BE66" si="1702">BD66</f>
        <v>8599</v>
      </c>
      <c r="BF66" s="103">
        <f>ROUND(BE66*(1+取值表!$D$2),0)</f>
        <v>9081</v>
      </c>
      <c r="BG66" s="101">
        <f t="shared" ref="BG66" si="1703">BF66</f>
        <v>9081</v>
      </c>
      <c r="BH66" s="101">
        <f t="shared" ref="BH66" si="1704">BG66</f>
        <v>9081</v>
      </c>
      <c r="BI66" s="101">
        <f t="shared" ref="BI66" si="1705">BH66</f>
        <v>9081</v>
      </c>
      <c r="BJ66" s="103">
        <f>ROUND(BI66*(1+取值表!$D$2),0)</f>
        <v>9590</v>
      </c>
      <c r="BK66" s="101">
        <f t="shared" ref="BK66" si="1706">BJ66</f>
        <v>9590</v>
      </c>
      <c r="BL66" s="101">
        <f t="shared" ref="BL66" si="1707">BK66</f>
        <v>9590</v>
      </c>
      <c r="BM66" s="101">
        <f t="shared" ref="BM66" si="1708">BL66</f>
        <v>9590</v>
      </c>
      <c r="BN66" s="103">
        <f>ROUND(BM66*(1+取值表!$D$2),0)</f>
        <v>10127</v>
      </c>
      <c r="BO66" s="101">
        <f t="shared" ref="BO66" si="1709">BN66</f>
        <v>10127</v>
      </c>
      <c r="BP66" s="101">
        <f t="shared" ref="BP66" si="1710">BO66</f>
        <v>10127</v>
      </c>
      <c r="BQ66" s="101">
        <f t="shared" ref="BQ66" si="1711">BP66</f>
        <v>10127</v>
      </c>
      <c r="BR66" s="103">
        <f>ROUND(BQ66*(1+取值表!$D$2),0)</f>
        <v>10694</v>
      </c>
      <c r="BS66" s="101">
        <f t="shared" ref="BS66" si="1712">BR66</f>
        <v>10694</v>
      </c>
      <c r="BT66" s="101">
        <f t="shared" ref="BT66" si="1713">BS66</f>
        <v>10694</v>
      </c>
      <c r="BU66" s="101">
        <f t="shared" ref="BU66" si="1714">BT66</f>
        <v>10694</v>
      </c>
      <c r="BV66" s="103">
        <f>ROUND(BU66*(1+取值表!$D$2),0)</f>
        <v>11293</v>
      </c>
      <c r="BW66" s="101">
        <f t="shared" ref="BW66" si="1715">BV66</f>
        <v>11293</v>
      </c>
      <c r="BX66" s="101">
        <f t="shared" ref="BX66" si="1716">BW66</f>
        <v>11293</v>
      </c>
      <c r="BY66" s="101">
        <f t="shared" ref="BY66" si="1717">BX66</f>
        <v>11293</v>
      </c>
      <c r="BZ66" s="103">
        <f>ROUND(BY66*(1+取值表!$D$2),0)</f>
        <v>11925</v>
      </c>
      <c r="CA66" s="101">
        <f t="shared" ref="CA66" si="1718">BZ66</f>
        <v>11925</v>
      </c>
      <c r="CB66" s="101">
        <f t="shared" ref="CB66" si="1719">CA66</f>
        <v>11925</v>
      </c>
      <c r="CC66" s="101">
        <f t="shared" ref="CC66" si="1720">CB66</f>
        <v>11925</v>
      </c>
      <c r="CD66" s="103">
        <f>ROUND(CC66*(1+取值表!$D$2),0)</f>
        <v>12593</v>
      </c>
      <c r="CE66" s="101">
        <f t="shared" ref="CE66" si="1721">CD66</f>
        <v>12593</v>
      </c>
      <c r="CF66" s="101">
        <f t="shared" ref="CF66" si="1722">CE66</f>
        <v>12593</v>
      </c>
      <c r="CG66" s="101">
        <f t="shared" ref="CG66" si="1723">CF66</f>
        <v>12593</v>
      </c>
      <c r="CH66" s="103">
        <f>ROUND(CG66*(1+取值表!$D$2),0)</f>
        <v>13298</v>
      </c>
      <c r="CI66" s="101">
        <f t="shared" ref="CI66" si="1724">CH66</f>
        <v>13298</v>
      </c>
      <c r="CJ66" s="101">
        <f t="shared" ref="CJ66" si="1725">CI66</f>
        <v>13298</v>
      </c>
      <c r="CK66" s="101">
        <f t="shared" ref="CK66" si="1726">CJ66</f>
        <v>13298</v>
      </c>
      <c r="CL66" s="103">
        <f>ROUND(CK66*(1+取值表!$D$2),0)</f>
        <v>14043</v>
      </c>
      <c r="CM66" s="101">
        <f t="shared" ref="CM66" si="1727">CL66</f>
        <v>14043</v>
      </c>
      <c r="CN66" s="101">
        <f t="shared" ref="CN66" si="1728">CM66</f>
        <v>14043</v>
      </c>
      <c r="CO66" s="101">
        <f t="shared" ref="CO66" si="1729">CN66</f>
        <v>14043</v>
      </c>
      <c r="CP66" s="104">
        <f t="shared" si="1511"/>
        <v>723072</v>
      </c>
      <c r="CQ66" s="119"/>
      <c r="CR66" s="119"/>
      <c r="CS66" s="119"/>
      <c r="CT66" s="119"/>
      <c r="CU66" s="119"/>
      <c r="CV66" s="119"/>
      <c r="CW66" s="119"/>
      <c r="CX66" s="119"/>
      <c r="CY66" s="119"/>
      <c r="CZ66" s="119"/>
      <c r="DA66" s="119"/>
      <c r="DB66" s="119"/>
      <c r="DC66" s="119"/>
      <c r="DD66" s="119"/>
      <c r="DE66" s="119"/>
      <c r="DF66" s="119"/>
      <c r="DG66" s="119"/>
      <c r="DH66" s="119"/>
      <c r="DI66" s="119"/>
      <c r="DJ66" s="119"/>
      <c r="DK66" s="119"/>
      <c r="DL66" s="119"/>
      <c r="DM66" s="119"/>
      <c r="DN66" s="119"/>
      <c r="DO66" s="119"/>
      <c r="DP66" s="119"/>
      <c r="DQ66" s="119"/>
      <c r="DR66" s="119"/>
      <c r="DS66" s="119"/>
      <c r="DT66" s="119"/>
      <c r="DU66" s="119"/>
      <c r="DV66" s="119"/>
      <c r="DW66" s="119"/>
      <c r="DX66" s="119"/>
      <c r="DY66" s="119"/>
      <c r="DZ66" s="119"/>
      <c r="EA66" s="119"/>
      <c r="EB66" s="119"/>
      <c r="EC66" s="119"/>
      <c r="ED66" s="119"/>
      <c r="EE66" s="119"/>
      <c r="EF66" s="119"/>
      <c r="EG66" s="119"/>
      <c r="EH66" s="119"/>
      <c r="EI66" s="119"/>
      <c r="EJ66" s="119"/>
      <c r="EK66" s="119"/>
      <c r="EL66" s="119"/>
      <c r="EM66" s="119"/>
      <c r="EN66" s="119"/>
      <c r="EO66" s="119"/>
      <c r="EP66" s="119"/>
      <c r="EQ66" s="119"/>
      <c r="ER66" s="119"/>
      <c r="ES66" s="119"/>
      <c r="ET66" s="119"/>
      <c r="EU66" s="119"/>
      <c r="EV66" s="119"/>
      <c r="EW66" s="119"/>
      <c r="EX66" s="119"/>
      <c r="EY66" s="119"/>
      <c r="EZ66" s="119"/>
      <c r="FA66" s="119"/>
      <c r="FB66" s="119"/>
      <c r="FC66" s="119"/>
      <c r="FD66" s="119"/>
      <c r="FE66" s="119"/>
      <c r="FF66" s="119"/>
      <c r="FG66" s="119"/>
      <c r="FH66" s="119"/>
      <c r="FI66" s="119"/>
      <c r="FJ66" s="119"/>
      <c r="FK66" s="119"/>
      <c r="FL66" s="119"/>
      <c r="FM66" s="119"/>
      <c r="FN66" s="119"/>
      <c r="FO66" s="119"/>
      <c r="FP66" s="119"/>
      <c r="FQ66" s="119"/>
      <c r="FR66" s="119"/>
      <c r="FS66" s="119"/>
      <c r="FT66" s="119"/>
      <c r="FU66" s="119"/>
      <c r="FV66" s="119"/>
      <c r="FW66" s="119"/>
      <c r="FX66" s="119"/>
      <c r="FY66" s="119"/>
      <c r="FZ66" s="119"/>
      <c r="GA66" s="119"/>
      <c r="GB66" s="119"/>
      <c r="GC66" s="119"/>
      <c r="GD66" s="119"/>
      <c r="GE66" s="119"/>
      <c r="GF66" s="119"/>
      <c r="GG66" s="119"/>
      <c r="GH66" s="119"/>
      <c r="GI66" s="119"/>
      <c r="GJ66" s="119"/>
      <c r="GK66" s="119"/>
      <c r="GL66" s="119"/>
      <c r="GM66" s="119"/>
      <c r="GN66" s="119"/>
      <c r="GO66" s="119"/>
      <c r="GP66" s="119"/>
      <c r="GQ66" s="119"/>
      <c r="GR66" s="119"/>
      <c r="GS66" s="119"/>
      <c r="GT66" s="119"/>
      <c r="GU66" s="119"/>
      <c r="GV66" s="119"/>
      <c r="GW66" s="119"/>
      <c r="GX66" s="119"/>
      <c r="GY66" s="119"/>
      <c r="GZ66" s="120">
        <f t="shared" si="1623"/>
        <v>1446144</v>
      </c>
      <c r="HA66" s="121">
        <f>HB66*2</f>
        <v>14467.04</v>
      </c>
      <c r="HB66" s="122">
        <v>7233.52</v>
      </c>
      <c r="HC66" s="118">
        <v>114242.4</v>
      </c>
    </row>
    <row r="67" spans="1:211" s="70" customFormat="1" ht="12" customHeight="1">
      <c r="A67" s="535"/>
      <c r="B67" s="536"/>
      <c r="C67" s="537"/>
      <c r="D67" s="538"/>
      <c r="E67" s="539"/>
      <c r="F67" s="540"/>
      <c r="G67" s="540"/>
      <c r="H67" s="543"/>
      <c r="I67" s="54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3">
        <f>ROUND(U67*(1+取值表!$D$2),0)</f>
        <v>0</v>
      </c>
      <c r="W67" s="101"/>
      <c r="X67" s="101"/>
      <c r="Y67" s="101"/>
      <c r="Z67" s="103">
        <f>ROUND(Y67*(1+取值表!$D$2),0)</f>
        <v>0</v>
      </c>
      <c r="AA67" s="101"/>
      <c r="AB67" s="101"/>
      <c r="AC67" s="101"/>
      <c r="AD67" s="103">
        <f>ROUND(AC67*(1+取值表!$D$2),0)</f>
        <v>0</v>
      </c>
      <c r="AE67" s="101"/>
      <c r="AF67" s="101"/>
      <c r="AG67" s="101"/>
      <c r="AH67" s="103">
        <f>ROUND(AG67*(1+取值表!$D$2),0)</f>
        <v>0</v>
      </c>
      <c r="AI67" s="101"/>
      <c r="AJ67" s="101"/>
      <c r="AK67" s="101"/>
      <c r="AL67" s="103">
        <f>ROUND(AK67*(1+取值表!$D$2),0)</f>
        <v>0</v>
      </c>
      <c r="AM67" s="101"/>
      <c r="AN67" s="101"/>
      <c r="AO67" s="101"/>
      <c r="AP67" s="103">
        <f>ROUND(AO67*(1+取值表!$D$2),0)</f>
        <v>0</v>
      </c>
      <c r="AQ67" s="101"/>
      <c r="AR67" s="101"/>
      <c r="AS67" s="101"/>
      <c r="AT67" s="103">
        <f>ROUND(AS67*(1+取值表!$D$2),0)</f>
        <v>0</v>
      </c>
      <c r="AU67" s="101"/>
      <c r="AV67" s="101"/>
      <c r="AW67" s="101"/>
      <c r="AX67" s="103">
        <f>ROUND(AW67*(1+取值表!$D$2),0)</f>
        <v>0</v>
      </c>
      <c r="AY67" s="101"/>
      <c r="AZ67" s="101"/>
      <c r="BA67" s="101"/>
      <c r="BB67" s="103">
        <f>ROUND(BA67*(1+取值表!$D$2),0)</f>
        <v>0</v>
      </c>
      <c r="BC67" s="101"/>
      <c r="BD67" s="101"/>
      <c r="BE67" s="101"/>
      <c r="BF67" s="103">
        <f>ROUND(BE67*(1+取值表!$D$2),0)</f>
        <v>0</v>
      </c>
      <c r="BG67" s="101"/>
      <c r="BH67" s="101"/>
      <c r="BI67" s="101"/>
      <c r="BJ67" s="103">
        <f>ROUND(BI67*(1+取值表!$D$2),0)</f>
        <v>0</v>
      </c>
      <c r="BK67" s="101"/>
      <c r="BL67" s="101"/>
      <c r="BM67" s="101"/>
      <c r="BN67" s="103">
        <f>ROUND(BM67*(1+取值表!$D$2),0)</f>
        <v>0</v>
      </c>
      <c r="BO67" s="101"/>
      <c r="BP67" s="101"/>
      <c r="BQ67" s="101"/>
      <c r="BR67" s="103">
        <f>ROUND(BQ67*(1+取值表!$D$2),0)</f>
        <v>0</v>
      </c>
      <c r="BS67" s="101"/>
      <c r="BT67" s="101"/>
      <c r="BU67" s="101"/>
      <c r="BV67" s="103">
        <f>ROUND(BU67*(1+取值表!$D$2),0)</f>
        <v>0</v>
      </c>
      <c r="BW67" s="101"/>
      <c r="BX67" s="101"/>
      <c r="BY67" s="101"/>
      <c r="BZ67" s="103">
        <f>ROUND(BY67*(1+取值表!$D$2),0)</f>
        <v>0</v>
      </c>
      <c r="CA67" s="101"/>
      <c r="CB67" s="101"/>
      <c r="CC67" s="101"/>
      <c r="CD67" s="103">
        <f>ROUND(CC67*(1+取值表!$D$2),0)</f>
        <v>0</v>
      </c>
      <c r="CE67" s="101"/>
      <c r="CF67" s="101"/>
      <c r="CG67" s="101"/>
      <c r="CH67" s="103">
        <f>ROUND(CG67*(1+取值表!$D$2),0)</f>
        <v>0</v>
      </c>
      <c r="CI67" s="101"/>
      <c r="CJ67" s="101"/>
      <c r="CK67" s="101"/>
      <c r="CL67" s="103">
        <f>ROUND(CK67*(1+取值表!$D$2),0)</f>
        <v>0</v>
      </c>
      <c r="CM67" s="101"/>
      <c r="CN67" s="101"/>
      <c r="CO67" s="101"/>
      <c r="CP67" s="104">
        <f t="shared" si="1511"/>
        <v>0</v>
      </c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4"/>
      <c r="EL67" s="114"/>
      <c r="EM67" s="114"/>
      <c r="EN67" s="114"/>
      <c r="EO67" s="114"/>
      <c r="EP67" s="114"/>
      <c r="EQ67" s="114"/>
      <c r="ER67" s="114"/>
      <c r="ES67" s="114"/>
      <c r="ET67" s="114"/>
      <c r="EU67" s="114"/>
      <c r="EV67" s="114"/>
      <c r="EW67" s="114"/>
      <c r="EX67" s="114"/>
      <c r="EY67" s="114"/>
      <c r="EZ67" s="114"/>
      <c r="FA67" s="114"/>
      <c r="FB67" s="114"/>
      <c r="FC67" s="114"/>
      <c r="FD67" s="114"/>
      <c r="FE67" s="114"/>
      <c r="FF67" s="114"/>
      <c r="FG67" s="114"/>
      <c r="FH67" s="114"/>
      <c r="FI67" s="114"/>
      <c r="FJ67" s="114"/>
      <c r="FK67" s="114"/>
      <c r="FL67" s="114"/>
      <c r="FM67" s="114"/>
      <c r="FN67" s="114"/>
      <c r="FO67" s="114"/>
      <c r="FP67" s="114"/>
      <c r="FQ67" s="114"/>
      <c r="FR67" s="114"/>
      <c r="FS67" s="114"/>
      <c r="FT67" s="114"/>
      <c r="FU67" s="114"/>
      <c r="FV67" s="114"/>
      <c r="FW67" s="114"/>
      <c r="FX67" s="114"/>
      <c r="FY67" s="114"/>
      <c r="FZ67" s="114"/>
      <c r="GA67" s="114"/>
      <c r="GB67" s="114"/>
      <c r="GC67" s="114"/>
      <c r="GD67" s="114"/>
      <c r="GE67" s="114"/>
      <c r="GF67" s="114"/>
      <c r="GG67" s="114"/>
      <c r="GH67" s="114"/>
      <c r="GI67" s="114"/>
      <c r="GJ67" s="114"/>
      <c r="GK67" s="114"/>
      <c r="GL67" s="114"/>
      <c r="GM67" s="114"/>
      <c r="GN67" s="114"/>
      <c r="GO67" s="114"/>
      <c r="GP67" s="114"/>
      <c r="GQ67" s="114"/>
      <c r="GR67" s="114"/>
      <c r="GS67" s="114"/>
      <c r="GT67" s="114"/>
      <c r="GU67" s="114"/>
      <c r="GV67" s="114"/>
      <c r="GW67" s="114"/>
      <c r="GX67" s="114"/>
      <c r="GY67" s="114"/>
      <c r="GZ67" s="115">
        <f t="shared" si="1623"/>
        <v>0</v>
      </c>
      <c r="HA67" s="116">
        <v>14467.04</v>
      </c>
      <c r="HB67" s="117">
        <v>7233.52</v>
      </c>
      <c r="HC67" s="118">
        <v>95201.600000000006</v>
      </c>
    </row>
    <row r="68" spans="1:211" s="70" customFormat="1" ht="12" customHeight="1">
      <c r="A68" s="535">
        <v>34</v>
      </c>
      <c r="B68" s="536" t="s">
        <v>948</v>
      </c>
      <c r="C68" s="537" t="s">
        <v>949</v>
      </c>
      <c r="D68" s="538" t="s">
        <v>546</v>
      </c>
      <c r="E68" s="539" t="s">
        <v>631</v>
      </c>
      <c r="F68" s="540">
        <v>17.63</v>
      </c>
      <c r="G68" s="540">
        <v>3.12</v>
      </c>
      <c r="H68" s="541">
        <f>F68*G68*365</f>
        <v>20077.044000000002</v>
      </c>
      <c r="I68" s="541"/>
      <c r="J68" s="102">
        <f>ROUND(G68*F68*365/4,0)</f>
        <v>5019</v>
      </c>
      <c r="K68" s="101">
        <f>J68</f>
        <v>5019</v>
      </c>
      <c r="L68" s="101">
        <f>K68</f>
        <v>5019</v>
      </c>
      <c r="M68" s="101">
        <f>L68</f>
        <v>5019</v>
      </c>
      <c r="N68" s="103">
        <f>ROUND(M68*(1+取值表!$D$2)*取值表!$I$2,0)</f>
        <v>4987</v>
      </c>
      <c r="O68" s="101">
        <f>N68</f>
        <v>4987</v>
      </c>
      <c r="P68" s="101">
        <f>O68</f>
        <v>4987</v>
      </c>
      <c r="Q68" s="101">
        <f>P68</f>
        <v>4987</v>
      </c>
      <c r="R68" s="278">
        <f>ROUND(Q68*(1+取值表!$D$2),0)</f>
        <v>5266</v>
      </c>
      <c r="S68" s="101">
        <f t="shared" ref="S68:U68" si="1730">R68</f>
        <v>5266</v>
      </c>
      <c r="T68" s="101">
        <f t="shared" si="1730"/>
        <v>5266</v>
      </c>
      <c r="U68" s="101">
        <f t="shared" si="1730"/>
        <v>5266</v>
      </c>
      <c r="V68" s="103">
        <f>ROUND(U68*(1+取值表!$D$2),0)</f>
        <v>5561</v>
      </c>
      <c r="W68" s="101">
        <f t="shared" ref="W68:Y68" si="1731">V68</f>
        <v>5561</v>
      </c>
      <c r="X68" s="101">
        <f t="shared" si="1731"/>
        <v>5561</v>
      </c>
      <c r="Y68" s="101">
        <f t="shared" si="1731"/>
        <v>5561</v>
      </c>
      <c r="Z68" s="103">
        <f>ROUND(Y68*(1+取值表!$D$2),0)</f>
        <v>5872</v>
      </c>
      <c r="AA68" s="101">
        <f t="shared" ref="AA68" si="1732">Z68</f>
        <v>5872</v>
      </c>
      <c r="AB68" s="101">
        <f t="shared" ref="AB68" si="1733">AA68</f>
        <v>5872</v>
      </c>
      <c r="AC68" s="101">
        <f t="shared" ref="AC68" si="1734">AB68</f>
        <v>5872</v>
      </c>
      <c r="AD68" s="103">
        <f>ROUND(AC68*(1+取值表!$D$2),0)</f>
        <v>6201</v>
      </c>
      <c r="AE68" s="101">
        <f t="shared" ref="AE68" si="1735">AD68</f>
        <v>6201</v>
      </c>
      <c r="AF68" s="101">
        <f t="shared" ref="AF68" si="1736">AE68</f>
        <v>6201</v>
      </c>
      <c r="AG68" s="101">
        <f t="shared" ref="AG68" si="1737">AF68</f>
        <v>6201</v>
      </c>
      <c r="AH68" s="103">
        <f>ROUND(AG68*(1+取值表!$D$2),0)</f>
        <v>6548</v>
      </c>
      <c r="AI68" s="101">
        <f t="shared" ref="AI68" si="1738">AH68</f>
        <v>6548</v>
      </c>
      <c r="AJ68" s="101">
        <f t="shared" ref="AJ68" si="1739">AI68</f>
        <v>6548</v>
      </c>
      <c r="AK68" s="101">
        <f t="shared" ref="AK68" si="1740">AJ68</f>
        <v>6548</v>
      </c>
      <c r="AL68" s="103">
        <f>ROUND(AK68*(1+取值表!$D$2),0)</f>
        <v>6915</v>
      </c>
      <c r="AM68" s="101">
        <f t="shared" ref="AM68" si="1741">AL68</f>
        <v>6915</v>
      </c>
      <c r="AN68" s="101">
        <f t="shared" ref="AN68" si="1742">AM68</f>
        <v>6915</v>
      </c>
      <c r="AO68" s="101">
        <f t="shared" ref="AO68" si="1743">AN68</f>
        <v>6915</v>
      </c>
      <c r="AP68" s="103">
        <f>ROUND(AO68*(1+取值表!$D$2),0)</f>
        <v>7302</v>
      </c>
      <c r="AQ68" s="101">
        <f t="shared" ref="AQ68" si="1744">AP68</f>
        <v>7302</v>
      </c>
      <c r="AR68" s="101">
        <f t="shared" ref="AR68" si="1745">AQ68</f>
        <v>7302</v>
      </c>
      <c r="AS68" s="101">
        <f t="shared" ref="AS68" si="1746">AR68</f>
        <v>7302</v>
      </c>
      <c r="AT68" s="103">
        <f>ROUND(AS68*(1+取值表!$D$2),0)</f>
        <v>7711</v>
      </c>
      <c r="AU68" s="101">
        <f t="shared" ref="AU68" si="1747">AT68</f>
        <v>7711</v>
      </c>
      <c r="AV68" s="101">
        <f t="shared" ref="AV68" si="1748">AU68</f>
        <v>7711</v>
      </c>
      <c r="AW68" s="101">
        <f t="shared" ref="AW68" si="1749">AV68</f>
        <v>7711</v>
      </c>
      <c r="AX68" s="103">
        <f>ROUND(AW68*(1+取值表!$D$2),0)</f>
        <v>8143</v>
      </c>
      <c r="AY68" s="101">
        <f t="shared" ref="AY68" si="1750">AX68</f>
        <v>8143</v>
      </c>
      <c r="AZ68" s="101">
        <f t="shared" ref="AZ68" si="1751">AY68</f>
        <v>8143</v>
      </c>
      <c r="BA68" s="101">
        <f t="shared" ref="BA68" si="1752">AZ68</f>
        <v>8143</v>
      </c>
      <c r="BB68" s="103">
        <f>ROUND(BA68*(1+取值表!$D$2),0)</f>
        <v>8599</v>
      </c>
      <c r="BC68" s="101">
        <f t="shared" ref="BC68" si="1753">BB68</f>
        <v>8599</v>
      </c>
      <c r="BD68" s="101">
        <f t="shared" ref="BD68" si="1754">BC68</f>
        <v>8599</v>
      </c>
      <c r="BE68" s="101">
        <f t="shared" ref="BE68" si="1755">BD68</f>
        <v>8599</v>
      </c>
      <c r="BF68" s="103">
        <f>ROUND(BE68*(1+取值表!$D$2),0)</f>
        <v>9081</v>
      </c>
      <c r="BG68" s="101">
        <f t="shared" ref="BG68" si="1756">BF68</f>
        <v>9081</v>
      </c>
      <c r="BH68" s="101">
        <f t="shared" ref="BH68" si="1757">BG68</f>
        <v>9081</v>
      </c>
      <c r="BI68" s="101">
        <f t="shared" ref="BI68" si="1758">BH68</f>
        <v>9081</v>
      </c>
      <c r="BJ68" s="103">
        <f>ROUND(BI68*(1+取值表!$D$2),0)</f>
        <v>9590</v>
      </c>
      <c r="BK68" s="101">
        <f t="shared" ref="BK68" si="1759">BJ68</f>
        <v>9590</v>
      </c>
      <c r="BL68" s="101">
        <f t="shared" ref="BL68" si="1760">BK68</f>
        <v>9590</v>
      </c>
      <c r="BM68" s="101">
        <f t="shared" ref="BM68" si="1761">BL68</f>
        <v>9590</v>
      </c>
      <c r="BN68" s="103">
        <f>ROUND(BM68*(1+取值表!$D$2),0)</f>
        <v>10127</v>
      </c>
      <c r="BO68" s="101">
        <f t="shared" ref="BO68" si="1762">BN68</f>
        <v>10127</v>
      </c>
      <c r="BP68" s="101">
        <f t="shared" ref="BP68" si="1763">BO68</f>
        <v>10127</v>
      </c>
      <c r="BQ68" s="101">
        <f t="shared" ref="BQ68" si="1764">BP68</f>
        <v>10127</v>
      </c>
      <c r="BR68" s="103">
        <f>ROUND(BQ68*(1+取值表!$D$2),0)</f>
        <v>10694</v>
      </c>
      <c r="BS68" s="101">
        <f t="shared" ref="BS68" si="1765">BR68</f>
        <v>10694</v>
      </c>
      <c r="BT68" s="101">
        <f t="shared" ref="BT68" si="1766">BS68</f>
        <v>10694</v>
      </c>
      <c r="BU68" s="101">
        <f t="shared" ref="BU68" si="1767">BT68</f>
        <v>10694</v>
      </c>
      <c r="BV68" s="103">
        <f>ROUND(BU68*(1+取值表!$D$2),0)</f>
        <v>11293</v>
      </c>
      <c r="BW68" s="101">
        <f t="shared" ref="BW68" si="1768">BV68</f>
        <v>11293</v>
      </c>
      <c r="BX68" s="101">
        <f t="shared" ref="BX68" si="1769">BW68</f>
        <v>11293</v>
      </c>
      <c r="BY68" s="101">
        <f t="shared" ref="BY68" si="1770">BX68</f>
        <v>11293</v>
      </c>
      <c r="BZ68" s="103">
        <f>ROUND(BY68*(1+取值表!$D$2),0)</f>
        <v>11925</v>
      </c>
      <c r="CA68" s="101">
        <f t="shared" ref="CA68" si="1771">BZ68</f>
        <v>11925</v>
      </c>
      <c r="CB68" s="101">
        <f t="shared" ref="CB68" si="1772">CA68</f>
        <v>11925</v>
      </c>
      <c r="CC68" s="101">
        <f t="shared" ref="CC68" si="1773">CB68</f>
        <v>11925</v>
      </c>
      <c r="CD68" s="103">
        <f>ROUND(CC68*(1+取值表!$D$2),0)</f>
        <v>12593</v>
      </c>
      <c r="CE68" s="101">
        <f t="shared" ref="CE68" si="1774">CD68</f>
        <v>12593</v>
      </c>
      <c r="CF68" s="101">
        <f t="shared" ref="CF68" si="1775">CE68</f>
        <v>12593</v>
      </c>
      <c r="CG68" s="101">
        <f t="shared" ref="CG68" si="1776">CF68</f>
        <v>12593</v>
      </c>
      <c r="CH68" s="103">
        <f>ROUND(CG68*(1+取值表!$D$2),0)</f>
        <v>13298</v>
      </c>
      <c r="CI68" s="101">
        <f t="shared" ref="CI68" si="1777">CH68</f>
        <v>13298</v>
      </c>
      <c r="CJ68" s="101">
        <f t="shared" ref="CJ68" si="1778">CI68</f>
        <v>13298</v>
      </c>
      <c r="CK68" s="101">
        <f t="shared" ref="CK68" si="1779">CJ68</f>
        <v>13298</v>
      </c>
      <c r="CL68" s="103">
        <f>ROUND(CK68*(1+取值表!$D$2),0)</f>
        <v>14043</v>
      </c>
      <c r="CM68" s="101">
        <f t="shared" ref="CM68" si="1780">CL68</f>
        <v>14043</v>
      </c>
      <c r="CN68" s="101">
        <f t="shared" ref="CN68" si="1781">CM68</f>
        <v>14043</v>
      </c>
      <c r="CO68" s="101">
        <f t="shared" ref="CO68" si="1782">CN68</f>
        <v>14043</v>
      </c>
      <c r="CP68" s="104">
        <f t="shared" si="1511"/>
        <v>723072</v>
      </c>
      <c r="CQ68" s="119"/>
      <c r="CR68" s="119"/>
      <c r="CS68" s="119"/>
      <c r="CT68" s="119"/>
      <c r="CU68" s="119"/>
      <c r="CV68" s="119"/>
      <c r="CW68" s="119"/>
      <c r="CX68" s="119"/>
      <c r="CY68" s="119"/>
      <c r="CZ68" s="119"/>
      <c r="DA68" s="119"/>
      <c r="DB68" s="119"/>
      <c r="DC68" s="119"/>
      <c r="DD68" s="119"/>
      <c r="DE68" s="119"/>
      <c r="DF68" s="119"/>
      <c r="DG68" s="119"/>
      <c r="DH68" s="119"/>
      <c r="DI68" s="119"/>
      <c r="DJ68" s="119"/>
      <c r="DK68" s="119"/>
      <c r="DL68" s="119"/>
      <c r="DM68" s="119"/>
      <c r="DN68" s="119"/>
      <c r="DO68" s="119"/>
      <c r="DP68" s="119"/>
      <c r="DQ68" s="119"/>
      <c r="DR68" s="119"/>
      <c r="DS68" s="119"/>
      <c r="DT68" s="119"/>
      <c r="DU68" s="119"/>
      <c r="DV68" s="119"/>
      <c r="DW68" s="119"/>
      <c r="DX68" s="119"/>
      <c r="DY68" s="119"/>
      <c r="DZ68" s="119"/>
      <c r="EA68" s="119"/>
      <c r="EB68" s="119"/>
      <c r="EC68" s="119"/>
      <c r="ED68" s="119"/>
      <c r="EE68" s="119"/>
      <c r="EF68" s="119"/>
      <c r="EG68" s="119"/>
      <c r="EH68" s="119"/>
      <c r="EI68" s="119"/>
      <c r="EJ68" s="119"/>
      <c r="EK68" s="119"/>
      <c r="EL68" s="119"/>
      <c r="EM68" s="119"/>
      <c r="EN68" s="119"/>
      <c r="EO68" s="119"/>
      <c r="EP68" s="119"/>
      <c r="EQ68" s="119"/>
      <c r="ER68" s="119"/>
      <c r="ES68" s="119"/>
      <c r="ET68" s="119"/>
      <c r="EU68" s="119"/>
      <c r="EV68" s="119"/>
      <c r="EW68" s="119"/>
      <c r="EX68" s="119"/>
      <c r="EY68" s="119"/>
      <c r="EZ68" s="119"/>
      <c r="FA68" s="119"/>
      <c r="FB68" s="119"/>
      <c r="FC68" s="119"/>
      <c r="FD68" s="119"/>
      <c r="FE68" s="119"/>
      <c r="FF68" s="119"/>
      <c r="FG68" s="119"/>
      <c r="FH68" s="119"/>
      <c r="FI68" s="119"/>
      <c r="FJ68" s="119"/>
      <c r="FK68" s="119"/>
      <c r="FL68" s="119"/>
      <c r="FM68" s="119"/>
      <c r="FN68" s="119"/>
      <c r="FO68" s="119"/>
      <c r="FP68" s="119"/>
      <c r="FQ68" s="119"/>
      <c r="FR68" s="119"/>
      <c r="FS68" s="119"/>
      <c r="FT68" s="119"/>
      <c r="FU68" s="119"/>
      <c r="FV68" s="119"/>
      <c r="FW68" s="119"/>
      <c r="FX68" s="119"/>
      <c r="FY68" s="119"/>
      <c r="FZ68" s="119"/>
      <c r="GA68" s="119"/>
      <c r="GB68" s="119"/>
      <c r="GC68" s="119"/>
      <c r="GD68" s="119"/>
      <c r="GE68" s="119"/>
      <c r="GF68" s="119"/>
      <c r="GG68" s="119"/>
      <c r="GH68" s="119"/>
      <c r="GI68" s="119"/>
      <c r="GJ68" s="119"/>
      <c r="GK68" s="119"/>
      <c r="GL68" s="119"/>
      <c r="GM68" s="119"/>
      <c r="GN68" s="119"/>
      <c r="GO68" s="119"/>
      <c r="GP68" s="119"/>
      <c r="GQ68" s="119"/>
      <c r="GR68" s="119"/>
      <c r="GS68" s="119"/>
      <c r="GT68" s="119"/>
      <c r="GU68" s="119"/>
      <c r="GV68" s="119"/>
      <c r="GW68" s="119"/>
      <c r="GX68" s="119"/>
      <c r="GY68" s="119"/>
      <c r="GZ68" s="120">
        <f t="shared" si="1623"/>
        <v>1446144</v>
      </c>
      <c r="HA68" s="121">
        <f>HB68*2</f>
        <v>14467.04</v>
      </c>
      <c r="HB68" s="122">
        <v>7233.52</v>
      </c>
      <c r="HC68" s="118">
        <v>114242.4</v>
      </c>
    </row>
    <row r="69" spans="1:211" s="70" customFormat="1" ht="12" customHeight="1">
      <c r="A69" s="535"/>
      <c r="B69" s="536"/>
      <c r="C69" s="537"/>
      <c r="D69" s="538"/>
      <c r="E69" s="539"/>
      <c r="F69" s="540"/>
      <c r="G69" s="540"/>
      <c r="H69" s="541"/>
      <c r="I69" s="54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3">
        <f>ROUND(U69*(1+取值表!$D$2),0)</f>
        <v>0</v>
      </c>
      <c r="W69" s="101"/>
      <c r="X69" s="101"/>
      <c r="Y69" s="101"/>
      <c r="Z69" s="103">
        <f>ROUND(Y69*(1+取值表!$D$2),0)</f>
        <v>0</v>
      </c>
      <c r="AA69" s="101"/>
      <c r="AB69" s="101"/>
      <c r="AC69" s="101"/>
      <c r="AD69" s="103">
        <f>ROUND(AC69*(1+取值表!$D$2),0)</f>
        <v>0</v>
      </c>
      <c r="AE69" s="101"/>
      <c r="AF69" s="101"/>
      <c r="AG69" s="101"/>
      <c r="AH69" s="103">
        <f>ROUND(AG69*(1+取值表!$D$2),0)</f>
        <v>0</v>
      </c>
      <c r="AI69" s="101"/>
      <c r="AJ69" s="101"/>
      <c r="AK69" s="101"/>
      <c r="AL69" s="103">
        <f>ROUND(AK69*(1+取值表!$D$2),0)</f>
        <v>0</v>
      </c>
      <c r="AM69" s="101"/>
      <c r="AN69" s="101"/>
      <c r="AO69" s="101"/>
      <c r="AP69" s="103">
        <f>ROUND(AO69*(1+取值表!$D$2),0)</f>
        <v>0</v>
      </c>
      <c r="AQ69" s="101"/>
      <c r="AR69" s="101"/>
      <c r="AS69" s="101"/>
      <c r="AT69" s="103">
        <f>ROUND(AS69*(1+取值表!$D$2),0)</f>
        <v>0</v>
      </c>
      <c r="AU69" s="101"/>
      <c r="AV69" s="101"/>
      <c r="AW69" s="101"/>
      <c r="AX69" s="103">
        <f>ROUND(AW69*(1+取值表!$D$2),0)</f>
        <v>0</v>
      </c>
      <c r="AY69" s="101"/>
      <c r="AZ69" s="101"/>
      <c r="BA69" s="101"/>
      <c r="BB69" s="103">
        <f>ROUND(BA69*(1+取值表!$D$2),0)</f>
        <v>0</v>
      </c>
      <c r="BC69" s="101"/>
      <c r="BD69" s="101"/>
      <c r="BE69" s="101"/>
      <c r="BF69" s="103">
        <f>ROUND(BE69*(1+取值表!$D$2),0)</f>
        <v>0</v>
      </c>
      <c r="BG69" s="101"/>
      <c r="BH69" s="101"/>
      <c r="BI69" s="101"/>
      <c r="BJ69" s="103">
        <f>ROUND(BI69*(1+取值表!$D$2),0)</f>
        <v>0</v>
      </c>
      <c r="BK69" s="101"/>
      <c r="BL69" s="101"/>
      <c r="BM69" s="101"/>
      <c r="BN69" s="103">
        <f>ROUND(BM69*(1+取值表!$D$2),0)</f>
        <v>0</v>
      </c>
      <c r="BO69" s="101"/>
      <c r="BP69" s="101"/>
      <c r="BQ69" s="101"/>
      <c r="BR69" s="103">
        <f>ROUND(BQ69*(1+取值表!$D$2),0)</f>
        <v>0</v>
      </c>
      <c r="BS69" s="101"/>
      <c r="BT69" s="101"/>
      <c r="BU69" s="101"/>
      <c r="BV69" s="103">
        <f>ROUND(BU69*(1+取值表!$D$2),0)</f>
        <v>0</v>
      </c>
      <c r="BW69" s="101"/>
      <c r="BX69" s="101"/>
      <c r="BY69" s="101"/>
      <c r="BZ69" s="103">
        <f>ROUND(BY69*(1+取值表!$D$2),0)</f>
        <v>0</v>
      </c>
      <c r="CA69" s="101"/>
      <c r="CB69" s="101"/>
      <c r="CC69" s="101"/>
      <c r="CD69" s="103">
        <f>ROUND(CC69*(1+取值表!$D$2),0)</f>
        <v>0</v>
      </c>
      <c r="CE69" s="101"/>
      <c r="CF69" s="101"/>
      <c r="CG69" s="101"/>
      <c r="CH69" s="103">
        <f>ROUND(CG69*(1+取值表!$D$2),0)</f>
        <v>0</v>
      </c>
      <c r="CI69" s="101"/>
      <c r="CJ69" s="101"/>
      <c r="CK69" s="101"/>
      <c r="CL69" s="103">
        <f>ROUND(CK69*(1+取值表!$D$2),0)</f>
        <v>0</v>
      </c>
      <c r="CM69" s="101"/>
      <c r="CN69" s="101"/>
      <c r="CO69" s="101"/>
      <c r="CP69" s="104">
        <f t="shared" si="1511"/>
        <v>0</v>
      </c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FT69" s="114"/>
      <c r="FU69" s="114"/>
      <c r="FV69" s="114"/>
      <c r="FW69" s="114"/>
      <c r="FX69" s="114"/>
      <c r="FY69" s="114"/>
      <c r="FZ69" s="114"/>
      <c r="GA69" s="114"/>
      <c r="GB69" s="114"/>
      <c r="GC69" s="114"/>
      <c r="GD69" s="114"/>
      <c r="GE69" s="114"/>
      <c r="GF69" s="114"/>
      <c r="GG69" s="114"/>
      <c r="GH69" s="114"/>
      <c r="GI69" s="114"/>
      <c r="GJ69" s="114"/>
      <c r="GK69" s="114"/>
      <c r="GL69" s="114"/>
      <c r="GM69" s="114"/>
      <c r="GN69" s="114"/>
      <c r="GO69" s="114"/>
      <c r="GP69" s="114"/>
      <c r="GQ69" s="114"/>
      <c r="GR69" s="114"/>
      <c r="GS69" s="114"/>
      <c r="GT69" s="114"/>
      <c r="GU69" s="114"/>
      <c r="GV69" s="114"/>
      <c r="GW69" s="114"/>
      <c r="GX69" s="114"/>
      <c r="GY69" s="114"/>
      <c r="GZ69" s="115">
        <f t="shared" si="1623"/>
        <v>0</v>
      </c>
      <c r="HA69" s="116">
        <v>14467.04</v>
      </c>
      <c r="HB69" s="117">
        <v>7233.52</v>
      </c>
      <c r="HC69" s="118">
        <v>95201.600000000006</v>
      </c>
    </row>
    <row r="70" spans="1:211" s="70" customFormat="1" ht="13.5" customHeight="1">
      <c r="A70" s="535">
        <v>35</v>
      </c>
      <c r="B70" s="536" t="s">
        <v>950</v>
      </c>
      <c r="C70" s="537" t="s">
        <v>951</v>
      </c>
      <c r="D70" s="538" t="s">
        <v>547</v>
      </c>
      <c r="E70" s="539" t="s">
        <v>632</v>
      </c>
      <c r="F70" s="540">
        <v>17.63</v>
      </c>
      <c r="G70" s="540">
        <v>3.12</v>
      </c>
      <c r="H70" s="541">
        <f>F70*G70*365</f>
        <v>20077.044000000002</v>
      </c>
      <c r="I70" s="541"/>
      <c r="J70" s="102">
        <f>ROUND(G70*F70*365/4,0)</f>
        <v>5019</v>
      </c>
      <c r="K70" s="101">
        <f>J70</f>
        <v>5019</v>
      </c>
      <c r="L70" s="101">
        <f>K70</f>
        <v>5019</v>
      </c>
      <c r="M70" s="101">
        <f>L70</f>
        <v>5019</v>
      </c>
      <c r="N70" s="103">
        <f>ROUND(M70*(1+取值表!$D$2)*取值表!$I$2,0)</f>
        <v>4987</v>
      </c>
      <c r="O70" s="101">
        <f>N70</f>
        <v>4987</v>
      </c>
      <c r="P70" s="101">
        <f>O70</f>
        <v>4987</v>
      </c>
      <c r="Q70" s="101">
        <f>P70</f>
        <v>4987</v>
      </c>
      <c r="R70" s="278">
        <f>ROUND(Q70*(1+取值表!$D$2),0)</f>
        <v>5266</v>
      </c>
      <c r="S70" s="101">
        <f t="shared" ref="S70:U70" si="1783">R70</f>
        <v>5266</v>
      </c>
      <c r="T70" s="101">
        <f t="shared" si="1783"/>
        <v>5266</v>
      </c>
      <c r="U70" s="101">
        <f t="shared" si="1783"/>
        <v>5266</v>
      </c>
      <c r="V70" s="103">
        <f>ROUND(U70*(1+取值表!$D$2),0)</f>
        <v>5561</v>
      </c>
      <c r="W70" s="101">
        <f t="shared" ref="W70:Y70" si="1784">V70</f>
        <v>5561</v>
      </c>
      <c r="X70" s="101">
        <f t="shared" si="1784"/>
        <v>5561</v>
      </c>
      <c r="Y70" s="101">
        <f t="shared" si="1784"/>
        <v>5561</v>
      </c>
      <c r="Z70" s="103">
        <f>ROUND(Y70*(1+取值表!$D$2),0)</f>
        <v>5872</v>
      </c>
      <c r="AA70" s="101">
        <f t="shared" ref="AA70" si="1785">Z70</f>
        <v>5872</v>
      </c>
      <c r="AB70" s="101">
        <f t="shared" ref="AB70" si="1786">AA70</f>
        <v>5872</v>
      </c>
      <c r="AC70" s="101">
        <f t="shared" ref="AC70" si="1787">AB70</f>
        <v>5872</v>
      </c>
      <c r="AD70" s="103">
        <f>ROUND(AC70*(1+取值表!$D$2),0)</f>
        <v>6201</v>
      </c>
      <c r="AE70" s="101">
        <f t="shared" ref="AE70" si="1788">AD70</f>
        <v>6201</v>
      </c>
      <c r="AF70" s="101">
        <f t="shared" ref="AF70" si="1789">AE70</f>
        <v>6201</v>
      </c>
      <c r="AG70" s="101">
        <f t="shared" ref="AG70" si="1790">AF70</f>
        <v>6201</v>
      </c>
      <c r="AH70" s="103">
        <f>ROUND(AG70*(1+取值表!$D$2),0)</f>
        <v>6548</v>
      </c>
      <c r="AI70" s="101">
        <f t="shared" ref="AI70" si="1791">AH70</f>
        <v>6548</v>
      </c>
      <c r="AJ70" s="101">
        <f t="shared" ref="AJ70" si="1792">AI70</f>
        <v>6548</v>
      </c>
      <c r="AK70" s="101">
        <f t="shared" ref="AK70" si="1793">AJ70</f>
        <v>6548</v>
      </c>
      <c r="AL70" s="103">
        <f>ROUND(AK70*(1+取值表!$D$2),0)</f>
        <v>6915</v>
      </c>
      <c r="AM70" s="101">
        <f t="shared" ref="AM70" si="1794">AL70</f>
        <v>6915</v>
      </c>
      <c r="AN70" s="101">
        <f t="shared" ref="AN70" si="1795">AM70</f>
        <v>6915</v>
      </c>
      <c r="AO70" s="101">
        <f t="shared" ref="AO70" si="1796">AN70</f>
        <v>6915</v>
      </c>
      <c r="AP70" s="103">
        <f>ROUND(AO70*(1+取值表!$D$2),0)</f>
        <v>7302</v>
      </c>
      <c r="AQ70" s="101">
        <f t="shared" ref="AQ70" si="1797">AP70</f>
        <v>7302</v>
      </c>
      <c r="AR70" s="101">
        <f t="shared" ref="AR70" si="1798">AQ70</f>
        <v>7302</v>
      </c>
      <c r="AS70" s="101">
        <f t="shared" ref="AS70" si="1799">AR70</f>
        <v>7302</v>
      </c>
      <c r="AT70" s="103">
        <f>ROUND(AS70*(1+取值表!$D$2),0)</f>
        <v>7711</v>
      </c>
      <c r="AU70" s="101">
        <f t="shared" ref="AU70" si="1800">AT70</f>
        <v>7711</v>
      </c>
      <c r="AV70" s="101">
        <f t="shared" ref="AV70" si="1801">AU70</f>
        <v>7711</v>
      </c>
      <c r="AW70" s="101">
        <f t="shared" ref="AW70" si="1802">AV70</f>
        <v>7711</v>
      </c>
      <c r="AX70" s="103">
        <f>ROUND(AW70*(1+取值表!$D$2),0)</f>
        <v>8143</v>
      </c>
      <c r="AY70" s="101">
        <f t="shared" ref="AY70" si="1803">AX70</f>
        <v>8143</v>
      </c>
      <c r="AZ70" s="101">
        <f t="shared" ref="AZ70" si="1804">AY70</f>
        <v>8143</v>
      </c>
      <c r="BA70" s="101">
        <f t="shared" ref="BA70" si="1805">AZ70</f>
        <v>8143</v>
      </c>
      <c r="BB70" s="103">
        <f>ROUND(BA70*(1+取值表!$D$2),0)</f>
        <v>8599</v>
      </c>
      <c r="BC70" s="101">
        <f t="shared" ref="BC70" si="1806">BB70</f>
        <v>8599</v>
      </c>
      <c r="BD70" s="101">
        <f t="shared" ref="BD70" si="1807">BC70</f>
        <v>8599</v>
      </c>
      <c r="BE70" s="101">
        <f t="shared" ref="BE70" si="1808">BD70</f>
        <v>8599</v>
      </c>
      <c r="BF70" s="103">
        <f>ROUND(BE70*(1+取值表!$D$2),0)</f>
        <v>9081</v>
      </c>
      <c r="BG70" s="101">
        <f t="shared" ref="BG70" si="1809">BF70</f>
        <v>9081</v>
      </c>
      <c r="BH70" s="101">
        <f t="shared" ref="BH70" si="1810">BG70</f>
        <v>9081</v>
      </c>
      <c r="BI70" s="101">
        <f t="shared" ref="BI70" si="1811">BH70</f>
        <v>9081</v>
      </c>
      <c r="BJ70" s="103">
        <f>ROUND(BI70*(1+取值表!$D$2),0)</f>
        <v>9590</v>
      </c>
      <c r="BK70" s="101">
        <f t="shared" ref="BK70" si="1812">BJ70</f>
        <v>9590</v>
      </c>
      <c r="BL70" s="101">
        <f t="shared" ref="BL70" si="1813">BK70</f>
        <v>9590</v>
      </c>
      <c r="BM70" s="101">
        <f t="shared" ref="BM70" si="1814">BL70</f>
        <v>9590</v>
      </c>
      <c r="BN70" s="103">
        <f>ROUND(BM70*(1+取值表!$D$2),0)</f>
        <v>10127</v>
      </c>
      <c r="BO70" s="101">
        <f t="shared" ref="BO70" si="1815">BN70</f>
        <v>10127</v>
      </c>
      <c r="BP70" s="101">
        <f t="shared" ref="BP70" si="1816">BO70</f>
        <v>10127</v>
      </c>
      <c r="BQ70" s="101">
        <f t="shared" ref="BQ70" si="1817">BP70</f>
        <v>10127</v>
      </c>
      <c r="BR70" s="103">
        <f>ROUND(BQ70*(1+取值表!$D$2),0)</f>
        <v>10694</v>
      </c>
      <c r="BS70" s="101">
        <f t="shared" ref="BS70" si="1818">BR70</f>
        <v>10694</v>
      </c>
      <c r="BT70" s="101">
        <f t="shared" ref="BT70" si="1819">BS70</f>
        <v>10694</v>
      </c>
      <c r="BU70" s="101">
        <f t="shared" ref="BU70" si="1820">BT70</f>
        <v>10694</v>
      </c>
      <c r="BV70" s="103">
        <f>ROUND(BU70*(1+取值表!$D$2),0)</f>
        <v>11293</v>
      </c>
      <c r="BW70" s="101">
        <f t="shared" ref="BW70" si="1821">BV70</f>
        <v>11293</v>
      </c>
      <c r="BX70" s="101">
        <f t="shared" ref="BX70" si="1822">BW70</f>
        <v>11293</v>
      </c>
      <c r="BY70" s="101">
        <f t="shared" ref="BY70" si="1823">BX70</f>
        <v>11293</v>
      </c>
      <c r="BZ70" s="103">
        <f>ROUND(BY70*(1+取值表!$D$2),0)</f>
        <v>11925</v>
      </c>
      <c r="CA70" s="101">
        <f t="shared" ref="CA70" si="1824">BZ70</f>
        <v>11925</v>
      </c>
      <c r="CB70" s="101">
        <f t="shared" ref="CB70" si="1825">CA70</f>
        <v>11925</v>
      </c>
      <c r="CC70" s="101">
        <f t="shared" ref="CC70" si="1826">CB70</f>
        <v>11925</v>
      </c>
      <c r="CD70" s="103">
        <f>ROUND(CC70*(1+取值表!$D$2),0)</f>
        <v>12593</v>
      </c>
      <c r="CE70" s="101">
        <f t="shared" ref="CE70" si="1827">CD70</f>
        <v>12593</v>
      </c>
      <c r="CF70" s="101">
        <f t="shared" ref="CF70" si="1828">CE70</f>
        <v>12593</v>
      </c>
      <c r="CG70" s="101">
        <f t="shared" ref="CG70" si="1829">CF70</f>
        <v>12593</v>
      </c>
      <c r="CH70" s="103">
        <f>ROUND(CG70*(1+取值表!$D$2),0)</f>
        <v>13298</v>
      </c>
      <c r="CI70" s="101">
        <f t="shared" ref="CI70" si="1830">CH70</f>
        <v>13298</v>
      </c>
      <c r="CJ70" s="101">
        <f t="shared" ref="CJ70" si="1831">CI70</f>
        <v>13298</v>
      </c>
      <c r="CK70" s="101">
        <f t="shared" ref="CK70" si="1832">CJ70</f>
        <v>13298</v>
      </c>
      <c r="CL70" s="103">
        <f>ROUND(CK70*(1+取值表!$D$2),0)</f>
        <v>14043</v>
      </c>
      <c r="CM70" s="101">
        <f t="shared" ref="CM70" si="1833">CL70</f>
        <v>14043</v>
      </c>
      <c r="CN70" s="101">
        <f t="shared" ref="CN70" si="1834">CM70</f>
        <v>14043</v>
      </c>
      <c r="CO70" s="101">
        <f t="shared" ref="CO70" si="1835">CN70</f>
        <v>14043</v>
      </c>
      <c r="CP70" s="104">
        <f t="shared" si="1511"/>
        <v>723072</v>
      </c>
      <c r="CQ70" s="119"/>
      <c r="CR70" s="119"/>
      <c r="CS70" s="119"/>
      <c r="CT70" s="119"/>
      <c r="CU70" s="119"/>
      <c r="CV70" s="119"/>
      <c r="CW70" s="119"/>
      <c r="CX70" s="119"/>
      <c r="CY70" s="119"/>
      <c r="CZ70" s="119"/>
      <c r="DA70" s="119"/>
      <c r="DB70" s="119"/>
      <c r="DC70" s="119"/>
      <c r="DD70" s="119"/>
      <c r="DE70" s="119"/>
      <c r="DF70" s="119"/>
      <c r="DG70" s="119"/>
      <c r="DH70" s="119"/>
      <c r="DI70" s="119"/>
      <c r="DJ70" s="119"/>
      <c r="DK70" s="119"/>
      <c r="DL70" s="119"/>
      <c r="DM70" s="119"/>
      <c r="DN70" s="119"/>
      <c r="DO70" s="119"/>
      <c r="DP70" s="119"/>
      <c r="DQ70" s="119"/>
      <c r="DR70" s="119"/>
      <c r="DS70" s="119"/>
      <c r="DT70" s="119"/>
      <c r="DU70" s="119"/>
      <c r="DV70" s="119"/>
      <c r="DW70" s="119"/>
      <c r="DX70" s="119"/>
      <c r="DY70" s="119"/>
      <c r="DZ70" s="119"/>
      <c r="EA70" s="119"/>
      <c r="EB70" s="119"/>
      <c r="EC70" s="119"/>
      <c r="ED70" s="119"/>
      <c r="EE70" s="119"/>
      <c r="EF70" s="119"/>
      <c r="EG70" s="119"/>
      <c r="EH70" s="119"/>
      <c r="EI70" s="119"/>
      <c r="EJ70" s="119"/>
      <c r="EK70" s="119"/>
      <c r="EL70" s="119"/>
      <c r="EM70" s="119"/>
      <c r="EN70" s="119"/>
      <c r="EO70" s="119"/>
      <c r="EP70" s="119"/>
      <c r="EQ70" s="119"/>
      <c r="ER70" s="119"/>
      <c r="ES70" s="119"/>
      <c r="ET70" s="119"/>
      <c r="EU70" s="119"/>
      <c r="EV70" s="119"/>
      <c r="EW70" s="119"/>
      <c r="EX70" s="119"/>
      <c r="EY70" s="119"/>
      <c r="EZ70" s="119"/>
      <c r="FA70" s="119"/>
      <c r="FB70" s="119"/>
      <c r="FC70" s="119"/>
      <c r="FD70" s="119"/>
      <c r="FE70" s="119"/>
      <c r="FF70" s="119"/>
      <c r="FG70" s="119"/>
      <c r="FH70" s="119"/>
      <c r="FI70" s="119"/>
      <c r="FJ70" s="119"/>
      <c r="FK70" s="119"/>
      <c r="FL70" s="119"/>
      <c r="FM70" s="119"/>
      <c r="FN70" s="119"/>
      <c r="FO70" s="119"/>
      <c r="FP70" s="119"/>
      <c r="FQ70" s="119"/>
      <c r="FR70" s="119"/>
      <c r="FS70" s="119"/>
      <c r="FT70" s="119"/>
      <c r="FU70" s="119"/>
      <c r="FV70" s="119"/>
      <c r="FW70" s="119"/>
      <c r="FX70" s="119"/>
      <c r="FY70" s="119"/>
      <c r="FZ70" s="119"/>
      <c r="GA70" s="119"/>
      <c r="GB70" s="119"/>
      <c r="GC70" s="119"/>
      <c r="GD70" s="119"/>
      <c r="GE70" s="119"/>
      <c r="GF70" s="119"/>
      <c r="GG70" s="119"/>
      <c r="GH70" s="119"/>
      <c r="GI70" s="119"/>
      <c r="GJ70" s="119"/>
      <c r="GK70" s="119"/>
      <c r="GL70" s="119"/>
      <c r="GM70" s="119"/>
      <c r="GN70" s="119"/>
      <c r="GO70" s="119"/>
      <c r="GP70" s="119"/>
      <c r="GQ70" s="119"/>
      <c r="GR70" s="119"/>
      <c r="GS70" s="119"/>
      <c r="GT70" s="119"/>
      <c r="GU70" s="119"/>
      <c r="GV70" s="119"/>
      <c r="GW70" s="119"/>
      <c r="GX70" s="119"/>
      <c r="GY70" s="119"/>
      <c r="GZ70" s="120">
        <f t="shared" si="1623"/>
        <v>1446144</v>
      </c>
      <c r="HA70" s="121">
        <f>HB70*2</f>
        <v>14467.04</v>
      </c>
      <c r="HB70" s="122">
        <v>7233.52</v>
      </c>
      <c r="HC70" s="118">
        <v>33849.599999999999</v>
      </c>
    </row>
    <row r="71" spans="1:211" s="70" customFormat="1" ht="12.75">
      <c r="A71" s="535"/>
      <c r="B71" s="536"/>
      <c r="C71" s="537"/>
      <c r="D71" s="538"/>
      <c r="E71" s="539"/>
      <c r="F71" s="540"/>
      <c r="G71" s="540"/>
      <c r="H71" s="541"/>
      <c r="I71" s="54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  <c r="AA71" s="101"/>
      <c r="AB71" s="101"/>
      <c r="AC71" s="101"/>
      <c r="AD71" s="101"/>
      <c r="AE71" s="101"/>
      <c r="AF71" s="101"/>
      <c r="AG71" s="101"/>
      <c r="AH71" s="101"/>
      <c r="AI71" s="101"/>
      <c r="AJ71" s="101"/>
      <c r="AK71" s="101"/>
      <c r="AL71" s="101"/>
      <c r="AM71" s="101"/>
      <c r="AN71" s="101"/>
      <c r="AO71" s="101"/>
      <c r="AP71" s="101"/>
      <c r="AQ71" s="101"/>
      <c r="AR71" s="101"/>
      <c r="AS71" s="101"/>
      <c r="AT71" s="101"/>
      <c r="AU71" s="101"/>
      <c r="AV71" s="101"/>
      <c r="AW71" s="101"/>
      <c r="AX71" s="101"/>
      <c r="AY71" s="101"/>
      <c r="AZ71" s="101"/>
      <c r="BA71" s="101"/>
      <c r="BB71" s="101"/>
      <c r="BC71" s="101"/>
      <c r="BD71" s="101"/>
      <c r="BE71" s="101"/>
      <c r="BF71" s="101"/>
      <c r="BG71" s="101"/>
      <c r="BH71" s="101"/>
      <c r="BI71" s="101"/>
      <c r="BJ71" s="101"/>
      <c r="BK71" s="101"/>
      <c r="BL71" s="101"/>
      <c r="BM71" s="101"/>
      <c r="BN71" s="101"/>
      <c r="BO71" s="101"/>
      <c r="BP71" s="101"/>
      <c r="BQ71" s="101"/>
      <c r="BR71" s="101"/>
      <c r="BS71" s="101"/>
      <c r="BT71" s="101"/>
      <c r="BU71" s="101"/>
      <c r="BV71" s="101"/>
      <c r="BW71" s="101"/>
      <c r="BX71" s="101"/>
      <c r="BY71" s="101"/>
      <c r="BZ71" s="103">
        <f>ROUND(BY71*(1+取值表!$D$2),0)</f>
        <v>0</v>
      </c>
      <c r="CA71" s="101"/>
      <c r="CB71" s="101"/>
      <c r="CC71" s="101"/>
      <c r="CD71" s="101"/>
      <c r="CE71" s="101"/>
      <c r="CF71" s="101"/>
      <c r="CG71" s="101"/>
      <c r="CH71" s="101"/>
      <c r="CI71" s="101"/>
      <c r="CJ71" s="101"/>
      <c r="CK71" s="101"/>
      <c r="CL71" s="103">
        <f>ROUND(CK71*(1+取值表!$D$2),0)</f>
        <v>0</v>
      </c>
      <c r="CM71" s="101"/>
      <c r="CN71" s="101"/>
      <c r="CO71" s="101"/>
      <c r="CP71" s="104">
        <f t="shared" si="1511"/>
        <v>0</v>
      </c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4"/>
      <c r="EL71" s="114"/>
      <c r="EM71" s="114"/>
      <c r="EN71" s="114"/>
      <c r="EO71" s="114"/>
      <c r="EP71" s="114"/>
      <c r="EQ71" s="114"/>
      <c r="ER71" s="114"/>
      <c r="ES71" s="114"/>
      <c r="ET71" s="114"/>
      <c r="EU71" s="114"/>
      <c r="EV71" s="114"/>
      <c r="EW71" s="114"/>
      <c r="EX71" s="114"/>
      <c r="EY71" s="114"/>
      <c r="EZ71" s="114"/>
      <c r="FA71" s="114"/>
      <c r="FB71" s="114"/>
      <c r="FC71" s="114"/>
      <c r="FD71" s="114"/>
      <c r="FE71" s="114"/>
      <c r="FF71" s="114"/>
      <c r="FG71" s="114"/>
      <c r="FH71" s="114"/>
      <c r="FI71" s="114"/>
      <c r="FJ71" s="114"/>
      <c r="FK71" s="114"/>
      <c r="FL71" s="114"/>
      <c r="FM71" s="114"/>
      <c r="FN71" s="114"/>
      <c r="FO71" s="114"/>
      <c r="FP71" s="114"/>
      <c r="FQ71" s="114"/>
      <c r="FR71" s="114"/>
      <c r="FS71" s="114"/>
      <c r="FT71" s="114"/>
      <c r="FU71" s="114"/>
      <c r="FV71" s="114"/>
      <c r="FW71" s="114"/>
      <c r="FX71" s="114"/>
      <c r="FY71" s="114"/>
      <c r="FZ71" s="114"/>
      <c r="GA71" s="114"/>
      <c r="GB71" s="114"/>
      <c r="GC71" s="114"/>
      <c r="GD71" s="114"/>
      <c r="GE71" s="114"/>
      <c r="GF71" s="114"/>
      <c r="GG71" s="114"/>
      <c r="GH71" s="114"/>
      <c r="GI71" s="114"/>
      <c r="GJ71" s="114"/>
      <c r="GK71" s="114"/>
      <c r="GL71" s="114"/>
      <c r="GM71" s="114"/>
      <c r="GN71" s="114"/>
      <c r="GO71" s="114"/>
      <c r="GP71" s="114"/>
      <c r="GQ71" s="114"/>
      <c r="GR71" s="114"/>
      <c r="GS71" s="114"/>
      <c r="GT71" s="114"/>
      <c r="GU71" s="114"/>
      <c r="GV71" s="114"/>
      <c r="GW71" s="114"/>
      <c r="GX71" s="114"/>
      <c r="GY71" s="114"/>
      <c r="GZ71" s="115">
        <f t="shared" si="1623"/>
        <v>0</v>
      </c>
      <c r="HA71" s="116">
        <v>14467.04</v>
      </c>
      <c r="HB71" s="117">
        <v>7233.52</v>
      </c>
      <c r="HC71" s="118">
        <v>16924.8</v>
      </c>
    </row>
    <row r="72" spans="1:211" s="70" customFormat="1" ht="22.5">
      <c r="A72" s="123">
        <v>36</v>
      </c>
      <c r="B72" s="124" t="s">
        <v>987</v>
      </c>
      <c r="C72" s="20" t="s">
        <v>986</v>
      </c>
      <c r="D72" s="125" t="s">
        <v>986</v>
      </c>
      <c r="E72" s="126" t="s">
        <v>398</v>
      </c>
      <c r="F72" s="127">
        <f>基础资料!H25-658.97</f>
        <v>52.889999999999986</v>
      </c>
      <c r="G72" s="128">
        <v>3.09</v>
      </c>
      <c r="H72" s="113">
        <f>G72*F72*365</f>
        <v>59651.986499999985</v>
      </c>
      <c r="I72" s="113"/>
      <c r="J72" s="101">
        <f>ROUND(G72*F72*365/4*取值表!I2,0)</f>
        <v>14033</v>
      </c>
      <c r="K72" s="101">
        <f>J72</f>
        <v>14033</v>
      </c>
      <c r="L72" s="101">
        <f>K72</f>
        <v>14033</v>
      </c>
      <c r="M72" s="101">
        <f>L72</f>
        <v>14033</v>
      </c>
      <c r="N72" s="278">
        <f>ROUND(M72*(1+取值表!$D$2),0)</f>
        <v>14819</v>
      </c>
      <c r="O72" s="101">
        <f>N72</f>
        <v>14819</v>
      </c>
      <c r="P72" s="101">
        <f>O72</f>
        <v>14819</v>
      </c>
      <c r="Q72" s="101">
        <f>P72</f>
        <v>14819</v>
      </c>
      <c r="R72" s="101">
        <f>ROUND(Q72*(1+取值表!$D$2),0)</f>
        <v>15649</v>
      </c>
      <c r="S72" s="101">
        <f t="shared" ref="S72:U72" si="1836">R72</f>
        <v>15649</v>
      </c>
      <c r="T72" s="101">
        <f t="shared" si="1836"/>
        <v>15649</v>
      </c>
      <c r="U72" s="101">
        <f t="shared" si="1836"/>
        <v>15649</v>
      </c>
      <c r="V72" s="103">
        <f>ROUND(U72*(1+取值表!$D$2),0)</f>
        <v>16525</v>
      </c>
      <c r="W72" s="101">
        <f t="shared" ref="W72:Y72" si="1837">V72</f>
        <v>16525</v>
      </c>
      <c r="X72" s="101">
        <f t="shared" si="1837"/>
        <v>16525</v>
      </c>
      <c r="Y72" s="101">
        <f t="shared" si="1837"/>
        <v>16525</v>
      </c>
      <c r="Z72" s="103">
        <f>ROUND(Y72*(1+取值表!$D$2),0)</f>
        <v>17450</v>
      </c>
      <c r="AA72" s="101">
        <f t="shared" ref="AA72" si="1838">Z72</f>
        <v>17450</v>
      </c>
      <c r="AB72" s="101">
        <f t="shared" ref="AB72" si="1839">AA72</f>
        <v>17450</v>
      </c>
      <c r="AC72" s="101">
        <f t="shared" ref="AC72" si="1840">AB72</f>
        <v>17450</v>
      </c>
      <c r="AD72" s="103">
        <f>ROUND(AC72*(1+取值表!$D$2),0)</f>
        <v>18427</v>
      </c>
      <c r="AE72" s="101">
        <f t="shared" ref="AE72" si="1841">AD72</f>
        <v>18427</v>
      </c>
      <c r="AF72" s="101">
        <f t="shared" ref="AF72" si="1842">AE72</f>
        <v>18427</v>
      </c>
      <c r="AG72" s="101">
        <f t="shared" ref="AG72" si="1843">AF72</f>
        <v>18427</v>
      </c>
      <c r="AH72" s="103">
        <f>ROUND(AG72*(1+取值表!$D$2),0)</f>
        <v>19459</v>
      </c>
      <c r="AI72" s="101">
        <f t="shared" ref="AI72" si="1844">AH72</f>
        <v>19459</v>
      </c>
      <c r="AJ72" s="101">
        <f t="shared" ref="AJ72" si="1845">AI72</f>
        <v>19459</v>
      </c>
      <c r="AK72" s="101">
        <f t="shared" ref="AK72" si="1846">AJ72</f>
        <v>19459</v>
      </c>
      <c r="AL72" s="103">
        <f>ROUND(AK72*(1+取值表!$D$2),0)</f>
        <v>20549</v>
      </c>
      <c r="AM72" s="101">
        <f t="shared" ref="AM72" si="1847">AL72</f>
        <v>20549</v>
      </c>
      <c r="AN72" s="101">
        <f t="shared" ref="AN72" si="1848">AM72</f>
        <v>20549</v>
      </c>
      <c r="AO72" s="101">
        <f t="shared" ref="AO72" si="1849">AN72</f>
        <v>20549</v>
      </c>
      <c r="AP72" s="103">
        <f>ROUND(AO72*(1+取值表!$D$2),0)</f>
        <v>21700</v>
      </c>
      <c r="AQ72" s="101">
        <f t="shared" ref="AQ72" si="1850">AP72</f>
        <v>21700</v>
      </c>
      <c r="AR72" s="101">
        <f t="shared" ref="AR72" si="1851">AQ72</f>
        <v>21700</v>
      </c>
      <c r="AS72" s="101">
        <f t="shared" ref="AS72" si="1852">AR72</f>
        <v>21700</v>
      </c>
      <c r="AT72" s="103">
        <f>ROUND(AS72*(1+取值表!$D$2),0)</f>
        <v>22915</v>
      </c>
      <c r="AU72" s="101">
        <f t="shared" ref="AU72" si="1853">AT72</f>
        <v>22915</v>
      </c>
      <c r="AV72" s="101">
        <f t="shared" ref="AV72" si="1854">AU72</f>
        <v>22915</v>
      </c>
      <c r="AW72" s="101">
        <f t="shared" ref="AW72" si="1855">AV72</f>
        <v>22915</v>
      </c>
      <c r="AX72" s="103">
        <f>ROUND(AW72*(1+取值表!$D$2),0)</f>
        <v>24198</v>
      </c>
      <c r="AY72" s="101">
        <f t="shared" ref="AY72" si="1856">AX72</f>
        <v>24198</v>
      </c>
      <c r="AZ72" s="101">
        <f t="shared" ref="AZ72" si="1857">AY72</f>
        <v>24198</v>
      </c>
      <c r="BA72" s="101">
        <f t="shared" ref="BA72" si="1858">AZ72</f>
        <v>24198</v>
      </c>
      <c r="BB72" s="103">
        <f>ROUND(BA72*(1+取值表!$D$2),0)</f>
        <v>25553</v>
      </c>
      <c r="BC72" s="101">
        <f t="shared" ref="BC72" si="1859">BB72</f>
        <v>25553</v>
      </c>
      <c r="BD72" s="101">
        <f t="shared" ref="BD72" si="1860">BC72</f>
        <v>25553</v>
      </c>
      <c r="BE72" s="101">
        <f t="shared" ref="BE72" si="1861">BD72</f>
        <v>25553</v>
      </c>
      <c r="BF72" s="103">
        <f>ROUND(BE72*(1+取值表!$D$2),0)</f>
        <v>26984</v>
      </c>
      <c r="BG72" s="101">
        <f t="shared" ref="BG72" si="1862">BF72</f>
        <v>26984</v>
      </c>
      <c r="BH72" s="101">
        <f t="shared" ref="BH72" si="1863">BG72</f>
        <v>26984</v>
      </c>
      <c r="BI72" s="101">
        <f t="shared" ref="BI72" si="1864">BH72</f>
        <v>26984</v>
      </c>
      <c r="BJ72" s="103">
        <f>ROUND(BI72*(1+取值表!$D$2),0)</f>
        <v>28495</v>
      </c>
      <c r="BK72" s="101">
        <f t="shared" ref="BK72" si="1865">BJ72</f>
        <v>28495</v>
      </c>
      <c r="BL72" s="101">
        <f t="shared" ref="BL72" si="1866">BK72</f>
        <v>28495</v>
      </c>
      <c r="BM72" s="101">
        <f t="shared" ref="BM72" si="1867">BL72</f>
        <v>28495</v>
      </c>
      <c r="BN72" s="103">
        <f>ROUND(BM72*(1+取值表!$D$2),0)</f>
        <v>30091</v>
      </c>
      <c r="BO72" s="101">
        <f t="shared" ref="BO72" si="1868">BN72</f>
        <v>30091</v>
      </c>
      <c r="BP72" s="101">
        <f t="shared" ref="BP72" si="1869">BO72</f>
        <v>30091</v>
      </c>
      <c r="BQ72" s="101">
        <f t="shared" ref="BQ72" si="1870">BP72</f>
        <v>30091</v>
      </c>
      <c r="BR72" s="103">
        <f>ROUND(BQ72*(1+取值表!$D$2),0)</f>
        <v>31776</v>
      </c>
      <c r="BS72" s="101">
        <f t="shared" ref="BS72" si="1871">BR72</f>
        <v>31776</v>
      </c>
      <c r="BT72" s="101">
        <f t="shared" ref="BT72" si="1872">BS72</f>
        <v>31776</v>
      </c>
      <c r="BU72" s="101">
        <f t="shared" ref="BU72" si="1873">BT72</f>
        <v>31776</v>
      </c>
      <c r="BV72" s="103">
        <f>ROUND(BU72*(1+取值表!$D$2),0)</f>
        <v>33555</v>
      </c>
      <c r="BW72" s="101">
        <f t="shared" ref="BW72" si="1874">BV72</f>
        <v>33555</v>
      </c>
      <c r="BX72" s="101">
        <f t="shared" ref="BX72" si="1875">BW72</f>
        <v>33555</v>
      </c>
      <c r="BY72" s="101">
        <f t="shared" ref="BY72" si="1876">BX72</f>
        <v>33555</v>
      </c>
      <c r="BZ72" s="103">
        <f>ROUND(BY72*(1+取值表!$D$2),0)</f>
        <v>35434</v>
      </c>
      <c r="CA72" s="101">
        <f>BZ72</f>
        <v>35434</v>
      </c>
      <c r="CB72" s="101">
        <f>CA72</f>
        <v>35434</v>
      </c>
      <c r="CC72" s="101">
        <f>CB72</f>
        <v>35434</v>
      </c>
      <c r="CD72" s="103">
        <f>ROUND(CC72*(1+取值表!$D$2),0)</f>
        <v>37418</v>
      </c>
      <c r="CE72" s="101">
        <f t="shared" ref="CE72" si="1877">CD72</f>
        <v>37418</v>
      </c>
      <c r="CF72" s="101">
        <f t="shared" ref="CF72" si="1878">CE72</f>
        <v>37418</v>
      </c>
      <c r="CG72" s="101">
        <f t="shared" ref="CG72" si="1879">CF72</f>
        <v>37418</v>
      </c>
      <c r="CH72" s="103">
        <f>ROUND(CG72*(1+取值表!$D$2),0)</f>
        <v>39513</v>
      </c>
      <c r="CI72" s="101">
        <f t="shared" ref="CI72" si="1880">CH72</f>
        <v>39513</v>
      </c>
      <c r="CJ72" s="101">
        <f t="shared" ref="CJ72" si="1881">CI72</f>
        <v>39513</v>
      </c>
      <c r="CK72" s="101">
        <f t="shared" ref="CK72" si="1882">CJ72</f>
        <v>39513</v>
      </c>
      <c r="CL72" s="103">
        <f>ROUND(CK72*(1+取值表!$D$2),0)</f>
        <v>41726</v>
      </c>
      <c r="CM72" s="101">
        <f t="shared" ref="CM72" si="1883">CL72</f>
        <v>41726</v>
      </c>
      <c r="CN72" s="101">
        <f t="shared" ref="CN72" si="1884">CM72</f>
        <v>41726</v>
      </c>
      <c r="CO72" s="101">
        <f t="shared" ref="CO72" si="1885">CN72</f>
        <v>41726</v>
      </c>
      <c r="CP72" s="104">
        <f>SUM(J72:CO72)</f>
        <v>2145076</v>
      </c>
      <c r="CQ72" s="129"/>
      <c r="CR72" s="129"/>
      <c r="CS72" s="129"/>
      <c r="CT72" s="129"/>
      <c r="CU72" s="129"/>
      <c r="CV72" s="129"/>
      <c r="CW72" s="129"/>
      <c r="CX72" s="129"/>
      <c r="CY72" s="129"/>
      <c r="CZ72" s="129"/>
      <c r="DA72" s="129"/>
      <c r="DB72" s="129"/>
      <c r="DC72" s="129"/>
      <c r="DD72" s="129"/>
      <c r="DE72" s="129"/>
      <c r="DF72" s="129"/>
      <c r="DG72" s="129"/>
      <c r="DH72" s="129"/>
      <c r="DI72" s="129"/>
      <c r="DJ72" s="129"/>
      <c r="DK72" s="129"/>
      <c r="DL72" s="129"/>
      <c r="DM72" s="129"/>
      <c r="DN72" s="129"/>
      <c r="DO72" s="129"/>
      <c r="DP72" s="129"/>
      <c r="DQ72" s="129"/>
      <c r="DR72" s="129"/>
      <c r="DS72" s="129"/>
      <c r="DT72" s="129"/>
      <c r="DU72" s="129"/>
      <c r="DV72" s="129"/>
      <c r="DW72" s="129"/>
      <c r="DX72" s="129"/>
      <c r="DY72" s="129"/>
      <c r="DZ72" s="129"/>
      <c r="EA72" s="129"/>
      <c r="EB72" s="129"/>
      <c r="EC72" s="129"/>
      <c r="ED72" s="129"/>
      <c r="EE72" s="129"/>
      <c r="EF72" s="129"/>
      <c r="EG72" s="129"/>
      <c r="EH72" s="129"/>
      <c r="EI72" s="129"/>
      <c r="EJ72" s="129"/>
      <c r="EK72" s="129"/>
      <c r="EL72" s="129"/>
      <c r="EM72" s="129"/>
      <c r="EN72" s="129"/>
      <c r="EO72" s="129"/>
      <c r="EP72" s="129"/>
      <c r="EQ72" s="129"/>
      <c r="ER72" s="129"/>
      <c r="ES72" s="129"/>
      <c r="ET72" s="129"/>
      <c r="EU72" s="129"/>
      <c r="EV72" s="129"/>
      <c r="EW72" s="129"/>
      <c r="EX72" s="129"/>
      <c r="EY72" s="129"/>
      <c r="EZ72" s="129"/>
      <c r="FA72" s="129"/>
      <c r="FB72" s="129"/>
      <c r="FC72" s="129"/>
      <c r="FD72" s="129"/>
      <c r="FE72" s="129"/>
      <c r="FF72" s="129"/>
      <c r="FG72" s="129"/>
      <c r="FH72" s="129"/>
      <c r="FI72" s="129"/>
      <c r="FJ72" s="129"/>
      <c r="FK72" s="129"/>
      <c r="FL72" s="129"/>
      <c r="FM72" s="129"/>
      <c r="FN72" s="129"/>
      <c r="FO72" s="129"/>
      <c r="FP72" s="129"/>
      <c r="FQ72" s="129"/>
      <c r="FR72" s="129"/>
      <c r="FS72" s="129"/>
      <c r="FT72" s="129"/>
      <c r="FU72" s="129"/>
      <c r="FV72" s="129"/>
      <c r="FW72" s="129"/>
      <c r="FX72" s="129"/>
      <c r="FY72" s="129"/>
      <c r="FZ72" s="129"/>
      <c r="GA72" s="129"/>
      <c r="GB72" s="129"/>
      <c r="GC72" s="129"/>
      <c r="GD72" s="129"/>
      <c r="GE72" s="129"/>
      <c r="GF72" s="129"/>
      <c r="GG72" s="129"/>
      <c r="GH72" s="129"/>
      <c r="GI72" s="129"/>
      <c r="GJ72" s="129"/>
      <c r="GK72" s="129"/>
      <c r="GL72" s="129"/>
      <c r="GM72" s="129"/>
      <c r="GN72" s="129"/>
      <c r="GO72" s="129"/>
      <c r="GP72" s="129"/>
      <c r="GQ72" s="129"/>
      <c r="GR72" s="129"/>
      <c r="GS72" s="129"/>
      <c r="GT72" s="129"/>
      <c r="GU72" s="129"/>
      <c r="GV72" s="129"/>
      <c r="GW72" s="129"/>
      <c r="GX72" s="129"/>
      <c r="GY72" s="129"/>
      <c r="GZ72" s="130"/>
      <c r="HA72" s="118"/>
      <c r="HB72" s="118"/>
      <c r="HC72" s="118"/>
    </row>
    <row r="73" spans="1:211" ht="21" customHeight="1">
      <c r="A73" s="546" t="s">
        <v>952</v>
      </c>
      <c r="B73" s="546"/>
      <c r="C73" s="546"/>
      <c r="D73" s="546"/>
      <c r="E73" s="112"/>
      <c r="F73" s="99">
        <f>SUM(F3:F72)</f>
        <v>711.8599999999999</v>
      </c>
      <c r="G73" s="100">
        <f>ROUND(H73/365/F73,2)</f>
        <v>3.09</v>
      </c>
      <c r="H73" s="108">
        <f>SUM(H3:H72)</f>
        <v>803571.86416666664</v>
      </c>
      <c r="I73" s="99"/>
      <c r="J73" s="131">
        <f t="shared" ref="J73:AO73" si="1886">SUM(J3:J72)</f>
        <v>200015</v>
      </c>
      <c r="K73" s="131">
        <f>SUM(K3:K72)</f>
        <v>200015</v>
      </c>
      <c r="L73" s="131">
        <f t="shared" si="1886"/>
        <v>200015</v>
      </c>
      <c r="M73" s="131">
        <f t="shared" si="1886"/>
        <v>200015</v>
      </c>
      <c r="N73" s="131">
        <f t="shared" si="1886"/>
        <v>199624</v>
      </c>
      <c r="O73" s="131">
        <f t="shared" si="1886"/>
        <v>199624</v>
      </c>
      <c r="P73" s="131">
        <f t="shared" si="1886"/>
        <v>199624</v>
      </c>
      <c r="Q73" s="131">
        <f t="shared" si="1886"/>
        <v>199624</v>
      </c>
      <c r="R73" s="131">
        <f>SUM(R3:R72)</f>
        <v>210803</v>
      </c>
      <c r="S73" s="131">
        <f t="shared" si="1886"/>
        <v>210803</v>
      </c>
      <c r="T73" s="131">
        <f t="shared" si="1886"/>
        <v>210803</v>
      </c>
      <c r="U73" s="131">
        <f t="shared" si="1886"/>
        <v>210803</v>
      </c>
      <c r="V73" s="131">
        <f t="shared" si="1886"/>
        <v>222605</v>
      </c>
      <c r="W73" s="131">
        <f t="shared" si="1886"/>
        <v>222605</v>
      </c>
      <c r="X73" s="131">
        <f t="shared" si="1886"/>
        <v>222605</v>
      </c>
      <c r="Y73" s="131">
        <f t="shared" si="1886"/>
        <v>222605</v>
      </c>
      <c r="Z73" s="131">
        <f t="shared" si="1886"/>
        <v>235071</v>
      </c>
      <c r="AA73" s="131">
        <f t="shared" si="1886"/>
        <v>235071</v>
      </c>
      <c r="AB73" s="131">
        <f t="shared" si="1886"/>
        <v>235071</v>
      </c>
      <c r="AC73" s="131">
        <f t="shared" si="1886"/>
        <v>235071</v>
      </c>
      <c r="AD73" s="131">
        <f t="shared" si="1886"/>
        <v>248237</v>
      </c>
      <c r="AE73" s="131">
        <f t="shared" si="1886"/>
        <v>248237</v>
      </c>
      <c r="AF73" s="131">
        <f t="shared" si="1886"/>
        <v>248237</v>
      </c>
      <c r="AG73" s="131">
        <f t="shared" si="1886"/>
        <v>248237</v>
      </c>
      <c r="AH73" s="131">
        <f t="shared" si="1886"/>
        <v>262141</v>
      </c>
      <c r="AI73" s="131">
        <f t="shared" si="1886"/>
        <v>262141</v>
      </c>
      <c r="AJ73" s="131">
        <f t="shared" si="1886"/>
        <v>262141</v>
      </c>
      <c r="AK73" s="131">
        <f t="shared" si="1886"/>
        <v>262141</v>
      </c>
      <c r="AL73" s="131">
        <f t="shared" si="1886"/>
        <v>276822</v>
      </c>
      <c r="AM73" s="131">
        <f t="shared" si="1886"/>
        <v>276822</v>
      </c>
      <c r="AN73" s="131">
        <f t="shared" si="1886"/>
        <v>276822</v>
      </c>
      <c r="AO73" s="131">
        <f t="shared" si="1886"/>
        <v>276822</v>
      </c>
      <c r="AP73" s="131">
        <f t="shared" ref="AP73:BU73" si="1887">SUM(AP3:AP72)</f>
        <v>292328</v>
      </c>
      <c r="AQ73" s="131">
        <f t="shared" si="1887"/>
        <v>292328</v>
      </c>
      <c r="AR73" s="131">
        <f t="shared" si="1887"/>
        <v>292328</v>
      </c>
      <c r="AS73" s="131">
        <f t="shared" si="1887"/>
        <v>292328</v>
      </c>
      <c r="AT73" s="131">
        <f t="shared" si="1887"/>
        <v>308700</v>
      </c>
      <c r="AU73" s="131">
        <f t="shared" si="1887"/>
        <v>308700</v>
      </c>
      <c r="AV73" s="131">
        <f t="shared" si="1887"/>
        <v>308700</v>
      </c>
      <c r="AW73" s="131">
        <f t="shared" si="1887"/>
        <v>308700</v>
      </c>
      <c r="AX73" s="131">
        <f t="shared" si="1887"/>
        <v>325987</v>
      </c>
      <c r="AY73" s="131">
        <f t="shared" si="1887"/>
        <v>325987</v>
      </c>
      <c r="AZ73" s="131">
        <f t="shared" si="1887"/>
        <v>325987</v>
      </c>
      <c r="BA73" s="131">
        <f t="shared" si="1887"/>
        <v>325987</v>
      </c>
      <c r="BB73" s="131">
        <f t="shared" si="1887"/>
        <v>344243</v>
      </c>
      <c r="BC73" s="131">
        <f t="shared" si="1887"/>
        <v>344243</v>
      </c>
      <c r="BD73" s="131">
        <f t="shared" si="1887"/>
        <v>344243</v>
      </c>
      <c r="BE73" s="131">
        <f t="shared" si="1887"/>
        <v>344243</v>
      </c>
      <c r="BF73" s="131">
        <f t="shared" si="1887"/>
        <v>363520</v>
      </c>
      <c r="BG73" s="131">
        <f t="shared" si="1887"/>
        <v>363520</v>
      </c>
      <c r="BH73" s="131">
        <f t="shared" si="1887"/>
        <v>363520</v>
      </c>
      <c r="BI73" s="131">
        <f t="shared" si="1887"/>
        <v>363520</v>
      </c>
      <c r="BJ73" s="131">
        <f t="shared" si="1887"/>
        <v>383877</v>
      </c>
      <c r="BK73" s="131">
        <f t="shared" si="1887"/>
        <v>383877</v>
      </c>
      <c r="BL73" s="131">
        <f t="shared" si="1887"/>
        <v>383877</v>
      </c>
      <c r="BM73" s="131">
        <f t="shared" si="1887"/>
        <v>383877</v>
      </c>
      <c r="BN73" s="131">
        <f t="shared" si="1887"/>
        <v>405373</v>
      </c>
      <c r="BO73" s="131">
        <f t="shared" si="1887"/>
        <v>405373</v>
      </c>
      <c r="BP73" s="131">
        <f t="shared" si="1887"/>
        <v>405373</v>
      </c>
      <c r="BQ73" s="131">
        <f t="shared" si="1887"/>
        <v>405373</v>
      </c>
      <c r="BR73" s="131">
        <f t="shared" si="1887"/>
        <v>428073</v>
      </c>
      <c r="BS73" s="131">
        <f t="shared" si="1887"/>
        <v>428073</v>
      </c>
      <c r="BT73" s="131">
        <f t="shared" si="1887"/>
        <v>428073</v>
      </c>
      <c r="BU73" s="131">
        <f t="shared" si="1887"/>
        <v>428073</v>
      </c>
      <c r="BV73" s="131">
        <f t="shared" ref="BV73:CO73" si="1888">SUM(BV3:BV72)</f>
        <v>452046</v>
      </c>
      <c r="BW73" s="131">
        <f t="shared" si="1888"/>
        <v>452046</v>
      </c>
      <c r="BX73" s="131">
        <f t="shared" si="1888"/>
        <v>452046</v>
      </c>
      <c r="BY73" s="131">
        <f t="shared" si="1888"/>
        <v>452046</v>
      </c>
      <c r="BZ73" s="131">
        <f>SUM(BZ3:BZ72)</f>
        <v>477359</v>
      </c>
      <c r="CA73" s="131">
        <f t="shared" si="1888"/>
        <v>477359</v>
      </c>
      <c r="CB73" s="131">
        <f t="shared" si="1888"/>
        <v>477359</v>
      </c>
      <c r="CC73" s="131">
        <f t="shared" si="1888"/>
        <v>477359</v>
      </c>
      <c r="CD73" s="131">
        <f>SUM(CD3:CD72)</f>
        <v>504095</v>
      </c>
      <c r="CE73" s="131">
        <f t="shared" si="1888"/>
        <v>504095</v>
      </c>
      <c r="CF73" s="131">
        <f t="shared" si="1888"/>
        <v>504095</v>
      </c>
      <c r="CG73" s="131">
        <f t="shared" si="1888"/>
        <v>504095</v>
      </c>
      <c r="CH73" s="131">
        <f>SUM(CH3:CH72)</f>
        <v>532323</v>
      </c>
      <c r="CI73" s="131">
        <f t="shared" si="1888"/>
        <v>532323</v>
      </c>
      <c r="CJ73" s="131">
        <f t="shared" si="1888"/>
        <v>532323</v>
      </c>
      <c r="CK73" s="131">
        <f t="shared" si="1888"/>
        <v>532323</v>
      </c>
      <c r="CL73" s="131">
        <f>SUM(CL3:CL72)</f>
        <v>562140</v>
      </c>
      <c r="CM73" s="131">
        <f t="shared" si="1888"/>
        <v>562140</v>
      </c>
      <c r="CN73" s="131">
        <f t="shared" si="1888"/>
        <v>562140</v>
      </c>
      <c r="CO73" s="131">
        <f t="shared" si="1888"/>
        <v>562140</v>
      </c>
      <c r="CP73" s="131">
        <f>SUM(CP3:CP72)</f>
        <v>28941528</v>
      </c>
    </row>
    <row r="74" spans="1:211" ht="21" customHeight="1">
      <c r="A74" s="54"/>
      <c r="B74" s="132"/>
      <c r="C74" s="133"/>
      <c r="D74" s="134"/>
      <c r="E74" s="135"/>
      <c r="F74" s="136">
        <f>F73-F72</f>
        <v>658.96999999999991</v>
      </c>
      <c r="G74" s="137"/>
      <c r="H74" s="138"/>
      <c r="I74" s="136"/>
    </row>
    <row r="75" spans="1:211">
      <c r="A75" s="54"/>
      <c r="B75" s="576"/>
      <c r="C75" s="576"/>
      <c r="D75" s="576"/>
      <c r="E75" s="576"/>
      <c r="F75" s="576"/>
      <c r="G75" s="576"/>
      <c r="H75" s="576"/>
      <c r="I75" s="576"/>
      <c r="J75" s="576"/>
      <c r="K75" s="576"/>
      <c r="L75" s="576"/>
      <c r="M75" s="576"/>
      <c r="N75" s="576"/>
      <c r="O75" s="576"/>
      <c r="P75" s="576"/>
      <c r="Q75" s="576"/>
      <c r="R75" s="576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</row>
    <row r="76" spans="1:211">
      <c r="A76" s="54"/>
      <c r="B76" s="55"/>
      <c r="C76" s="55"/>
      <c r="D76" s="56"/>
      <c r="E76" s="577" t="s">
        <v>953</v>
      </c>
      <c r="F76" s="577"/>
      <c r="G76" s="577"/>
      <c r="H76" s="577"/>
      <c r="I76" s="577" t="s">
        <v>966</v>
      </c>
      <c r="J76" s="577"/>
      <c r="K76" s="577"/>
      <c r="L76" s="577"/>
      <c r="M76" s="577" t="s">
        <v>967</v>
      </c>
      <c r="N76" s="577"/>
      <c r="O76" s="577"/>
      <c r="P76" s="577"/>
      <c r="Q76" s="577" t="s">
        <v>968</v>
      </c>
      <c r="R76" s="577"/>
      <c r="S76" s="577"/>
      <c r="T76" s="577"/>
      <c r="U76" s="577" t="s">
        <v>969</v>
      </c>
      <c r="V76" s="577"/>
      <c r="W76" s="577"/>
      <c r="X76" s="577"/>
      <c r="Y76" s="577" t="s">
        <v>970</v>
      </c>
      <c r="Z76" s="577"/>
      <c r="AA76" s="577"/>
      <c r="AB76" s="577"/>
      <c r="AC76" s="577" t="s">
        <v>971</v>
      </c>
      <c r="AD76" s="577"/>
      <c r="AE76" s="577"/>
      <c r="AF76" s="577"/>
      <c r="AG76" s="577" t="s">
        <v>972</v>
      </c>
      <c r="AH76" s="577"/>
      <c r="AI76" s="577"/>
      <c r="AJ76" s="577"/>
      <c r="AK76" s="577" t="s">
        <v>973</v>
      </c>
      <c r="AL76" s="577"/>
      <c r="AM76" s="577"/>
      <c r="AN76" s="577"/>
      <c r="AO76" s="577" t="s">
        <v>974</v>
      </c>
      <c r="AP76" s="577"/>
      <c r="AQ76" s="577"/>
      <c r="AR76" s="577"/>
      <c r="AS76" s="577" t="s">
        <v>975</v>
      </c>
      <c r="AT76" s="577"/>
      <c r="AU76" s="577"/>
      <c r="AV76" s="577"/>
      <c r="AW76" s="577" t="s">
        <v>976</v>
      </c>
      <c r="AX76" s="577"/>
      <c r="AY76" s="577"/>
      <c r="AZ76" s="577"/>
      <c r="BA76" s="577" t="s">
        <v>977</v>
      </c>
      <c r="BB76" s="577"/>
      <c r="BC76" s="577"/>
      <c r="BD76" s="577"/>
      <c r="BE76" s="577" t="s">
        <v>978</v>
      </c>
      <c r="BF76" s="577"/>
      <c r="BG76" s="577"/>
      <c r="BH76" s="577"/>
      <c r="BI76" s="577" t="s">
        <v>979</v>
      </c>
      <c r="BJ76" s="577"/>
      <c r="BK76" s="577"/>
      <c r="BL76" s="577"/>
      <c r="BM76" s="577" t="s">
        <v>980</v>
      </c>
      <c r="BN76" s="577"/>
      <c r="BO76" s="577"/>
      <c r="BP76" s="577"/>
      <c r="BQ76" s="577" t="s">
        <v>981</v>
      </c>
      <c r="BR76" s="577"/>
      <c r="BS76" s="577"/>
      <c r="BT76" s="577"/>
      <c r="BU76" s="577" t="s">
        <v>982</v>
      </c>
      <c r="BV76" s="577"/>
      <c r="BW76" s="577"/>
      <c r="BX76" s="577"/>
      <c r="BY76" s="577" t="s">
        <v>983</v>
      </c>
      <c r="BZ76" s="577"/>
      <c r="CA76" s="577"/>
      <c r="CB76" s="577"/>
      <c r="CC76" s="577" t="s">
        <v>984</v>
      </c>
      <c r="CD76" s="577"/>
      <c r="CE76" s="577"/>
      <c r="CF76" s="577"/>
      <c r="CG76" s="577" t="s">
        <v>985</v>
      </c>
      <c r="CH76" s="577"/>
      <c r="CI76" s="577"/>
      <c r="CJ76" s="577"/>
      <c r="CK76" s="57"/>
    </row>
    <row r="77" spans="1:211" s="67" customFormat="1" ht="18.75" customHeight="1">
      <c r="A77" s="61"/>
      <c r="B77" s="62" t="s">
        <v>954</v>
      </c>
      <c r="C77" s="62" t="s">
        <v>955</v>
      </c>
      <c r="D77" s="63" t="s">
        <v>956</v>
      </c>
      <c r="E77" s="64" t="str">
        <f t="shared" ref="E77:AJ77" si="1889">J1</f>
        <v>2018年2季度</v>
      </c>
      <c r="F77" s="64" t="str">
        <f t="shared" si="1889"/>
        <v>2018年3季度</v>
      </c>
      <c r="G77" s="64" t="str">
        <f t="shared" si="1889"/>
        <v>2018年4季度</v>
      </c>
      <c r="H77" s="64" t="str">
        <f t="shared" si="1889"/>
        <v>2019年1季度</v>
      </c>
      <c r="I77" s="64" t="str">
        <f t="shared" si="1889"/>
        <v>2019年2季度</v>
      </c>
      <c r="J77" s="64" t="str">
        <f t="shared" si="1889"/>
        <v>2019年3季度</v>
      </c>
      <c r="K77" s="64" t="str">
        <f t="shared" si="1889"/>
        <v>2019年4季度</v>
      </c>
      <c r="L77" s="64" t="str">
        <f t="shared" si="1889"/>
        <v>2020年1季度</v>
      </c>
      <c r="M77" s="64" t="str">
        <f t="shared" si="1889"/>
        <v>2020年2季度</v>
      </c>
      <c r="N77" s="64" t="str">
        <f t="shared" si="1889"/>
        <v>2020年3季度</v>
      </c>
      <c r="O77" s="64" t="str">
        <f t="shared" si="1889"/>
        <v>2020年4季度</v>
      </c>
      <c r="P77" s="64" t="str">
        <f t="shared" si="1889"/>
        <v>2021年1季度</v>
      </c>
      <c r="Q77" s="64" t="str">
        <f t="shared" si="1889"/>
        <v>2021年2季度</v>
      </c>
      <c r="R77" s="64" t="str">
        <f t="shared" si="1889"/>
        <v>2021年3季度</v>
      </c>
      <c r="S77" s="64" t="str">
        <f t="shared" si="1889"/>
        <v>2021年4季度</v>
      </c>
      <c r="T77" s="64" t="str">
        <f t="shared" si="1889"/>
        <v>2022年1季度</v>
      </c>
      <c r="U77" s="64" t="str">
        <f t="shared" si="1889"/>
        <v>2022年2季度</v>
      </c>
      <c r="V77" s="64" t="str">
        <f t="shared" si="1889"/>
        <v>2022年3季度</v>
      </c>
      <c r="W77" s="64" t="str">
        <f t="shared" si="1889"/>
        <v>2022年4季度</v>
      </c>
      <c r="X77" s="64" t="str">
        <f t="shared" si="1889"/>
        <v>2023年1季度</v>
      </c>
      <c r="Y77" s="64" t="str">
        <f t="shared" si="1889"/>
        <v>2023年2季度</v>
      </c>
      <c r="Z77" s="64" t="str">
        <f t="shared" si="1889"/>
        <v>2023年3季度</v>
      </c>
      <c r="AA77" s="64" t="str">
        <f t="shared" si="1889"/>
        <v>2023年4季度</v>
      </c>
      <c r="AB77" s="64" t="str">
        <f t="shared" si="1889"/>
        <v>2024年1季度</v>
      </c>
      <c r="AC77" s="64" t="str">
        <f t="shared" si="1889"/>
        <v>2024年2季度</v>
      </c>
      <c r="AD77" s="64" t="str">
        <f t="shared" si="1889"/>
        <v>2024年3季度</v>
      </c>
      <c r="AE77" s="64" t="str">
        <f t="shared" si="1889"/>
        <v>2024年4季度</v>
      </c>
      <c r="AF77" s="64" t="str">
        <f t="shared" si="1889"/>
        <v>2025年1季度</v>
      </c>
      <c r="AG77" s="64" t="str">
        <f t="shared" si="1889"/>
        <v>2025年2季度</v>
      </c>
      <c r="AH77" s="64" t="str">
        <f t="shared" si="1889"/>
        <v>2025年3季度</v>
      </c>
      <c r="AI77" s="64" t="str">
        <f t="shared" si="1889"/>
        <v>2025年4季度</v>
      </c>
      <c r="AJ77" s="64" t="str">
        <f t="shared" si="1889"/>
        <v>2026年1季度</v>
      </c>
      <c r="AK77" s="64" t="str">
        <f t="shared" ref="AK77:BP77" si="1890">AP1</f>
        <v>2026年2季度</v>
      </c>
      <c r="AL77" s="64" t="str">
        <f t="shared" si="1890"/>
        <v>2026年3季度</v>
      </c>
      <c r="AM77" s="64" t="str">
        <f t="shared" si="1890"/>
        <v>2026年4季度</v>
      </c>
      <c r="AN77" s="64" t="str">
        <f t="shared" si="1890"/>
        <v>2027年1季度</v>
      </c>
      <c r="AO77" s="64" t="str">
        <f t="shared" si="1890"/>
        <v>2027年2季度</v>
      </c>
      <c r="AP77" s="64" t="str">
        <f t="shared" si="1890"/>
        <v>2027年3季度</v>
      </c>
      <c r="AQ77" s="64" t="str">
        <f t="shared" si="1890"/>
        <v>2027年4季度</v>
      </c>
      <c r="AR77" s="64" t="str">
        <f t="shared" si="1890"/>
        <v>2028年1季度</v>
      </c>
      <c r="AS77" s="64" t="str">
        <f t="shared" si="1890"/>
        <v>2028年2季度</v>
      </c>
      <c r="AT77" s="64" t="str">
        <f t="shared" si="1890"/>
        <v>2028年3季度</v>
      </c>
      <c r="AU77" s="64" t="str">
        <f t="shared" si="1890"/>
        <v>2028年4季度</v>
      </c>
      <c r="AV77" s="64" t="str">
        <f t="shared" si="1890"/>
        <v>2029年1季度</v>
      </c>
      <c r="AW77" s="64" t="str">
        <f t="shared" si="1890"/>
        <v>2029年2季度</v>
      </c>
      <c r="AX77" s="64" t="str">
        <f t="shared" si="1890"/>
        <v>2029年3季度</v>
      </c>
      <c r="AY77" s="64" t="str">
        <f t="shared" si="1890"/>
        <v>2029年4季度</v>
      </c>
      <c r="AZ77" s="64" t="str">
        <f t="shared" si="1890"/>
        <v>2030年1季度</v>
      </c>
      <c r="BA77" s="64" t="str">
        <f t="shared" si="1890"/>
        <v>2030年2季度</v>
      </c>
      <c r="BB77" s="64" t="str">
        <f t="shared" si="1890"/>
        <v>2030年3季度</v>
      </c>
      <c r="BC77" s="64" t="str">
        <f t="shared" si="1890"/>
        <v>2030年4季度</v>
      </c>
      <c r="BD77" s="64" t="str">
        <f t="shared" si="1890"/>
        <v>2031年1季度</v>
      </c>
      <c r="BE77" s="64" t="str">
        <f t="shared" si="1890"/>
        <v>2031年2季度</v>
      </c>
      <c r="BF77" s="64" t="str">
        <f t="shared" si="1890"/>
        <v>2031年3季度</v>
      </c>
      <c r="BG77" s="64" t="str">
        <f t="shared" si="1890"/>
        <v>2031年4季度</v>
      </c>
      <c r="BH77" s="64" t="str">
        <f t="shared" si="1890"/>
        <v>2032年1季度</v>
      </c>
      <c r="BI77" s="64" t="str">
        <f t="shared" si="1890"/>
        <v>2032年2季度</v>
      </c>
      <c r="BJ77" s="64" t="str">
        <f t="shared" si="1890"/>
        <v>2032年3季度</v>
      </c>
      <c r="BK77" s="64" t="str">
        <f t="shared" si="1890"/>
        <v>2032年4季度</v>
      </c>
      <c r="BL77" s="64" t="str">
        <f t="shared" si="1890"/>
        <v>2033年1季度</v>
      </c>
      <c r="BM77" s="64" t="str">
        <f t="shared" si="1890"/>
        <v>2033年2季度</v>
      </c>
      <c r="BN77" s="64" t="str">
        <f t="shared" si="1890"/>
        <v>2033年3季度</v>
      </c>
      <c r="BO77" s="64" t="str">
        <f t="shared" si="1890"/>
        <v>2033年4季度</v>
      </c>
      <c r="BP77" s="64" t="str">
        <f t="shared" si="1890"/>
        <v>2034年1季度</v>
      </c>
      <c r="BQ77" s="64" t="str">
        <f t="shared" ref="BQ77:CJ77" si="1891">BV1</f>
        <v>2034年2季度</v>
      </c>
      <c r="BR77" s="64" t="str">
        <f t="shared" si="1891"/>
        <v>2034年3季度</v>
      </c>
      <c r="BS77" s="64" t="str">
        <f t="shared" si="1891"/>
        <v>2034年4季度</v>
      </c>
      <c r="BT77" s="64" t="str">
        <f t="shared" si="1891"/>
        <v>2035年1季度</v>
      </c>
      <c r="BU77" s="64" t="str">
        <f t="shared" si="1891"/>
        <v>2035年2季度</v>
      </c>
      <c r="BV77" s="64" t="str">
        <f t="shared" si="1891"/>
        <v>2035年3季度</v>
      </c>
      <c r="BW77" s="64" t="str">
        <f t="shared" si="1891"/>
        <v>2035年4季度</v>
      </c>
      <c r="BX77" s="64" t="str">
        <f t="shared" si="1891"/>
        <v>2036年1季度</v>
      </c>
      <c r="BY77" s="64" t="str">
        <f t="shared" si="1891"/>
        <v>2036年2季度</v>
      </c>
      <c r="BZ77" s="64" t="str">
        <f t="shared" si="1891"/>
        <v>2036年3季度</v>
      </c>
      <c r="CA77" s="64" t="str">
        <f t="shared" si="1891"/>
        <v>2036年4季度</v>
      </c>
      <c r="CB77" s="64" t="str">
        <f t="shared" si="1891"/>
        <v>2037年1季度</v>
      </c>
      <c r="CC77" s="64" t="str">
        <f t="shared" si="1891"/>
        <v>2037年2季度</v>
      </c>
      <c r="CD77" s="64" t="str">
        <f t="shared" si="1891"/>
        <v>2037年3季度</v>
      </c>
      <c r="CE77" s="64" t="str">
        <f t="shared" si="1891"/>
        <v>2037年4季度</v>
      </c>
      <c r="CF77" s="64" t="str">
        <f t="shared" si="1891"/>
        <v>2038年1季度</v>
      </c>
      <c r="CG77" s="64" t="str">
        <f t="shared" si="1891"/>
        <v>2038年2季度</v>
      </c>
      <c r="CH77" s="64" t="str">
        <f t="shared" si="1891"/>
        <v>2038年3季度</v>
      </c>
      <c r="CI77" s="64" t="str">
        <f t="shared" si="1891"/>
        <v>2038年4季度</v>
      </c>
      <c r="CJ77" s="64" t="str">
        <f t="shared" si="1891"/>
        <v>2039年1季度</v>
      </c>
      <c r="CK77" s="64" t="s">
        <v>957</v>
      </c>
      <c r="CL77" s="65"/>
      <c r="CM77" s="65"/>
      <c r="CN77" s="65"/>
      <c r="CO77" s="65"/>
      <c r="CP77" s="66"/>
    </row>
    <row r="78" spans="1:211" s="453" customFormat="1" ht="21">
      <c r="A78" s="445"/>
      <c r="B78" s="446" t="s">
        <v>958</v>
      </c>
      <c r="C78" s="446"/>
      <c r="D78" s="447"/>
      <c r="E78" s="448">
        <f>E79+E80+E81</f>
        <v>200015</v>
      </c>
      <c r="F78" s="448">
        <f t="shared" ref="F78:BQ78" si="1892">F79+F80+F81</f>
        <v>200015</v>
      </c>
      <c r="G78" s="448">
        <f t="shared" si="1892"/>
        <v>200015</v>
      </c>
      <c r="H78" s="448">
        <f t="shared" si="1892"/>
        <v>200015</v>
      </c>
      <c r="I78" s="448">
        <f t="shared" si="1892"/>
        <v>199624</v>
      </c>
      <c r="J78" s="448">
        <f t="shared" si="1892"/>
        <v>199624</v>
      </c>
      <c r="K78" s="448">
        <f t="shared" si="1892"/>
        <v>199624</v>
      </c>
      <c r="L78" s="448">
        <f t="shared" si="1892"/>
        <v>199624</v>
      </c>
      <c r="M78" s="448">
        <f t="shared" si="1892"/>
        <v>210803</v>
      </c>
      <c r="N78" s="448">
        <f t="shared" si="1892"/>
        <v>210803</v>
      </c>
      <c r="O78" s="448">
        <f t="shared" si="1892"/>
        <v>210803</v>
      </c>
      <c r="P78" s="448">
        <f t="shared" si="1892"/>
        <v>210803</v>
      </c>
      <c r="Q78" s="448">
        <f t="shared" si="1892"/>
        <v>222605</v>
      </c>
      <c r="R78" s="448">
        <f t="shared" si="1892"/>
        <v>222605</v>
      </c>
      <c r="S78" s="448">
        <f t="shared" si="1892"/>
        <v>222605</v>
      </c>
      <c r="T78" s="448">
        <f t="shared" si="1892"/>
        <v>222605</v>
      </c>
      <c r="U78" s="448">
        <f>U79+U80+U81</f>
        <v>235071</v>
      </c>
      <c r="V78" s="448">
        <f t="shared" si="1892"/>
        <v>235071</v>
      </c>
      <c r="W78" s="448">
        <f t="shared" si="1892"/>
        <v>235071</v>
      </c>
      <c r="X78" s="448">
        <f t="shared" si="1892"/>
        <v>235071</v>
      </c>
      <c r="Y78" s="448">
        <f t="shared" si="1892"/>
        <v>248237</v>
      </c>
      <c r="Z78" s="448">
        <f t="shared" si="1892"/>
        <v>248237</v>
      </c>
      <c r="AA78" s="448">
        <f t="shared" si="1892"/>
        <v>248237</v>
      </c>
      <c r="AB78" s="448">
        <f t="shared" si="1892"/>
        <v>248237</v>
      </c>
      <c r="AC78" s="448">
        <f t="shared" si="1892"/>
        <v>262141</v>
      </c>
      <c r="AD78" s="448">
        <f t="shared" si="1892"/>
        <v>262141</v>
      </c>
      <c r="AE78" s="448">
        <f t="shared" si="1892"/>
        <v>262141</v>
      </c>
      <c r="AF78" s="448">
        <f t="shared" si="1892"/>
        <v>262141</v>
      </c>
      <c r="AG78" s="448">
        <f t="shared" si="1892"/>
        <v>276822</v>
      </c>
      <c r="AH78" s="448">
        <f t="shared" si="1892"/>
        <v>276822</v>
      </c>
      <c r="AI78" s="448">
        <f t="shared" si="1892"/>
        <v>276822</v>
      </c>
      <c r="AJ78" s="448">
        <f t="shared" si="1892"/>
        <v>276822</v>
      </c>
      <c r="AK78" s="448">
        <f t="shared" si="1892"/>
        <v>292328</v>
      </c>
      <c r="AL78" s="448">
        <f t="shared" si="1892"/>
        <v>292328</v>
      </c>
      <c r="AM78" s="448">
        <f t="shared" si="1892"/>
        <v>292328</v>
      </c>
      <c r="AN78" s="448">
        <f t="shared" si="1892"/>
        <v>292328</v>
      </c>
      <c r="AO78" s="448">
        <f t="shared" si="1892"/>
        <v>308700</v>
      </c>
      <c r="AP78" s="448">
        <f t="shared" si="1892"/>
        <v>308700</v>
      </c>
      <c r="AQ78" s="448">
        <f t="shared" si="1892"/>
        <v>308700</v>
      </c>
      <c r="AR78" s="448">
        <f t="shared" si="1892"/>
        <v>308700</v>
      </c>
      <c r="AS78" s="448">
        <f t="shared" si="1892"/>
        <v>325987</v>
      </c>
      <c r="AT78" s="448">
        <f t="shared" si="1892"/>
        <v>325987</v>
      </c>
      <c r="AU78" s="448">
        <f t="shared" si="1892"/>
        <v>325987</v>
      </c>
      <c r="AV78" s="448">
        <f t="shared" si="1892"/>
        <v>325987</v>
      </c>
      <c r="AW78" s="448">
        <f t="shared" si="1892"/>
        <v>344243</v>
      </c>
      <c r="AX78" s="448">
        <f t="shared" si="1892"/>
        <v>344243</v>
      </c>
      <c r="AY78" s="448">
        <f t="shared" si="1892"/>
        <v>344243</v>
      </c>
      <c r="AZ78" s="448">
        <f t="shared" si="1892"/>
        <v>344243</v>
      </c>
      <c r="BA78" s="448">
        <f t="shared" si="1892"/>
        <v>363520</v>
      </c>
      <c r="BB78" s="448">
        <f t="shared" si="1892"/>
        <v>363520</v>
      </c>
      <c r="BC78" s="448">
        <f t="shared" si="1892"/>
        <v>363520</v>
      </c>
      <c r="BD78" s="448">
        <f t="shared" si="1892"/>
        <v>363520</v>
      </c>
      <c r="BE78" s="448">
        <f t="shared" si="1892"/>
        <v>383877</v>
      </c>
      <c r="BF78" s="448">
        <f t="shared" si="1892"/>
        <v>383877</v>
      </c>
      <c r="BG78" s="448">
        <f t="shared" si="1892"/>
        <v>383877</v>
      </c>
      <c r="BH78" s="448">
        <f t="shared" si="1892"/>
        <v>383877</v>
      </c>
      <c r="BI78" s="448">
        <f t="shared" si="1892"/>
        <v>405373</v>
      </c>
      <c r="BJ78" s="448">
        <f t="shared" si="1892"/>
        <v>405373</v>
      </c>
      <c r="BK78" s="448">
        <f t="shared" si="1892"/>
        <v>405373</v>
      </c>
      <c r="BL78" s="448">
        <f t="shared" si="1892"/>
        <v>405373</v>
      </c>
      <c r="BM78" s="448">
        <f t="shared" si="1892"/>
        <v>428073</v>
      </c>
      <c r="BN78" s="448">
        <f t="shared" si="1892"/>
        <v>428073</v>
      </c>
      <c r="BO78" s="448">
        <f t="shared" si="1892"/>
        <v>428073</v>
      </c>
      <c r="BP78" s="448">
        <f t="shared" si="1892"/>
        <v>428073</v>
      </c>
      <c r="BQ78" s="448">
        <f t="shared" si="1892"/>
        <v>452046</v>
      </c>
      <c r="BR78" s="448">
        <f t="shared" ref="BR78:CJ78" si="1893">BR79+BR80+BR81</f>
        <v>452046</v>
      </c>
      <c r="BS78" s="448">
        <f t="shared" si="1893"/>
        <v>452046</v>
      </c>
      <c r="BT78" s="448">
        <f t="shared" si="1893"/>
        <v>452046</v>
      </c>
      <c r="BU78" s="448">
        <f t="shared" si="1893"/>
        <v>477359</v>
      </c>
      <c r="BV78" s="448">
        <f t="shared" si="1893"/>
        <v>477359</v>
      </c>
      <c r="BW78" s="448">
        <f t="shared" si="1893"/>
        <v>477359</v>
      </c>
      <c r="BX78" s="448">
        <f t="shared" si="1893"/>
        <v>477359</v>
      </c>
      <c r="BY78" s="448">
        <f t="shared" si="1893"/>
        <v>504095</v>
      </c>
      <c r="BZ78" s="448">
        <f t="shared" si="1893"/>
        <v>504095</v>
      </c>
      <c r="CA78" s="448">
        <f t="shared" si="1893"/>
        <v>504095</v>
      </c>
      <c r="CB78" s="448">
        <f t="shared" si="1893"/>
        <v>504095</v>
      </c>
      <c r="CC78" s="448">
        <f t="shared" si="1893"/>
        <v>532323</v>
      </c>
      <c r="CD78" s="448">
        <f t="shared" si="1893"/>
        <v>532323</v>
      </c>
      <c r="CE78" s="448">
        <f t="shared" si="1893"/>
        <v>532323</v>
      </c>
      <c r="CF78" s="448">
        <f t="shared" si="1893"/>
        <v>532323</v>
      </c>
      <c r="CG78" s="448">
        <f t="shared" si="1893"/>
        <v>562140</v>
      </c>
      <c r="CH78" s="448">
        <f t="shared" si="1893"/>
        <v>562140</v>
      </c>
      <c r="CI78" s="448">
        <f t="shared" si="1893"/>
        <v>562140</v>
      </c>
      <c r="CJ78" s="448">
        <f t="shared" si="1893"/>
        <v>562140</v>
      </c>
      <c r="CK78" s="450">
        <f>SUM(E78:CJ78)</f>
        <v>28941528</v>
      </c>
      <c r="CL78" s="451"/>
      <c r="CM78" s="451"/>
      <c r="CN78" s="451"/>
      <c r="CO78" s="451"/>
      <c r="CP78" s="452"/>
    </row>
    <row r="79" spans="1:211" s="444" customFormat="1" hidden="1">
      <c r="A79" s="437"/>
      <c r="B79" s="446" t="s">
        <v>786</v>
      </c>
      <c r="C79" s="446"/>
      <c r="D79" s="454"/>
      <c r="E79" s="448">
        <f>J73</f>
        <v>200015</v>
      </c>
      <c r="F79" s="448">
        <f t="shared" ref="F79:BQ79" si="1894">K73</f>
        <v>200015</v>
      </c>
      <c r="G79" s="448">
        <f t="shared" si="1894"/>
        <v>200015</v>
      </c>
      <c r="H79" s="448">
        <f t="shared" si="1894"/>
        <v>200015</v>
      </c>
      <c r="I79" s="448">
        <f t="shared" si="1894"/>
        <v>199624</v>
      </c>
      <c r="J79" s="448">
        <f t="shared" si="1894"/>
        <v>199624</v>
      </c>
      <c r="K79" s="448">
        <f t="shared" si="1894"/>
        <v>199624</v>
      </c>
      <c r="L79" s="448">
        <f t="shared" si="1894"/>
        <v>199624</v>
      </c>
      <c r="M79" s="448">
        <f t="shared" si="1894"/>
        <v>210803</v>
      </c>
      <c r="N79" s="448">
        <f t="shared" si="1894"/>
        <v>210803</v>
      </c>
      <c r="O79" s="448">
        <f t="shared" si="1894"/>
        <v>210803</v>
      </c>
      <c r="P79" s="448">
        <f t="shared" si="1894"/>
        <v>210803</v>
      </c>
      <c r="Q79" s="448">
        <f t="shared" si="1894"/>
        <v>222605</v>
      </c>
      <c r="R79" s="448">
        <f t="shared" si="1894"/>
        <v>222605</v>
      </c>
      <c r="S79" s="448">
        <f t="shared" si="1894"/>
        <v>222605</v>
      </c>
      <c r="T79" s="448">
        <f t="shared" si="1894"/>
        <v>222605</v>
      </c>
      <c r="U79" s="448">
        <f>Z73</f>
        <v>235071</v>
      </c>
      <c r="V79" s="448">
        <f>AA73</f>
        <v>235071</v>
      </c>
      <c r="W79" s="448">
        <f>AB73</f>
        <v>235071</v>
      </c>
      <c r="X79" s="448">
        <f>AC73</f>
        <v>235071</v>
      </c>
      <c r="Y79" s="448">
        <f t="shared" si="1894"/>
        <v>248237</v>
      </c>
      <c r="Z79" s="448">
        <f t="shared" si="1894"/>
        <v>248237</v>
      </c>
      <c r="AA79" s="448">
        <f t="shared" si="1894"/>
        <v>248237</v>
      </c>
      <c r="AB79" s="448">
        <f t="shared" si="1894"/>
        <v>248237</v>
      </c>
      <c r="AC79" s="448">
        <f t="shared" si="1894"/>
        <v>262141</v>
      </c>
      <c r="AD79" s="448">
        <f t="shared" si="1894"/>
        <v>262141</v>
      </c>
      <c r="AE79" s="448">
        <f t="shared" si="1894"/>
        <v>262141</v>
      </c>
      <c r="AF79" s="448">
        <f t="shared" si="1894"/>
        <v>262141</v>
      </c>
      <c r="AG79" s="448">
        <f t="shared" si="1894"/>
        <v>276822</v>
      </c>
      <c r="AH79" s="448">
        <f t="shared" si="1894"/>
        <v>276822</v>
      </c>
      <c r="AI79" s="448">
        <f t="shared" si="1894"/>
        <v>276822</v>
      </c>
      <c r="AJ79" s="448">
        <f t="shared" si="1894"/>
        <v>276822</v>
      </c>
      <c r="AK79" s="448">
        <f t="shared" si="1894"/>
        <v>292328</v>
      </c>
      <c r="AL79" s="448">
        <f t="shared" si="1894"/>
        <v>292328</v>
      </c>
      <c r="AM79" s="448">
        <f t="shared" si="1894"/>
        <v>292328</v>
      </c>
      <c r="AN79" s="448">
        <f t="shared" si="1894"/>
        <v>292328</v>
      </c>
      <c r="AO79" s="448">
        <f t="shared" si="1894"/>
        <v>308700</v>
      </c>
      <c r="AP79" s="448">
        <f t="shared" si="1894"/>
        <v>308700</v>
      </c>
      <c r="AQ79" s="448">
        <f t="shared" si="1894"/>
        <v>308700</v>
      </c>
      <c r="AR79" s="448">
        <f t="shared" si="1894"/>
        <v>308700</v>
      </c>
      <c r="AS79" s="448">
        <f t="shared" si="1894"/>
        <v>325987</v>
      </c>
      <c r="AT79" s="448">
        <f t="shared" si="1894"/>
        <v>325987</v>
      </c>
      <c r="AU79" s="448">
        <f t="shared" si="1894"/>
        <v>325987</v>
      </c>
      <c r="AV79" s="448">
        <f t="shared" si="1894"/>
        <v>325987</v>
      </c>
      <c r="AW79" s="448">
        <f t="shared" si="1894"/>
        <v>344243</v>
      </c>
      <c r="AX79" s="448">
        <f t="shared" si="1894"/>
        <v>344243</v>
      </c>
      <c r="AY79" s="448">
        <f t="shared" si="1894"/>
        <v>344243</v>
      </c>
      <c r="AZ79" s="448">
        <f t="shared" si="1894"/>
        <v>344243</v>
      </c>
      <c r="BA79" s="448">
        <f t="shared" si="1894"/>
        <v>363520</v>
      </c>
      <c r="BB79" s="448">
        <f t="shared" si="1894"/>
        <v>363520</v>
      </c>
      <c r="BC79" s="448">
        <f t="shared" si="1894"/>
        <v>363520</v>
      </c>
      <c r="BD79" s="448">
        <f t="shared" si="1894"/>
        <v>363520</v>
      </c>
      <c r="BE79" s="448">
        <f t="shared" si="1894"/>
        <v>383877</v>
      </c>
      <c r="BF79" s="448">
        <f t="shared" si="1894"/>
        <v>383877</v>
      </c>
      <c r="BG79" s="448">
        <f t="shared" si="1894"/>
        <v>383877</v>
      </c>
      <c r="BH79" s="448">
        <f t="shared" si="1894"/>
        <v>383877</v>
      </c>
      <c r="BI79" s="448">
        <f t="shared" si="1894"/>
        <v>405373</v>
      </c>
      <c r="BJ79" s="448">
        <f t="shared" si="1894"/>
        <v>405373</v>
      </c>
      <c r="BK79" s="448">
        <f t="shared" si="1894"/>
        <v>405373</v>
      </c>
      <c r="BL79" s="448">
        <f t="shared" si="1894"/>
        <v>405373</v>
      </c>
      <c r="BM79" s="448">
        <f t="shared" si="1894"/>
        <v>428073</v>
      </c>
      <c r="BN79" s="448">
        <f t="shared" si="1894"/>
        <v>428073</v>
      </c>
      <c r="BO79" s="448">
        <f t="shared" si="1894"/>
        <v>428073</v>
      </c>
      <c r="BP79" s="448">
        <f t="shared" si="1894"/>
        <v>428073</v>
      </c>
      <c r="BQ79" s="448">
        <f t="shared" si="1894"/>
        <v>452046</v>
      </c>
      <c r="BR79" s="448">
        <f t="shared" ref="BR79:CJ79" si="1895">BW73</f>
        <v>452046</v>
      </c>
      <c r="BS79" s="448">
        <f t="shared" si="1895"/>
        <v>452046</v>
      </c>
      <c r="BT79" s="448">
        <f t="shared" si="1895"/>
        <v>452046</v>
      </c>
      <c r="BU79" s="448">
        <f t="shared" si="1895"/>
        <v>477359</v>
      </c>
      <c r="BV79" s="448">
        <f t="shared" si="1895"/>
        <v>477359</v>
      </c>
      <c r="BW79" s="448">
        <f t="shared" si="1895"/>
        <v>477359</v>
      </c>
      <c r="BX79" s="448">
        <f t="shared" si="1895"/>
        <v>477359</v>
      </c>
      <c r="BY79" s="448">
        <f t="shared" si="1895"/>
        <v>504095</v>
      </c>
      <c r="BZ79" s="448">
        <f t="shared" si="1895"/>
        <v>504095</v>
      </c>
      <c r="CA79" s="448">
        <f t="shared" si="1895"/>
        <v>504095</v>
      </c>
      <c r="CB79" s="448">
        <f t="shared" si="1895"/>
        <v>504095</v>
      </c>
      <c r="CC79" s="448">
        <f t="shared" si="1895"/>
        <v>532323</v>
      </c>
      <c r="CD79" s="448">
        <f t="shared" si="1895"/>
        <v>532323</v>
      </c>
      <c r="CE79" s="448">
        <f t="shared" si="1895"/>
        <v>532323</v>
      </c>
      <c r="CF79" s="448">
        <f t="shared" si="1895"/>
        <v>532323</v>
      </c>
      <c r="CG79" s="448">
        <f t="shared" si="1895"/>
        <v>562140</v>
      </c>
      <c r="CH79" s="448">
        <f t="shared" si="1895"/>
        <v>562140</v>
      </c>
      <c r="CI79" s="448">
        <f t="shared" si="1895"/>
        <v>562140</v>
      </c>
      <c r="CJ79" s="448">
        <f t="shared" si="1895"/>
        <v>562140</v>
      </c>
      <c r="CK79" s="450">
        <f>SUM(E79:CJ79)</f>
        <v>28941528</v>
      </c>
      <c r="CL79" s="442"/>
      <c r="CM79" s="442"/>
      <c r="CN79" s="442"/>
      <c r="CO79" s="442"/>
      <c r="CP79" s="443"/>
    </row>
    <row r="80" spans="1:211" s="444" customFormat="1" hidden="1">
      <c r="A80" s="437"/>
      <c r="B80" s="446" t="s">
        <v>787</v>
      </c>
      <c r="C80" s="446"/>
      <c r="D80" s="454"/>
      <c r="E80" s="455"/>
      <c r="F80" s="455"/>
      <c r="G80" s="455"/>
      <c r="H80" s="455"/>
      <c r="I80" s="455"/>
      <c r="J80" s="455"/>
      <c r="K80" s="455"/>
      <c r="L80" s="455"/>
      <c r="M80" s="455"/>
      <c r="N80" s="455"/>
      <c r="O80" s="455"/>
      <c r="P80" s="455"/>
      <c r="Q80" s="455"/>
      <c r="R80" s="455"/>
      <c r="S80" s="455"/>
      <c r="T80" s="455"/>
      <c r="U80" s="455"/>
      <c r="V80" s="455"/>
      <c r="W80" s="455"/>
      <c r="X80" s="455"/>
      <c r="Y80" s="455"/>
      <c r="Z80" s="455"/>
      <c r="AA80" s="455"/>
      <c r="AB80" s="455"/>
      <c r="AC80" s="455"/>
      <c r="AD80" s="455"/>
      <c r="AE80" s="455"/>
      <c r="AF80" s="455"/>
      <c r="AG80" s="455"/>
      <c r="AH80" s="455"/>
      <c r="AI80" s="455"/>
      <c r="AJ80" s="455"/>
      <c r="AK80" s="455"/>
      <c r="AL80" s="455"/>
      <c r="AM80" s="455"/>
      <c r="AN80" s="455"/>
      <c r="AO80" s="455"/>
      <c r="AP80" s="455"/>
      <c r="AQ80" s="455"/>
      <c r="AR80" s="455"/>
      <c r="AS80" s="455"/>
      <c r="AT80" s="455"/>
      <c r="AU80" s="455"/>
      <c r="AV80" s="455"/>
      <c r="AW80" s="455"/>
      <c r="AX80" s="455"/>
      <c r="AY80" s="485"/>
      <c r="AZ80" s="485"/>
      <c r="BA80" s="485"/>
      <c r="BB80" s="485"/>
      <c r="BC80" s="485"/>
      <c r="BD80" s="485"/>
      <c r="BE80" s="485"/>
      <c r="BF80" s="485"/>
      <c r="BG80" s="485"/>
      <c r="BH80" s="485"/>
      <c r="BI80" s="485"/>
      <c r="BJ80" s="485"/>
      <c r="BK80" s="485"/>
      <c r="BL80" s="485"/>
      <c r="BM80" s="485"/>
      <c r="BN80" s="485"/>
      <c r="BO80" s="485"/>
      <c r="BP80" s="485"/>
      <c r="BQ80" s="485"/>
      <c r="BR80" s="485"/>
      <c r="BS80" s="485"/>
      <c r="BT80" s="485"/>
      <c r="BU80" s="485"/>
      <c r="BV80" s="485"/>
      <c r="BW80" s="485"/>
      <c r="BX80" s="485"/>
      <c r="BY80" s="485"/>
      <c r="BZ80" s="485"/>
      <c r="CA80" s="485"/>
      <c r="CB80" s="485"/>
      <c r="CC80" s="485"/>
      <c r="CD80" s="485"/>
      <c r="CE80" s="485"/>
      <c r="CF80" s="485"/>
      <c r="CG80" s="485"/>
      <c r="CH80" s="485"/>
      <c r="CI80" s="485"/>
      <c r="CJ80" s="485"/>
      <c r="CK80" s="450">
        <f t="shared" ref="CK80:CK86" si="1896">SUM(E80:CJ80)</f>
        <v>0</v>
      </c>
      <c r="CL80" s="442"/>
      <c r="CM80" s="442"/>
      <c r="CN80" s="442"/>
      <c r="CO80" s="442"/>
      <c r="CP80" s="443"/>
    </row>
    <row r="81" spans="1:94" s="444" customFormat="1" hidden="1">
      <c r="A81" s="437"/>
      <c r="B81" s="446" t="s">
        <v>788</v>
      </c>
      <c r="C81" s="446"/>
      <c r="D81" s="447"/>
      <c r="E81" s="448"/>
      <c r="F81" s="448"/>
      <c r="G81" s="448"/>
      <c r="H81" s="448"/>
      <c r="I81" s="448"/>
      <c r="J81" s="448"/>
      <c r="K81" s="448"/>
      <c r="L81" s="448"/>
      <c r="M81" s="448"/>
      <c r="N81" s="448"/>
      <c r="O81" s="448"/>
      <c r="P81" s="448"/>
      <c r="Q81" s="448"/>
      <c r="R81" s="448"/>
      <c r="S81" s="448"/>
      <c r="T81" s="448"/>
      <c r="U81" s="448"/>
      <c r="V81" s="448"/>
      <c r="W81" s="448"/>
      <c r="X81" s="448"/>
      <c r="Y81" s="448"/>
      <c r="Z81" s="448"/>
      <c r="AA81" s="448"/>
      <c r="AB81" s="448"/>
      <c r="AC81" s="448"/>
      <c r="AD81" s="448"/>
      <c r="AE81" s="448"/>
      <c r="AF81" s="448"/>
      <c r="AG81" s="448"/>
      <c r="AH81" s="448"/>
      <c r="AI81" s="448"/>
      <c r="AJ81" s="448"/>
      <c r="AK81" s="448"/>
      <c r="AL81" s="448"/>
      <c r="AM81" s="448"/>
      <c r="AN81" s="448"/>
      <c r="AO81" s="448"/>
      <c r="AP81" s="448"/>
      <c r="AQ81" s="448"/>
      <c r="AR81" s="448"/>
      <c r="AS81" s="448"/>
      <c r="AT81" s="448"/>
      <c r="AU81" s="448"/>
      <c r="AV81" s="448"/>
      <c r="AW81" s="448"/>
      <c r="AX81" s="448"/>
      <c r="AY81" s="485"/>
      <c r="AZ81" s="485"/>
      <c r="BA81" s="485"/>
      <c r="BB81" s="485"/>
      <c r="BC81" s="485"/>
      <c r="BD81" s="485"/>
      <c r="BE81" s="485"/>
      <c r="BF81" s="485"/>
      <c r="BG81" s="485"/>
      <c r="BH81" s="485"/>
      <c r="BI81" s="485"/>
      <c r="BJ81" s="485"/>
      <c r="BK81" s="485"/>
      <c r="BL81" s="485"/>
      <c r="BM81" s="485"/>
      <c r="BN81" s="485"/>
      <c r="BO81" s="485"/>
      <c r="BP81" s="485"/>
      <c r="BQ81" s="485"/>
      <c r="BR81" s="485"/>
      <c r="BS81" s="485"/>
      <c r="BT81" s="485"/>
      <c r="BU81" s="485"/>
      <c r="BV81" s="485"/>
      <c r="BW81" s="485"/>
      <c r="BX81" s="485"/>
      <c r="BY81" s="485"/>
      <c r="BZ81" s="485"/>
      <c r="CA81" s="485"/>
      <c r="CB81" s="485"/>
      <c r="CC81" s="485"/>
      <c r="CD81" s="485"/>
      <c r="CE81" s="485"/>
      <c r="CF81" s="485"/>
      <c r="CG81" s="485"/>
      <c r="CH81" s="485"/>
      <c r="CI81" s="485"/>
      <c r="CJ81" s="485"/>
      <c r="CK81" s="450">
        <f t="shared" si="1896"/>
        <v>0</v>
      </c>
      <c r="CL81" s="442"/>
      <c r="CM81" s="442"/>
      <c r="CN81" s="442"/>
      <c r="CO81" s="442"/>
      <c r="CP81" s="443"/>
    </row>
    <row r="82" spans="1:94" s="453" customFormat="1" ht="21">
      <c r="A82" s="445"/>
      <c r="B82" s="457" t="s">
        <v>959</v>
      </c>
      <c r="C82" s="448"/>
      <c r="D82" s="447"/>
      <c r="E82" s="448">
        <f>E83+E84+E85</f>
        <v>42670</v>
      </c>
      <c r="F82" s="448">
        <f t="shared" ref="F82:BQ82" si="1897">F83+F84+F85</f>
        <v>42670</v>
      </c>
      <c r="G82" s="448">
        <f t="shared" si="1897"/>
        <v>42670</v>
      </c>
      <c r="H82" s="448">
        <f t="shared" si="1897"/>
        <v>42670</v>
      </c>
      <c r="I82" s="448">
        <f t="shared" si="1897"/>
        <v>42587</v>
      </c>
      <c r="J82" s="448">
        <f t="shared" si="1897"/>
        <v>42587</v>
      </c>
      <c r="K82" s="448">
        <f t="shared" si="1897"/>
        <v>42587</v>
      </c>
      <c r="L82" s="448">
        <f t="shared" si="1897"/>
        <v>42587</v>
      </c>
      <c r="M82" s="448">
        <f t="shared" si="1897"/>
        <v>44971</v>
      </c>
      <c r="N82" s="448">
        <f t="shared" si="1897"/>
        <v>44971</v>
      </c>
      <c r="O82" s="448">
        <f t="shared" si="1897"/>
        <v>44971</v>
      </c>
      <c r="P82" s="448">
        <f t="shared" si="1897"/>
        <v>44971</v>
      </c>
      <c r="Q82" s="448">
        <f t="shared" si="1897"/>
        <v>47489</v>
      </c>
      <c r="R82" s="448">
        <f t="shared" si="1897"/>
        <v>47489</v>
      </c>
      <c r="S82" s="448">
        <f t="shared" si="1897"/>
        <v>47489</v>
      </c>
      <c r="T82" s="448">
        <f t="shared" si="1897"/>
        <v>47489</v>
      </c>
      <c r="U82" s="448">
        <f t="shared" si="1897"/>
        <v>50149</v>
      </c>
      <c r="V82" s="448">
        <f t="shared" si="1897"/>
        <v>50149</v>
      </c>
      <c r="W82" s="448">
        <f t="shared" si="1897"/>
        <v>50149</v>
      </c>
      <c r="X82" s="448">
        <f t="shared" si="1897"/>
        <v>50149</v>
      </c>
      <c r="Y82" s="448">
        <f t="shared" si="1897"/>
        <v>52956</v>
      </c>
      <c r="Z82" s="448">
        <f t="shared" si="1897"/>
        <v>52956</v>
      </c>
      <c r="AA82" s="448">
        <f t="shared" si="1897"/>
        <v>52956</v>
      </c>
      <c r="AB82" s="448">
        <f t="shared" si="1897"/>
        <v>52956</v>
      </c>
      <c r="AC82" s="448">
        <f t="shared" si="1897"/>
        <v>55924</v>
      </c>
      <c r="AD82" s="448">
        <f t="shared" si="1897"/>
        <v>55924</v>
      </c>
      <c r="AE82" s="448">
        <f t="shared" si="1897"/>
        <v>55924</v>
      </c>
      <c r="AF82" s="448">
        <f t="shared" si="1897"/>
        <v>55924</v>
      </c>
      <c r="AG82" s="448">
        <f t="shared" si="1897"/>
        <v>59056</v>
      </c>
      <c r="AH82" s="448">
        <f t="shared" si="1897"/>
        <v>59056</v>
      </c>
      <c r="AI82" s="448">
        <f t="shared" si="1897"/>
        <v>59056</v>
      </c>
      <c r="AJ82" s="448">
        <f t="shared" si="1897"/>
        <v>59056</v>
      </c>
      <c r="AK82" s="448">
        <f t="shared" si="1897"/>
        <v>62363</v>
      </c>
      <c r="AL82" s="448">
        <f t="shared" si="1897"/>
        <v>62363</v>
      </c>
      <c r="AM82" s="448">
        <f t="shared" si="1897"/>
        <v>62363</v>
      </c>
      <c r="AN82" s="448">
        <f t="shared" si="1897"/>
        <v>62363</v>
      </c>
      <c r="AO82" s="448">
        <f t="shared" si="1897"/>
        <v>65856</v>
      </c>
      <c r="AP82" s="448">
        <f t="shared" si="1897"/>
        <v>65856</v>
      </c>
      <c r="AQ82" s="448">
        <f t="shared" si="1897"/>
        <v>65856</v>
      </c>
      <c r="AR82" s="448">
        <f t="shared" si="1897"/>
        <v>65856</v>
      </c>
      <c r="AS82" s="448">
        <f t="shared" si="1897"/>
        <v>69543</v>
      </c>
      <c r="AT82" s="448">
        <f t="shared" si="1897"/>
        <v>69543</v>
      </c>
      <c r="AU82" s="448">
        <f t="shared" si="1897"/>
        <v>69543</v>
      </c>
      <c r="AV82" s="448">
        <f t="shared" si="1897"/>
        <v>69543</v>
      </c>
      <c r="AW82" s="448">
        <f t="shared" si="1897"/>
        <v>73439</v>
      </c>
      <c r="AX82" s="448">
        <f t="shared" si="1897"/>
        <v>73439</v>
      </c>
      <c r="AY82" s="448">
        <f t="shared" si="1897"/>
        <v>73439</v>
      </c>
      <c r="AZ82" s="448">
        <f t="shared" si="1897"/>
        <v>73439</v>
      </c>
      <c r="BA82" s="448">
        <f t="shared" si="1897"/>
        <v>77551</v>
      </c>
      <c r="BB82" s="448">
        <f t="shared" si="1897"/>
        <v>77551</v>
      </c>
      <c r="BC82" s="448">
        <f t="shared" si="1897"/>
        <v>77551</v>
      </c>
      <c r="BD82" s="448">
        <f t="shared" si="1897"/>
        <v>77551</v>
      </c>
      <c r="BE82" s="448">
        <f t="shared" si="1897"/>
        <v>81893</v>
      </c>
      <c r="BF82" s="448">
        <f t="shared" si="1897"/>
        <v>81893</v>
      </c>
      <c r="BG82" s="448">
        <f t="shared" si="1897"/>
        <v>81893</v>
      </c>
      <c r="BH82" s="448">
        <f t="shared" si="1897"/>
        <v>81893</v>
      </c>
      <c r="BI82" s="448">
        <f t="shared" si="1897"/>
        <v>86480</v>
      </c>
      <c r="BJ82" s="448">
        <f t="shared" si="1897"/>
        <v>86480</v>
      </c>
      <c r="BK82" s="448">
        <f t="shared" si="1897"/>
        <v>86480</v>
      </c>
      <c r="BL82" s="448">
        <f t="shared" si="1897"/>
        <v>86480</v>
      </c>
      <c r="BM82" s="448">
        <f t="shared" si="1897"/>
        <v>91323</v>
      </c>
      <c r="BN82" s="448">
        <f t="shared" si="1897"/>
        <v>91323</v>
      </c>
      <c r="BO82" s="448">
        <f t="shared" si="1897"/>
        <v>91323</v>
      </c>
      <c r="BP82" s="448">
        <f t="shared" si="1897"/>
        <v>91323</v>
      </c>
      <c r="BQ82" s="448">
        <f t="shared" si="1897"/>
        <v>96437</v>
      </c>
      <c r="BR82" s="448">
        <f t="shared" ref="BR82:CJ82" si="1898">BR83+BR84+BR85</f>
        <v>96437</v>
      </c>
      <c r="BS82" s="448">
        <f t="shared" si="1898"/>
        <v>96437</v>
      </c>
      <c r="BT82" s="448">
        <f t="shared" si="1898"/>
        <v>96437</v>
      </c>
      <c r="BU82" s="448">
        <f t="shared" si="1898"/>
        <v>101836</v>
      </c>
      <c r="BV82" s="448">
        <f t="shared" si="1898"/>
        <v>101836</v>
      </c>
      <c r="BW82" s="448">
        <f t="shared" si="1898"/>
        <v>101836</v>
      </c>
      <c r="BX82" s="448">
        <f t="shared" si="1898"/>
        <v>101836</v>
      </c>
      <c r="BY82" s="448">
        <f t="shared" si="1898"/>
        <v>107540</v>
      </c>
      <c r="BZ82" s="448">
        <f t="shared" si="1898"/>
        <v>107540</v>
      </c>
      <c r="CA82" s="448">
        <f t="shared" si="1898"/>
        <v>107540</v>
      </c>
      <c r="CB82" s="448">
        <f t="shared" si="1898"/>
        <v>107540</v>
      </c>
      <c r="CC82" s="448">
        <f t="shared" si="1898"/>
        <v>113563</v>
      </c>
      <c r="CD82" s="448">
        <f t="shared" si="1898"/>
        <v>113563</v>
      </c>
      <c r="CE82" s="448">
        <f t="shared" si="1898"/>
        <v>113563</v>
      </c>
      <c r="CF82" s="448">
        <f t="shared" si="1898"/>
        <v>113563</v>
      </c>
      <c r="CG82" s="448">
        <f t="shared" si="1898"/>
        <v>119924</v>
      </c>
      <c r="CH82" s="448">
        <f t="shared" si="1898"/>
        <v>119924</v>
      </c>
      <c r="CI82" s="448">
        <f t="shared" si="1898"/>
        <v>119924</v>
      </c>
      <c r="CJ82" s="448">
        <f t="shared" si="1898"/>
        <v>119924</v>
      </c>
      <c r="CK82" s="450">
        <f t="shared" si="1896"/>
        <v>6174200</v>
      </c>
      <c r="CL82" s="451"/>
      <c r="CM82" s="451"/>
      <c r="CN82" s="451"/>
      <c r="CO82" s="451"/>
      <c r="CP82" s="452"/>
    </row>
    <row r="83" spans="1:94" s="453" customFormat="1" hidden="1">
      <c r="A83" s="445"/>
      <c r="B83" s="446" t="s">
        <v>789</v>
      </c>
      <c r="C83" s="446"/>
      <c r="D83" s="458">
        <v>0.12</v>
      </c>
      <c r="E83" s="459">
        <f>ROUND(E78*$D$83,0)</f>
        <v>24002</v>
      </c>
      <c r="F83" s="459">
        <f t="shared" ref="F83:BQ83" si="1899">ROUND(F78*$D$83,0)</f>
        <v>24002</v>
      </c>
      <c r="G83" s="459">
        <f t="shared" si="1899"/>
        <v>24002</v>
      </c>
      <c r="H83" s="459">
        <f t="shared" si="1899"/>
        <v>24002</v>
      </c>
      <c r="I83" s="459">
        <f t="shared" si="1899"/>
        <v>23955</v>
      </c>
      <c r="J83" s="459">
        <f t="shared" si="1899"/>
        <v>23955</v>
      </c>
      <c r="K83" s="459">
        <f t="shared" si="1899"/>
        <v>23955</v>
      </c>
      <c r="L83" s="459">
        <f t="shared" si="1899"/>
        <v>23955</v>
      </c>
      <c r="M83" s="459">
        <f t="shared" si="1899"/>
        <v>25296</v>
      </c>
      <c r="N83" s="459">
        <f t="shared" si="1899"/>
        <v>25296</v>
      </c>
      <c r="O83" s="459">
        <f t="shared" si="1899"/>
        <v>25296</v>
      </c>
      <c r="P83" s="459">
        <f t="shared" si="1899"/>
        <v>25296</v>
      </c>
      <c r="Q83" s="459">
        <f t="shared" si="1899"/>
        <v>26713</v>
      </c>
      <c r="R83" s="459">
        <f t="shared" si="1899"/>
        <v>26713</v>
      </c>
      <c r="S83" s="459">
        <f t="shared" si="1899"/>
        <v>26713</v>
      </c>
      <c r="T83" s="459">
        <f t="shared" si="1899"/>
        <v>26713</v>
      </c>
      <c r="U83" s="459">
        <f t="shared" si="1899"/>
        <v>28209</v>
      </c>
      <c r="V83" s="459">
        <f t="shared" si="1899"/>
        <v>28209</v>
      </c>
      <c r="W83" s="459">
        <f t="shared" si="1899"/>
        <v>28209</v>
      </c>
      <c r="X83" s="459">
        <f t="shared" si="1899"/>
        <v>28209</v>
      </c>
      <c r="Y83" s="459">
        <f t="shared" si="1899"/>
        <v>29788</v>
      </c>
      <c r="Z83" s="459">
        <f t="shared" si="1899"/>
        <v>29788</v>
      </c>
      <c r="AA83" s="459">
        <f t="shared" si="1899"/>
        <v>29788</v>
      </c>
      <c r="AB83" s="459">
        <f t="shared" si="1899"/>
        <v>29788</v>
      </c>
      <c r="AC83" s="459">
        <f t="shared" si="1899"/>
        <v>31457</v>
      </c>
      <c r="AD83" s="459">
        <f t="shared" si="1899"/>
        <v>31457</v>
      </c>
      <c r="AE83" s="459">
        <f t="shared" si="1899"/>
        <v>31457</v>
      </c>
      <c r="AF83" s="459">
        <f t="shared" si="1899"/>
        <v>31457</v>
      </c>
      <c r="AG83" s="459">
        <f t="shared" si="1899"/>
        <v>33219</v>
      </c>
      <c r="AH83" s="459">
        <f t="shared" si="1899"/>
        <v>33219</v>
      </c>
      <c r="AI83" s="459">
        <f t="shared" si="1899"/>
        <v>33219</v>
      </c>
      <c r="AJ83" s="459">
        <f t="shared" si="1899"/>
        <v>33219</v>
      </c>
      <c r="AK83" s="459">
        <f t="shared" si="1899"/>
        <v>35079</v>
      </c>
      <c r="AL83" s="459">
        <f t="shared" si="1899"/>
        <v>35079</v>
      </c>
      <c r="AM83" s="459">
        <f t="shared" si="1899"/>
        <v>35079</v>
      </c>
      <c r="AN83" s="459">
        <f t="shared" si="1899"/>
        <v>35079</v>
      </c>
      <c r="AO83" s="459">
        <f t="shared" si="1899"/>
        <v>37044</v>
      </c>
      <c r="AP83" s="459">
        <f t="shared" si="1899"/>
        <v>37044</v>
      </c>
      <c r="AQ83" s="459">
        <f t="shared" si="1899"/>
        <v>37044</v>
      </c>
      <c r="AR83" s="459">
        <f t="shared" si="1899"/>
        <v>37044</v>
      </c>
      <c r="AS83" s="459">
        <f t="shared" si="1899"/>
        <v>39118</v>
      </c>
      <c r="AT83" s="459">
        <f t="shared" si="1899"/>
        <v>39118</v>
      </c>
      <c r="AU83" s="459">
        <f t="shared" si="1899"/>
        <v>39118</v>
      </c>
      <c r="AV83" s="459">
        <f t="shared" si="1899"/>
        <v>39118</v>
      </c>
      <c r="AW83" s="459">
        <f t="shared" si="1899"/>
        <v>41309</v>
      </c>
      <c r="AX83" s="459">
        <f t="shared" si="1899"/>
        <v>41309</v>
      </c>
      <c r="AY83" s="459">
        <f t="shared" si="1899"/>
        <v>41309</v>
      </c>
      <c r="AZ83" s="459">
        <f t="shared" si="1899"/>
        <v>41309</v>
      </c>
      <c r="BA83" s="459">
        <f t="shared" si="1899"/>
        <v>43622</v>
      </c>
      <c r="BB83" s="459">
        <f t="shared" si="1899"/>
        <v>43622</v>
      </c>
      <c r="BC83" s="459">
        <f t="shared" si="1899"/>
        <v>43622</v>
      </c>
      <c r="BD83" s="459">
        <f t="shared" si="1899"/>
        <v>43622</v>
      </c>
      <c r="BE83" s="459">
        <f t="shared" si="1899"/>
        <v>46065</v>
      </c>
      <c r="BF83" s="459">
        <f t="shared" si="1899"/>
        <v>46065</v>
      </c>
      <c r="BG83" s="459">
        <f t="shared" si="1899"/>
        <v>46065</v>
      </c>
      <c r="BH83" s="459">
        <f t="shared" si="1899"/>
        <v>46065</v>
      </c>
      <c r="BI83" s="459">
        <f t="shared" si="1899"/>
        <v>48645</v>
      </c>
      <c r="BJ83" s="459">
        <f t="shared" si="1899"/>
        <v>48645</v>
      </c>
      <c r="BK83" s="459">
        <f t="shared" si="1899"/>
        <v>48645</v>
      </c>
      <c r="BL83" s="459">
        <f t="shared" si="1899"/>
        <v>48645</v>
      </c>
      <c r="BM83" s="459">
        <f t="shared" si="1899"/>
        <v>51369</v>
      </c>
      <c r="BN83" s="459">
        <f t="shared" si="1899"/>
        <v>51369</v>
      </c>
      <c r="BO83" s="459">
        <f t="shared" si="1899"/>
        <v>51369</v>
      </c>
      <c r="BP83" s="459">
        <f t="shared" si="1899"/>
        <v>51369</v>
      </c>
      <c r="BQ83" s="459">
        <f t="shared" si="1899"/>
        <v>54246</v>
      </c>
      <c r="BR83" s="459">
        <f t="shared" ref="BR83:CJ83" si="1900">ROUND(BR78*$D$83,0)</f>
        <v>54246</v>
      </c>
      <c r="BS83" s="459">
        <f t="shared" si="1900"/>
        <v>54246</v>
      </c>
      <c r="BT83" s="459">
        <f t="shared" si="1900"/>
        <v>54246</v>
      </c>
      <c r="BU83" s="459">
        <f t="shared" si="1900"/>
        <v>57283</v>
      </c>
      <c r="BV83" s="459">
        <f t="shared" si="1900"/>
        <v>57283</v>
      </c>
      <c r="BW83" s="459">
        <f t="shared" si="1900"/>
        <v>57283</v>
      </c>
      <c r="BX83" s="459">
        <f t="shared" si="1900"/>
        <v>57283</v>
      </c>
      <c r="BY83" s="459">
        <f t="shared" si="1900"/>
        <v>60491</v>
      </c>
      <c r="BZ83" s="459">
        <f t="shared" si="1900"/>
        <v>60491</v>
      </c>
      <c r="CA83" s="459">
        <f t="shared" si="1900"/>
        <v>60491</v>
      </c>
      <c r="CB83" s="459">
        <f t="shared" si="1900"/>
        <v>60491</v>
      </c>
      <c r="CC83" s="459">
        <f t="shared" si="1900"/>
        <v>63879</v>
      </c>
      <c r="CD83" s="459">
        <f t="shared" si="1900"/>
        <v>63879</v>
      </c>
      <c r="CE83" s="459">
        <f t="shared" si="1900"/>
        <v>63879</v>
      </c>
      <c r="CF83" s="459">
        <f t="shared" si="1900"/>
        <v>63879</v>
      </c>
      <c r="CG83" s="459">
        <f t="shared" si="1900"/>
        <v>67457</v>
      </c>
      <c r="CH83" s="459">
        <f t="shared" si="1900"/>
        <v>67457</v>
      </c>
      <c r="CI83" s="459">
        <f t="shared" si="1900"/>
        <v>67457</v>
      </c>
      <c r="CJ83" s="459">
        <f t="shared" si="1900"/>
        <v>67457</v>
      </c>
      <c r="CK83" s="450">
        <f t="shared" si="1896"/>
        <v>3472984</v>
      </c>
      <c r="CL83" s="451"/>
      <c r="CM83" s="451"/>
      <c r="CN83" s="451"/>
      <c r="CO83" s="451"/>
      <c r="CP83" s="452"/>
    </row>
    <row r="84" spans="1:94" s="444" customFormat="1" hidden="1">
      <c r="A84" s="437"/>
      <c r="B84" s="446" t="s">
        <v>960</v>
      </c>
      <c r="C84" s="446"/>
      <c r="D84" s="447">
        <v>5.6000000000000001E-2</v>
      </c>
      <c r="E84" s="448">
        <f>ROUND(E78*$D$84/(1+5%),0)</f>
        <v>10667</v>
      </c>
      <c r="F84" s="448">
        <f t="shared" ref="F84:BQ84" si="1901">ROUND(F78*$D$84/(1+5%),0)</f>
        <v>10667</v>
      </c>
      <c r="G84" s="448">
        <f t="shared" si="1901"/>
        <v>10667</v>
      </c>
      <c r="H84" s="448">
        <f t="shared" si="1901"/>
        <v>10667</v>
      </c>
      <c r="I84" s="448">
        <f t="shared" si="1901"/>
        <v>10647</v>
      </c>
      <c r="J84" s="448">
        <f t="shared" si="1901"/>
        <v>10647</v>
      </c>
      <c r="K84" s="448">
        <f t="shared" si="1901"/>
        <v>10647</v>
      </c>
      <c r="L84" s="448">
        <f t="shared" si="1901"/>
        <v>10647</v>
      </c>
      <c r="M84" s="448">
        <f t="shared" si="1901"/>
        <v>11243</v>
      </c>
      <c r="N84" s="448">
        <f t="shared" si="1901"/>
        <v>11243</v>
      </c>
      <c r="O84" s="448">
        <f t="shared" si="1901"/>
        <v>11243</v>
      </c>
      <c r="P84" s="448">
        <f t="shared" si="1901"/>
        <v>11243</v>
      </c>
      <c r="Q84" s="448">
        <f t="shared" si="1901"/>
        <v>11872</v>
      </c>
      <c r="R84" s="448">
        <f t="shared" si="1901"/>
        <v>11872</v>
      </c>
      <c r="S84" s="448">
        <f t="shared" si="1901"/>
        <v>11872</v>
      </c>
      <c r="T84" s="448">
        <f t="shared" si="1901"/>
        <v>11872</v>
      </c>
      <c r="U84" s="448">
        <f t="shared" si="1901"/>
        <v>12537</v>
      </c>
      <c r="V84" s="448">
        <f t="shared" si="1901"/>
        <v>12537</v>
      </c>
      <c r="W84" s="448">
        <f t="shared" si="1901"/>
        <v>12537</v>
      </c>
      <c r="X84" s="448">
        <f t="shared" si="1901"/>
        <v>12537</v>
      </c>
      <c r="Y84" s="448">
        <f t="shared" si="1901"/>
        <v>13239</v>
      </c>
      <c r="Z84" s="448">
        <f t="shared" si="1901"/>
        <v>13239</v>
      </c>
      <c r="AA84" s="448">
        <f t="shared" si="1901"/>
        <v>13239</v>
      </c>
      <c r="AB84" s="448">
        <f t="shared" si="1901"/>
        <v>13239</v>
      </c>
      <c r="AC84" s="448">
        <f t="shared" si="1901"/>
        <v>13981</v>
      </c>
      <c r="AD84" s="448">
        <f t="shared" si="1901"/>
        <v>13981</v>
      </c>
      <c r="AE84" s="448">
        <f t="shared" si="1901"/>
        <v>13981</v>
      </c>
      <c r="AF84" s="448">
        <f t="shared" si="1901"/>
        <v>13981</v>
      </c>
      <c r="AG84" s="448">
        <f t="shared" si="1901"/>
        <v>14764</v>
      </c>
      <c r="AH84" s="448">
        <f t="shared" si="1901"/>
        <v>14764</v>
      </c>
      <c r="AI84" s="448">
        <f t="shared" si="1901"/>
        <v>14764</v>
      </c>
      <c r="AJ84" s="448">
        <f t="shared" si="1901"/>
        <v>14764</v>
      </c>
      <c r="AK84" s="448">
        <f t="shared" si="1901"/>
        <v>15591</v>
      </c>
      <c r="AL84" s="448">
        <f t="shared" si="1901"/>
        <v>15591</v>
      </c>
      <c r="AM84" s="448">
        <f t="shared" si="1901"/>
        <v>15591</v>
      </c>
      <c r="AN84" s="448">
        <f t="shared" si="1901"/>
        <v>15591</v>
      </c>
      <c r="AO84" s="448">
        <f t="shared" si="1901"/>
        <v>16464</v>
      </c>
      <c r="AP84" s="448">
        <f t="shared" si="1901"/>
        <v>16464</v>
      </c>
      <c r="AQ84" s="448">
        <f t="shared" si="1901"/>
        <v>16464</v>
      </c>
      <c r="AR84" s="448">
        <f t="shared" si="1901"/>
        <v>16464</v>
      </c>
      <c r="AS84" s="448">
        <f t="shared" si="1901"/>
        <v>17386</v>
      </c>
      <c r="AT84" s="448">
        <f t="shared" si="1901"/>
        <v>17386</v>
      </c>
      <c r="AU84" s="448">
        <f t="shared" si="1901"/>
        <v>17386</v>
      </c>
      <c r="AV84" s="448">
        <f t="shared" si="1901"/>
        <v>17386</v>
      </c>
      <c r="AW84" s="448">
        <f t="shared" si="1901"/>
        <v>18360</v>
      </c>
      <c r="AX84" s="448">
        <f t="shared" si="1901"/>
        <v>18360</v>
      </c>
      <c r="AY84" s="448">
        <f t="shared" si="1901"/>
        <v>18360</v>
      </c>
      <c r="AZ84" s="448">
        <f t="shared" si="1901"/>
        <v>18360</v>
      </c>
      <c r="BA84" s="448">
        <f t="shared" si="1901"/>
        <v>19388</v>
      </c>
      <c r="BB84" s="448">
        <f t="shared" si="1901"/>
        <v>19388</v>
      </c>
      <c r="BC84" s="448">
        <f t="shared" si="1901"/>
        <v>19388</v>
      </c>
      <c r="BD84" s="448">
        <f t="shared" si="1901"/>
        <v>19388</v>
      </c>
      <c r="BE84" s="448">
        <f t="shared" si="1901"/>
        <v>20473</v>
      </c>
      <c r="BF84" s="448">
        <f t="shared" si="1901"/>
        <v>20473</v>
      </c>
      <c r="BG84" s="448">
        <f t="shared" si="1901"/>
        <v>20473</v>
      </c>
      <c r="BH84" s="448">
        <f t="shared" si="1901"/>
        <v>20473</v>
      </c>
      <c r="BI84" s="448">
        <f t="shared" si="1901"/>
        <v>21620</v>
      </c>
      <c r="BJ84" s="448">
        <f t="shared" si="1901"/>
        <v>21620</v>
      </c>
      <c r="BK84" s="448">
        <f t="shared" si="1901"/>
        <v>21620</v>
      </c>
      <c r="BL84" s="448">
        <f t="shared" si="1901"/>
        <v>21620</v>
      </c>
      <c r="BM84" s="448">
        <f t="shared" si="1901"/>
        <v>22831</v>
      </c>
      <c r="BN84" s="448">
        <f t="shared" si="1901"/>
        <v>22831</v>
      </c>
      <c r="BO84" s="448">
        <f t="shared" si="1901"/>
        <v>22831</v>
      </c>
      <c r="BP84" s="448">
        <f t="shared" si="1901"/>
        <v>22831</v>
      </c>
      <c r="BQ84" s="448">
        <f t="shared" si="1901"/>
        <v>24109</v>
      </c>
      <c r="BR84" s="448">
        <f t="shared" ref="BR84:CJ84" si="1902">ROUND(BR78*$D$84/(1+5%),0)</f>
        <v>24109</v>
      </c>
      <c r="BS84" s="448">
        <f t="shared" si="1902"/>
        <v>24109</v>
      </c>
      <c r="BT84" s="448">
        <f t="shared" si="1902"/>
        <v>24109</v>
      </c>
      <c r="BU84" s="448">
        <f t="shared" si="1902"/>
        <v>25459</v>
      </c>
      <c r="BV84" s="448">
        <f t="shared" si="1902"/>
        <v>25459</v>
      </c>
      <c r="BW84" s="448">
        <f t="shared" si="1902"/>
        <v>25459</v>
      </c>
      <c r="BX84" s="448">
        <f t="shared" si="1902"/>
        <v>25459</v>
      </c>
      <c r="BY84" s="448">
        <f t="shared" si="1902"/>
        <v>26885</v>
      </c>
      <c r="BZ84" s="448">
        <f t="shared" si="1902"/>
        <v>26885</v>
      </c>
      <c r="CA84" s="448">
        <f t="shared" si="1902"/>
        <v>26885</v>
      </c>
      <c r="CB84" s="448">
        <f t="shared" si="1902"/>
        <v>26885</v>
      </c>
      <c r="CC84" s="448">
        <f t="shared" si="1902"/>
        <v>28391</v>
      </c>
      <c r="CD84" s="448">
        <f t="shared" si="1902"/>
        <v>28391</v>
      </c>
      <c r="CE84" s="448">
        <f t="shared" si="1902"/>
        <v>28391</v>
      </c>
      <c r="CF84" s="448">
        <f t="shared" si="1902"/>
        <v>28391</v>
      </c>
      <c r="CG84" s="448">
        <f t="shared" si="1902"/>
        <v>29981</v>
      </c>
      <c r="CH84" s="448">
        <f t="shared" si="1902"/>
        <v>29981</v>
      </c>
      <c r="CI84" s="448">
        <f t="shared" si="1902"/>
        <v>29981</v>
      </c>
      <c r="CJ84" s="448">
        <f t="shared" si="1902"/>
        <v>29981</v>
      </c>
      <c r="CK84" s="450">
        <f t="shared" si="1896"/>
        <v>1543552</v>
      </c>
      <c r="CL84" s="442"/>
      <c r="CM84" s="442"/>
      <c r="CN84" s="442"/>
      <c r="CO84" s="442"/>
      <c r="CP84" s="443"/>
    </row>
    <row r="85" spans="1:94" s="444" customFormat="1" hidden="1">
      <c r="A85" s="437"/>
      <c r="B85" s="446" t="s">
        <v>790</v>
      </c>
      <c r="C85" s="446"/>
      <c r="D85" s="395">
        <v>0.04</v>
      </c>
      <c r="E85" s="448">
        <f>ROUND(E78*$D$85,0)</f>
        <v>8001</v>
      </c>
      <c r="F85" s="448">
        <f t="shared" ref="F85:BQ85" si="1903">ROUND(F78*$D$85,0)</f>
        <v>8001</v>
      </c>
      <c r="G85" s="448">
        <f t="shared" si="1903"/>
        <v>8001</v>
      </c>
      <c r="H85" s="448">
        <f t="shared" si="1903"/>
        <v>8001</v>
      </c>
      <c r="I85" s="448">
        <f t="shared" si="1903"/>
        <v>7985</v>
      </c>
      <c r="J85" s="448">
        <f t="shared" si="1903"/>
        <v>7985</v>
      </c>
      <c r="K85" s="448">
        <f t="shared" si="1903"/>
        <v>7985</v>
      </c>
      <c r="L85" s="448">
        <f t="shared" si="1903"/>
        <v>7985</v>
      </c>
      <c r="M85" s="448">
        <f t="shared" si="1903"/>
        <v>8432</v>
      </c>
      <c r="N85" s="448">
        <f t="shared" si="1903"/>
        <v>8432</v>
      </c>
      <c r="O85" s="448">
        <f t="shared" si="1903"/>
        <v>8432</v>
      </c>
      <c r="P85" s="448">
        <f t="shared" si="1903"/>
        <v>8432</v>
      </c>
      <c r="Q85" s="448">
        <f t="shared" si="1903"/>
        <v>8904</v>
      </c>
      <c r="R85" s="448">
        <f t="shared" si="1903"/>
        <v>8904</v>
      </c>
      <c r="S85" s="448">
        <f t="shared" si="1903"/>
        <v>8904</v>
      </c>
      <c r="T85" s="448">
        <f t="shared" si="1903"/>
        <v>8904</v>
      </c>
      <c r="U85" s="448">
        <f t="shared" si="1903"/>
        <v>9403</v>
      </c>
      <c r="V85" s="448">
        <f t="shared" si="1903"/>
        <v>9403</v>
      </c>
      <c r="W85" s="448">
        <f t="shared" si="1903"/>
        <v>9403</v>
      </c>
      <c r="X85" s="448">
        <f t="shared" si="1903"/>
        <v>9403</v>
      </c>
      <c r="Y85" s="448">
        <f t="shared" si="1903"/>
        <v>9929</v>
      </c>
      <c r="Z85" s="448">
        <f t="shared" si="1903"/>
        <v>9929</v>
      </c>
      <c r="AA85" s="448">
        <f t="shared" si="1903"/>
        <v>9929</v>
      </c>
      <c r="AB85" s="448">
        <f t="shared" si="1903"/>
        <v>9929</v>
      </c>
      <c r="AC85" s="448">
        <f t="shared" si="1903"/>
        <v>10486</v>
      </c>
      <c r="AD85" s="448">
        <f t="shared" si="1903"/>
        <v>10486</v>
      </c>
      <c r="AE85" s="448">
        <f t="shared" si="1903"/>
        <v>10486</v>
      </c>
      <c r="AF85" s="448">
        <f t="shared" si="1903"/>
        <v>10486</v>
      </c>
      <c r="AG85" s="448">
        <f t="shared" si="1903"/>
        <v>11073</v>
      </c>
      <c r="AH85" s="448">
        <f t="shared" si="1903"/>
        <v>11073</v>
      </c>
      <c r="AI85" s="448">
        <f t="shared" si="1903"/>
        <v>11073</v>
      </c>
      <c r="AJ85" s="448">
        <f t="shared" si="1903"/>
        <v>11073</v>
      </c>
      <c r="AK85" s="448">
        <f t="shared" si="1903"/>
        <v>11693</v>
      </c>
      <c r="AL85" s="448">
        <f t="shared" si="1903"/>
        <v>11693</v>
      </c>
      <c r="AM85" s="448">
        <f t="shared" si="1903"/>
        <v>11693</v>
      </c>
      <c r="AN85" s="448">
        <f t="shared" si="1903"/>
        <v>11693</v>
      </c>
      <c r="AO85" s="448">
        <f t="shared" si="1903"/>
        <v>12348</v>
      </c>
      <c r="AP85" s="448">
        <f t="shared" si="1903"/>
        <v>12348</v>
      </c>
      <c r="AQ85" s="448">
        <f t="shared" si="1903"/>
        <v>12348</v>
      </c>
      <c r="AR85" s="448">
        <f t="shared" si="1903"/>
        <v>12348</v>
      </c>
      <c r="AS85" s="448">
        <f t="shared" si="1903"/>
        <v>13039</v>
      </c>
      <c r="AT85" s="448">
        <f t="shared" si="1903"/>
        <v>13039</v>
      </c>
      <c r="AU85" s="448">
        <f t="shared" si="1903"/>
        <v>13039</v>
      </c>
      <c r="AV85" s="448">
        <f t="shared" si="1903"/>
        <v>13039</v>
      </c>
      <c r="AW85" s="448">
        <f t="shared" si="1903"/>
        <v>13770</v>
      </c>
      <c r="AX85" s="448">
        <f t="shared" si="1903"/>
        <v>13770</v>
      </c>
      <c r="AY85" s="448">
        <f t="shared" si="1903"/>
        <v>13770</v>
      </c>
      <c r="AZ85" s="448">
        <f t="shared" si="1903"/>
        <v>13770</v>
      </c>
      <c r="BA85" s="448">
        <f t="shared" si="1903"/>
        <v>14541</v>
      </c>
      <c r="BB85" s="448">
        <f t="shared" si="1903"/>
        <v>14541</v>
      </c>
      <c r="BC85" s="448">
        <f t="shared" si="1903"/>
        <v>14541</v>
      </c>
      <c r="BD85" s="448">
        <f t="shared" si="1903"/>
        <v>14541</v>
      </c>
      <c r="BE85" s="448">
        <f t="shared" si="1903"/>
        <v>15355</v>
      </c>
      <c r="BF85" s="448">
        <f t="shared" si="1903"/>
        <v>15355</v>
      </c>
      <c r="BG85" s="448">
        <f t="shared" si="1903"/>
        <v>15355</v>
      </c>
      <c r="BH85" s="448">
        <f t="shared" si="1903"/>
        <v>15355</v>
      </c>
      <c r="BI85" s="448">
        <f t="shared" si="1903"/>
        <v>16215</v>
      </c>
      <c r="BJ85" s="448">
        <f t="shared" si="1903"/>
        <v>16215</v>
      </c>
      <c r="BK85" s="448">
        <f t="shared" si="1903"/>
        <v>16215</v>
      </c>
      <c r="BL85" s="448">
        <f t="shared" si="1903"/>
        <v>16215</v>
      </c>
      <c r="BM85" s="448">
        <f t="shared" si="1903"/>
        <v>17123</v>
      </c>
      <c r="BN85" s="448">
        <f t="shared" si="1903"/>
        <v>17123</v>
      </c>
      <c r="BO85" s="448">
        <f t="shared" si="1903"/>
        <v>17123</v>
      </c>
      <c r="BP85" s="448">
        <f t="shared" si="1903"/>
        <v>17123</v>
      </c>
      <c r="BQ85" s="448">
        <f t="shared" si="1903"/>
        <v>18082</v>
      </c>
      <c r="BR85" s="448">
        <f t="shared" ref="BR85:CJ85" si="1904">ROUND(BR78*$D$85,0)</f>
        <v>18082</v>
      </c>
      <c r="BS85" s="448">
        <f t="shared" si="1904"/>
        <v>18082</v>
      </c>
      <c r="BT85" s="448">
        <f t="shared" si="1904"/>
        <v>18082</v>
      </c>
      <c r="BU85" s="448">
        <f t="shared" si="1904"/>
        <v>19094</v>
      </c>
      <c r="BV85" s="448">
        <f t="shared" si="1904"/>
        <v>19094</v>
      </c>
      <c r="BW85" s="448">
        <f t="shared" si="1904"/>
        <v>19094</v>
      </c>
      <c r="BX85" s="448">
        <f t="shared" si="1904"/>
        <v>19094</v>
      </c>
      <c r="BY85" s="448">
        <f t="shared" si="1904"/>
        <v>20164</v>
      </c>
      <c r="BZ85" s="448">
        <f t="shared" si="1904"/>
        <v>20164</v>
      </c>
      <c r="CA85" s="448">
        <f t="shared" si="1904"/>
        <v>20164</v>
      </c>
      <c r="CB85" s="448">
        <f t="shared" si="1904"/>
        <v>20164</v>
      </c>
      <c r="CC85" s="448">
        <f t="shared" si="1904"/>
        <v>21293</v>
      </c>
      <c r="CD85" s="448">
        <f t="shared" si="1904"/>
        <v>21293</v>
      </c>
      <c r="CE85" s="448">
        <f t="shared" si="1904"/>
        <v>21293</v>
      </c>
      <c r="CF85" s="448">
        <f t="shared" si="1904"/>
        <v>21293</v>
      </c>
      <c r="CG85" s="448">
        <f t="shared" si="1904"/>
        <v>22486</v>
      </c>
      <c r="CH85" s="448">
        <f t="shared" si="1904"/>
        <v>22486</v>
      </c>
      <c r="CI85" s="448">
        <f t="shared" si="1904"/>
        <v>22486</v>
      </c>
      <c r="CJ85" s="448">
        <f t="shared" si="1904"/>
        <v>22486</v>
      </c>
      <c r="CK85" s="450">
        <f t="shared" si="1896"/>
        <v>1157664</v>
      </c>
      <c r="CL85" s="442"/>
      <c r="CM85" s="442"/>
      <c r="CN85" s="442"/>
      <c r="CO85" s="442"/>
      <c r="CP85" s="443"/>
    </row>
    <row r="86" spans="1:94" s="453" customFormat="1" ht="21">
      <c r="A86" s="445"/>
      <c r="B86" s="446" t="s">
        <v>961</v>
      </c>
      <c r="C86" s="461"/>
      <c r="D86" s="447"/>
      <c r="E86" s="462">
        <f>E78-E82</f>
        <v>157345</v>
      </c>
      <c r="F86" s="462">
        <f t="shared" ref="F86:BQ86" si="1905">F78-F82</f>
        <v>157345</v>
      </c>
      <c r="G86" s="462">
        <f t="shared" si="1905"/>
        <v>157345</v>
      </c>
      <c r="H86" s="462">
        <f t="shared" si="1905"/>
        <v>157345</v>
      </c>
      <c r="I86" s="462">
        <f t="shared" si="1905"/>
        <v>157037</v>
      </c>
      <c r="J86" s="462">
        <f t="shared" si="1905"/>
        <v>157037</v>
      </c>
      <c r="K86" s="462">
        <f t="shared" si="1905"/>
        <v>157037</v>
      </c>
      <c r="L86" s="462">
        <f t="shared" si="1905"/>
        <v>157037</v>
      </c>
      <c r="M86" s="462">
        <f t="shared" si="1905"/>
        <v>165832</v>
      </c>
      <c r="N86" s="462">
        <f t="shared" si="1905"/>
        <v>165832</v>
      </c>
      <c r="O86" s="462">
        <f t="shared" si="1905"/>
        <v>165832</v>
      </c>
      <c r="P86" s="462">
        <f t="shared" si="1905"/>
        <v>165832</v>
      </c>
      <c r="Q86" s="462">
        <f t="shared" si="1905"/>
        <v>175116</v>
      </c>
      <c r="R86" s="462">
        <f t="shared" si="1905"/>
        <v>175116</v>
      </c>
      <c r="S86" s="462">
        <f t="shared" si="1905"/>
        <v>175116</v>
      </c>
      <c r="T86" s="462">
        <f t="shared" si="1905"/>
        <v>175116</v>
      </c>
      <c r="U86" s="462">
        <f t="shared" si="1905"/>
        <v>184922</v>
      </c>
      <c r="V86" s="462">
        <f t="shared" si="1905"/>
        <v>184922</v>
      </c>
      <c r="W86" s="462">
        <f t="shared" si="1905"/>
        <v>184922</v>
      </c>
      <c r="X86" s="462">
        <f t="shared" si="1905"/>
        <v>184922</v>
      </c>
      <c r="Y86" s="462">
        <f t="shared" si="1905"/>
        <v>195281</v>
      </c>
      <c r="Z86" s="462">
        <f t="shared" si="1905"/>
        <v>195281</v>
      </c>
      <c r="AA86" s="462">
        <f t="shared" si="1905"/>
        <v>195281</v>
      </c>
      <c r="AB86" s="462">
        <f t="shared" si="1905"/>
        <v>195281</v>
      </c>
      <c r="AC86" s="462">
        <f t="shared" si="1905"/>
        <v>206217</v>
      </c>
      <c r="AD86" s="462">
        <f t="shared" si="1905"/>
        <v>206217</v>
      </c>
      <c r="AE86" s="462">
        <f t="shared" si="1905"/>
        <v>206217</v>
      </c>
      <c r="AF86" s="462">
        <f t="shared" si="1905"/>
        <v>206217</v>
      </c>
      <c r="AG86" s="462">
        <f t="shared" si="1905"/>
        <v>217766</v>
      </c>
      <c r="AH86" s="462">
        <f t="shared" si="1905"/>
        <v>217766</v>
      </c>
      <c r="AI86" s="462">
        <f t="shared" si="1905"/>
        <v>217766</v>
      </c>
      <c r="AJ86" s="462">
        <f t="shared" si="1905"/>
        <v>217766</v>
      </c>
      <c r="AK86" s="462">
        <f t="shared" si="1905"/>
        <v>229965</v>
      </c>
      <c r="AL86" s="462">
        <f t="shared" si="1905"/>
        <v>229965</v>
      </c>
      <c r="AM86" s="462">
        <f t="shared" si="1905"/>
        <v>229965</v>
      </c>
      <c r="AN86" s="462">
        <f t="shared" si="1905"/>
        <v>229965</v>
      </c>
      <c r="AO86" s="462">
        <f t="shared" si="1905"/>
        <v>242844</v>
      </c>
      <c r="AP86" s="462">
        <f t="shared" si="1905"/>
        <v>242844</v>
      </c>
      <c r="AQ86" s="462">
        <f t="shared" si="1905"/>
        <v>242844</v>
      </c>
      <c r="AR86" s="462">
        <f t="shared" si="1905"/>
        <v>242844</v>
      </c>
      <c r="AS86" s="462">
        <f t="shared" si="1905"/>
        <v>256444</v>
      </c>
      <c r="AT86" s="462">
        <f t="shared" si="1905"/>
        <v>256444</v>
      </c>
      <c r="AU86" s="462">
        <f t="shared" si="1905"/>
        <v>256444</v>
      </c>
      <c r="AV86" s="462">
        <f t="shared" si="1905"/>
        <v>256444</v>
      </c>
      <c r="AW86" s="462">
        <f t="shared" si="1905"/>
        <v>270804</v>
      </c>
      <c r="AX86" s="462">
        <f t="shared" si="1905"/>
        <v>270804</v>
      </c>
      <c r="AY86" s="462">
        <f t="shared" si="1905"/>
        <v>270804</v>
      </c>
      <c r="AZ86" s="462">
        <f t="shared" si="1905"/>
        <v>270804</v>
      </c>
      <c r="BA86" s="462">
        <f t="shared" si="1905"/>
        <v>285969</v>
      </c>
      <c r="BB86" s="462">
        <f t="shared" si="1905"/>
        <v>285969</v>
      </c>
      <c r="BC86" s="462">
        <f t="shared" si="1905"/>
        <v>285969</v>
      </c>
      <c r="BD86" s="462">
        <f t="shared" si="1905"/>
        <v>285969</v>
      </c>
      <c r="BE86" s="462">
        <f t="shared" si="1905"/>
        <v>301984</v>
      </c>
      <c r="BF86" s="462">
        <f t="shared" si="1905"/>
        <v>301984</v>
      </c>
      <c r="BG86" s="462">
        <f t="shared" si="1905"/>
        <v>301984</v>
      </c>
      <c r="BH86" s="462">
        <f t="shared" si="1905"/>
        <v>301984</v>
      </c>
      <c r="BI86" s="462">
        <f t="shared" si="1905"/>
        <v>318893</v>
      </c>
      <c r="BJ86" s="462">
        <f t="shared" si="1905"/>
        <v>318893</v>
      </c>
      <c r="BK86" s="462">
        <f t="shared" si="1905"/>
        <v>318893</v>
      </c>
      <c r="BL86" s="462">
        <f t="shared" si="1905"/>
        <v>318893</v>
      </c>
      <c r="BM86" s="462">
        <f t="shared" si="1905"/>
        <v>336750</v>
      </c>
      <c r="BN86" s="462">
        <f t="shared" si="1905"/>
        <v>336750</v>
      </c>
      <c r="BO86" s="462">
        <f t="shared" si="1905"/>
        <v>336750</v>
      </c>
      <c r="BP86" s="462">
        <f t="shared" si="1905"/>
        <v>336750</v>
      </c>
      <c r="BQ86" s="462">
        <f t="shared" si="1905"/>
        <v>355609</v>
      </c>
      <c r="BR86" s="462">
        <f t="shared" ref="BR86:CJ86" si="1906">BR78-BR82</f>
        <v>355609</v>
      </c>
      <c r="BS86" s="462">
        <f t="shared" si="1906"/>
        <v>355609</v>
      </c>
      <c r="BT86" s="462">
        <f t="shared" si="1906"/>
        <v>355609</v>
      </c>
      <c r="BU86" s="462">
        <f t="shared" si="1906"/>
        <v>375523</v>
      </c>
      <c r="BV86" s="462">
        <f t="shared" si="1906"/>
        <v>375523</v>
      </c>
      <c r="BW86" s="462">
        <f t="shared" si="1906"/>
        <v>375523</v>
      </c>
      <c r="BX86" s="462">
        <f t="shared" si="1906"/>
        <v>375523</v>
      </c>
      <c r="BY86" s="462">
        <f t="shared" si="1906"/>
        <v>396555</v>
      </c>
      <c r="BZ86" s="462">
        <f t="shared" si="1906"/>
        <v>396555</v>
      </c>
      <c r="CA86" s="462">
        <f t="shared" si="1906"/>
        <v>396555</v>
      </c>
      <c r="CB86" s="462">
        <f t="shared" si="1906"/>
        <v>396555</v>
      </c>
      <c r="CC86" s="462">
        <f t="shared" si="1906"/>
        <v>418760</v>
      </c>
      <c r="CD86" s="462">
        <f t="shared" si="1906"/>
        <v>418760</v>
      </c>
      <c r="CE86" s="462">
        <f t="shared" si="1906"/>
        <v>418760</v>
      </c>
      <c r="CF86" s="462">
        <f t="shared" si="1906"/>
        <v>418760</v>
      </c>
      <c r="CG86" s="462">
        <f t="shared" si="1906"/>
        <v>442216</v>
      </c>
      <c r="CH86" s="462">
        <f t="shared" si="1906"/>
        <v>442216</v>
      </c>
      <c r="CI86" s="462">
        <f t="shared" si="1906"/>
        <v>442216</v>
      </c>
      <c r="CJ86" s="462">
        <f t="shared" si="1906"/>
        <v>442216</v>
      </c>
      <c r="CK86" s="450">
        <f t="shared" si="1896"/>
        <v>22767328</v>
      </c>
      <c r="CL86" s="451"/>
      <c r="CM86" s="451"/>
      <c r="CN86" s="451"/>
      <c r="CO86" s="451"/>
      <c r="CP86" s="452"/>
    </row>
    <row r="87" spans="1:94" s="72" customFormat="1">
      <c r="A87" s="68"/>
      <c r="B87" s="13" t="s">
        <v>962</v>
      </c>
      <c r="C87" s="14"/>
      <c r="D87" s="73"/>
      <c r="E87" s="573">
        <f>E86+F86+G86+H86</f>
        <v>629380</v>
      </c>
      <c r="F87" s="574"/>
      <c r="G87" s="574"/>
      <c r="H87" s="575"/>
      <c r="I87" s="573">
        <f>I86+J86+K86+L86</f>
        <v>628148</v>
      </c>
      <c r="J87" s="574"/>
      <c r="K87" s="574"/>
      <c r="L87" s="575"/>
      <c r="M87" s="573">
        <f>M86+N86+O86+P86</f>
        <v>663328</v>
      </c>
      <c r="N87" s="574"/>
      <c r="O87" s="574"/>
      <c r="P87" s="575"/>
      <c r="Q87" s="573">
        <f>Q86+R86+S86+T86</f>
        <v>700464</v>
      </c>
      <c r="R87" s="574"/>
      <c r="S87" s="574"/>
      <c r="T87" s="575"/>
      <c r="U87" s="573">
        <f>U86+V86+W86+X86</f>
        <v>739688</v>
      </c>
      <c r="V87" s="574"/>
      <c r="W87" s="574"/>
      <c r="X87" s="575"/>
      <c r="Y87" s="573">
        <f>Y86+Z86+AA86+AB86</f>
        <v>781124</v>
      </c>
      <c r="Z87" s="574"/>
      <c r="AA87" s="574"/>
      <c r="AB87" s="575"/>
      <c r="AC87" s="573">
        <f>AC86+AD86+AE86+AF86</f>
        <v>824868</v>
      </c>
      <c r="AD87" s="574"/>
      <c r="AE87" s="574"/>
      <c r="AF87" s="575"/>
      <c r="AG87" s="573">
        <f>AG86+AH86+AI86+AJ86</f>
        <v>871064</v>
      </c>
      <c r="AH87" s="574"/>
      <c r="AI87" s="574"/>
      <c r="AJ87" s="575"/>
      <c r="AK87" s="573">
        <f>AK86+AL86+AM86+AN86</f>
        <v>919860</v>
      </c>
      <c r="AL87" s="574"/>
      <c r="AM87" s="574"/>
      <c r="AN87" s="575"/>
      <c r="AO87" s="573">
        <f>AO86+AP86+AQ86+AR86</f>
        <v>971376</v>
      </c>
      <c r="AP87" s="574"/>
      <c r="AQ87" s="574"/>
      <c r="AR87" s="575"/>
      <c r="AS87" s="573">
        <f>AS86+AT86+AU86+AV86</f>
        <v>1025776</v>
      </c>
      <c r="AT87" s="574"/>
      <c r="AU87" s="574"/>
      <c r="AV87" s="575"/>
      <c r="AW87" s="573">
        <f>AW86+AX86+AY86+AZ86</f>
        <v>1083216</v>
      </c>
      <c r="AX87" s="574"/>
      <c r="AY87" s="574"/>
      <c r="AZ87" s="575"/>
      <c r="BA87" s="573">
        <f>BA86+BB86+BC86+BD86</f>
        <v>1143876</v>
      </c>
      <c r="BB87" s="574"/>
      <c r="BC87" s="574"/>
      <c r="BD87" s="575"/>
      <c r="BE87" s="573">
        <f>BE86+BF86+BG86+BH86</f>
        <v>1207936</v>
      </c>
      <c r="BF87" s="574"/>
      <c r="BG87" s="574"/>
      <c r="BH87" s="575"/>
      <c r="BI87" s="573">
        <f>BI86+BJ86+BK86+BL86</f>
        <v>1275572</v>
      </c>
      <c r="BJ87" s="574"/>
      <c r="BK87" s="574"/>
      <c r="BL87" s="575"/>
      <c r="BM87" s="573">
        <f>BM86+BN86+BO86+BP86</f>
        <v>1347000</v>
      </c>
      <c r="BN87" s="574"/>
      <c r="BO87" s="574"/>
      <c r="BP87" s="575"/>
      <c r="BQ87" s="573">
        <f>BQ86+BR86+BS86+BT86</f>
        <v>1422436</v>
      </c>
      <c r="BR87" s="574"/>
      <c r="BS87" s="574"/>
      <c r="BT87" s="575"/>
      <c r="BU87" s="573">
        <f>BU86+BV86+BW86+BX86</f>
        <v>1502092</v>
      </c>
      <c r="BV87" s="574"/>
      <c r="BW87" s="574"/>
      <c r="BX87" s="575"/>
      <c r="BY87" s="573">
        <f>BY86+BZ86+CA86+CB86</f>
        <v>1586220</v>
      </c>
      <c r="BZ87" s="574"/>
      <c r="CA87" s="574"/>
      <c r="CB87" s="575"/>
      <c r="CC87" s="573">
        <f>CC86+CD86+CE86+CF86</f>
        <v>1675040</v>
      </c>
      <c r="CD87" s="574"/>
      <c r="CE87" s="574"/>
      <c r="CF87" s="575"/>
      <c r="CG87" s="573">
        <f>CG86+CH86+CI86+CJ86</f>
        <v>1768864</v>
      </c>
      <c r="CH87" s="574"/>
      <c r="CI87" s="574"/>
      <c r="CJ87" s="575"/>
      <c r="CK87" s="69">
        <f>SUM(E87:CJ87)</f>
        <v>22767328</v>
      </c>
      <c r="CL87" s="70"/>
      <c r="CM87" s="70"/>
      <c r="CN87" s="70"/>
      <c r="CO87" s="70"/>
      <c r="CP87" s="71"/>
    </row>
    <row r="88" spans="1:94" ht="15">
      <c r="A88" s="54"/>
      <c r="B88" s="15" t="s">
        <v>963</v>
      </c>
      <c r="C88" s="15"/>
      <c r="D88" s="74"/>
      <c r="E88" s="551"/>
      <c r="F88" s="552"/>
      <c r="G88" s="552"/>
      <c r="H88" s="553"/>
      <c r="I88" s="551"/>
      <c r="J88" s="552"/>
      <c r="K88" s="552"/>
      <c r="L88" s="553"/>
      <c r="M88" s="551"/>
      <c r="N88" s="552"/>
      <c r="O88" s="552"/>
      <c r="P88" s="553"/>
      <c r="Q88" s="551"/>
      <c r="R88" s="552"/>
      <c r="S88" s="552"/>
      <c r="T88" s="553"/>
      <c r="U88" s="551"/>
      <c r="V88" s="552"/>
      <c r="W88" s="552"/>
      <c r="X88" s="553"/>
      <c r="Y88" s="551"/>
      <c r="Z88" s="552"/>
      <c r="AA88" s="552"/>
      <c r="AB88" s="553"/>
      <c r="AC88" s="551"/>
      <c r="AD88" s="552"/>
      <c r="AE88" s="552"/>
      <c r="AF88" s="553"/>
      <c r="AG88" s="551"/>
      <c r="AH88" s="552"/>
      <c r="AI88" s="552"/>
      <c r="AJ88" s="553"/>
      <c r="AK88" s="551"/>
      <c r="AL88" s="552"/>
      <c r="AM88" s="552"/>
      <c r="AN88" s="553"/>
      <c r="AO88" s="551"/>
      <c r="AP88" s="552"/>
      <c r="AQ88" s="552"/>
      <c r="AR88" s="553"/>
      <c r="AS88" s="551"/>
      <c r="AT88" s="552"/>
      <c r="AU88" s="552"/>
      <c r="AV88" s="553"/>
      <c r="AW88" s="551"/>
      <c r="AX88" s="552"/>
      <c r="AY88" s="552"/>
      <c r="AZ88" s="553"/>
      <c r="BA88" s="551"/>
      <c r="BB88" s="552"/>
      <c r="BC88" s="552"/>
      <c r="BD88" s="553"/>
      <c r="BE88" s="551"/>
      <c r="BF88" s="552"/>
      <c r="BG88" s="552"/>
      <c r="BH88" s="553"/>
      <c r="BI88" s="551"/>
      <c r="BJ88" s="552"/>
      <c r="BK88" s="552"/>
      <c r="BL88" s="553"/>
      <c r="BM88" s="551"/>
      <c r="BN88" s="552"/>
      <c r="BO88" s="552"/>
      <c r="BP88" s="553"/>
      <c r="BQ88" s="551"/>
      <c r="BR88" s="552"/>
      <c r="BS88" s="552"/>
      <c r="BT88" s="553"/>
      <c r="BU88" s="551"/>
      <c r="BV88" s="552"/>
      <c r="BW88" s="552"/>
      <c r="BX88" s="553"/>
      <c r="BY88" s="551"/>
      <c r="BZ88" s="552"/>
      <c r="CA88" s="552"/>
      <c r="CB88" s="553"/>
      <c r="CC88" s="551"/>
      <c r="CD88" s="552"/>
      <c r="CE88" s="552"/>
      <c r="CF88" s="553"/>
      <c r="CG88" s="551"/>
      <c r="CH88" s="552"/>
      <c r="CI88" s="552"/>
      <c r="CJ88" s="553"/>
      <c r="CK88" s="57"/>
    </row>
    <row r="89" spans="1:94">
      <c r="A89" s="54"/>
      <c r="B89" s="15" t="s">
        <v>964</v>
      </c>
      <c r="C89" s="15"/>
      <c r="D89" s="16"/>
      <c r="E89" s="17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7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  <c r="CG89" s="57"/>
      <c r="CH89" s="57"/>
      <c r="CI89" s="57"/>
      <c r="CJ89" s="57"/>
      <c r="CK89" s="57"/>
    </row>
    <row r="90" spans="1:94">
      <c r="A90" s="54"/>
      <c r="B90" s="15" t="s">
        <v>965</v>
      </c>
      <c r="C90" s="15"/>
      <c r="D90" s="16"/>
      <c r="E90" s="551"/>
      <c r="F90" s="552"/>
      <c r="G90" s="552"/>
      <c r="H90" s="553"/>
      <c r="I90" s="551"/>
      <c r="J90" s="552"/>
      <c r="K90" s="552"/>
      <c r="L90" s="553"/>
      <c r="M90" s="551"/>
      <c r="N90" s="552"/>
      <c r="O90" s="552"/>
      <c r="P90" s="553"/>
      <c r="Q90" s="551"/>
      <c r="R90" s="552"/>
      <c r="S90" s="552"/>
      <c r="T90" s="553"/>
      <c r="U90" s="551"/>
      <c r="V90" s="552"/>
      <c r="W90" s="552"/>
      <c r="X90" s="553"/>
      <c r="Y90" s="551"/>
      <c r="Z90" s="552"/>
      <c r="AA90" s="552"/>
      <c r="AB90" s="553"/>
      <c r="AC90" s="551"/>
      <c r="AD90" s="552"/>
      <c r="AE90" s="552"/>
      <c r="AF90" s="553"/>
      <c r="AG90" s="551"/>
      <c r="AH90" s="552"/>
      <c r="AI90" s="552"/>
      <c r="AJ90" s="553"/>
      <c r="AK90" s="551"/>
      <c r="AL90" s="552"/>
      <c r="AM90" s="552"/>
      <c r="AN90" s="553"/>
      <c r="AO90" s="551"/>
      <c r="AP90" s="552"/>
      <c r="AQ90" s="552"/>
      <c r="AR90" s="553"/>
      <c r="AS90" s="551"/>
      <c r="AT90" s="552"/>
      <c r="AU90" s="552"/>
      <c r="AV90" s="553"/>
      <c r="AW90" s="551"/>
      <c r="AX90" s="552"/>
      <c r="AY90" s="552"/>
      <c r="AZ90" s="553"/>
      <c r="BA90" s="551"/>
      <c r="BB90" s="552"/>
      <c r="BC90" s="552"/>
      <c r="BD90" s="553"/>
      <c r="BE90" s="551"/>
      <c r="BF90" s="552"/>
      <c r="BG90" s="552"/>
      <c r="BH90" s="553"/>
      <c r="BI90" s="551"/>
      <c r="BJ90" s="552"/>
      <c r="BK90" s="552"/>
      <c r="BL90" s="553"/>
      <c r="BM90" s="551"/>
      <c r="BN90" s="552"/>
      <c r="BO90" s="552"/>
      <c r="BP90" s="553"/>
      <c r="BQ90" s="551"/>
      <c r="BR90" s="552"/>
      <c r="BS90" s="552"/>
      <c r="BT90" s="553"/>
      <c r="BU90" s="551"/>
      <c r="BV90" s="552"/>
      <c r="BW90" s="552"/>
      <c r="BX90" s="553"/>
      <c r="BY90" s="551"/>
      <c r="BZ90" s="552"/>
      <c r="CA90" s="552"/>
      <c r="CB90" s="553"/>
      <c r="CC90" s="551"/>
      <c r="CD90" s="552"/>
      <c r="CE90" s="552"/>
      <c r="CF90" s="553"/>
      <c r="CG90" s="551"/>
      <c r="CH90" s="552"/>
      <c r="CI90" s="552"/>
      <c r="CJ90" s="553"/>
      <c r="CK90" s="57"/>
    </row>
    <row r="91" spans="1:94" s="444" customFormat="1" ht="21" customHeight="1">
      <c r="A91" s="437"/>
      <c r="B91" s="437"/>
      <c r="C91" s="470"/>
      <c r="D91" s="471"/>
      <c r="E91" s="532">
        <f>E79+F79+G79+H79</f>
        <v>800060</v>
      </c>
      <c r="F91" s="533"/>
      <c r="G91" s="533"/>
      <c r="H91" s="533"/>
      <c r="I91" s="532">
        <f t="shared" ref="I91" si="1907">I79+J79+K79+L79</f>
        <v>798496</v>
      </c>
      <c r="J91" s="533"/>
      <c r="K91" s="533"/>
      <c r="L91" s="533"/>
      <c r="M91" s="532">
        <f t="shared" ref="M91" si="1908">M79+N79+O79+P79</f>
        <v>843212</v>
      </c>
      <c r="N91" s="533"/>
      <c r="O91" s="533"/>
      <c r="P91" s="533"/>
      <c r="Q91" s="532">
        <f t="shared" ref="Q91" si="1909">Q79+R79+S79+T79</f>
        <v>890420</v>
      </c>
      <c r="R91" s="533"/>
      <c r="S91" s="533"/>
      <c r="T91" s="533"/>
      <c r="U91" s="532">
        <f t="shared" ref="U91" si="1910">U79+V79+W79+X79</f>
        <v>940284</v>
      </c>
      <c r="V91" s="533"/>
      <c r="W91" s="533"/>
      <c r="X91" s="533"/>
      <c r="Y91" s="532">
        <f t="shared" ref="Y91" si="1911">Y79+Z79+AA79+AB79</f>
        <v>992948</v>
      </c>
      <c r="Z91" s="533"/>
      <c r="AA91" s="533"/>
      <c r="AB91" s="533"/>
      <c r="AC91" s="532">
        <f t="shared" ref="AC91" si="1912">AC79+AD79+AE79+AF79</f>
        <v>1048564</v>
      </c>
      <c r="AD91" s="533"/>
      <c r="AE91" s="533"/>
      <c r="AF91" s="533"/>
      <c r="AG91" s="532">
        <f t="shared" ref="AG91" si="1913">AG79+AH79+AI79+AJ79</f>
        <v>1107288</v>
      </c>
      <c r="AH91" s="533"/>
      <c r="AI91" s="533"/>
      <c r="AJ91" s="533"/>
      <c r="AK91" s="532">
        <f t="shared" ref="AK91" si="1914">AK79+AL79+AM79+AN79</f>
        <v>1169312</v>
      </c>
      <c r="AL91" s="533"/>
      <c r="AM91" s="533"/>
      <c r="AN91" s="533"/>
      <c r="AO91" s="532">
        <f t="shared" ref="AO91" si="1915">AO79+AP79+AQ79+AR79</f>
        <v>1234800</v>
      </c>
      <c r="AP91" s="533"/>
      <c r="AQ91" s="533"/>
      <c r="AR91" s="533"/>
      <c r="AS91" s="532">
        <f t="shared" ref="AS91" si="1916">AS79+AT79+AU79+AV79</f>
        <v>1303948</v>
      </c>
      <c r="AT91" s="533"/>
      <c r="AU91" s="533"/>
      <c r="AV91" s="533"/>
      <c r="AW91" s="532">
        <f t="shared" ref="AW91" si="1917">AW79+AX79+AY79+AZ79</f>
        <v>1376972</v>
      </c>
      <c r="AX91" s="533"/>
      <c r="AY91" s="533"/>
      <c r="AZ91" s="533"/>
      <c r="BA91" s="532">
        <f t="shared" ref="BA91" si="1918">BA79+BB79+BC79+BD79</f>
        <v>1454080</v>
      </c>
      <c r="BB91" s="533"/>
      <c r="BC91" s="533"/>
      <c r="BD91" s="533"/>
      <c r="BE91" s="532">
        <f t="shared" ref="BE91" si="1919">BE79+BF79+BG79+BH79</f>
        <v>1535508</v>
      </c>
      <c r="BF91" s="533"/>
      <c r="BG91" s="533"/>
      <c r="BH91" s="533"/>
      <c r="BI91" s="532">
        <f t="shared" ref="BI91" si="1920">BI79+BJ79+BK79+BL79</f>
        <v>1621492</v>
      </c>
      <c r="BJ91" s="533"/>
      <c r="BK91" s="533"/>
      <c r="BL91" s="533"/>
      <c r="BM91" s="532">
        <f t="shared" ref="BM91" si="1921">BM79+BN79+BO79+BP79</f>
        <v>1712292</v>
      </c>
      <c r="BN91" s="533"/>
      <c r="BO91" s="533"/>
      <c r="BP91" s="533"/>
      <c r="BQ91" s="532">
        <f t="shared" ref="BQ91" si="1922">BQ79+BR79+BS79+BT79</f>
        <v>1808184</v>
      </c>
      <c r="BR91" s="533"/>
      <c r="BS91" s="533"/>
      <c r="BT91" s="533"/>
      <c r="BU91" s="532">
        <f t="shared" ref="BU91" si="1923">BU79+BV79+BW79+BX79</f>
        <v>1909436</v>
      </c>
      <c r="BV91" s="533"/>
      <c r="BW91" s="533"/>
      <c r="BX91" s="533"/>
      <c r="BY91" s="532">
        <f t="shared" ref="BY91" si="1924">BY79+BZ79+CA79+CB79</f>
        <v>2016380</v>
      </c>
      <c r="BZ91" s="533"/>
      <c r="CA91" s="533"/>
      <c r="CB91" s="533"/>
      <c r="CC91" s="532">
        <f t="shared" ref="CC91" si="1925">CC79+CD79+CE79+CF79</f>
        <v>2129292</v>
      </c>
      <c r="CD91" s="533"/>
      <c r="CE91" s="533"/>
      <c r="CF91" s="533"/>
      <c r="CG91" s="532">
        <f t="shared" ref="CG91" si="1926">CG79+CH79+CI79+CJ79</f>
        <v>2248560</v>
      </c>
      <c r="CH91" s="533"/>
      <c r="CI91" s="533"/>
      <c r="CJ91" s="533"/>
      <c r="CK91" s="442"/>
      <c r="CL91" s="442"/>
      <c r="CM91" s="442"/>
      <c r="CN91" s="442"/>
      <c r="CO91" s="442"/>
      <c r="CP91" s="443"/>
    </row>
    <row r="92" spans="1:94" s="444" customFormat="1" ht="21" customHeight="1">
      <c r="A92" s="437"/>
      <c r="B92" s="437"/>
      <c r="C92" s="470"/>
      <c r="D92" s="471"/>
      <c r="E92" s="534">
        <f>I91/E91-1</f>
        <v>-1.9548533859961026E-3</v>
      </c>
      <c r="F92" s="534"/>
      <c r="G92" s="534"/>
      <c r="H92" s="534"/>
      <c r="I92" s="534">
        <f t="shared" ref="I92" si="1927">M91/I91-1</f>
        <v>5.6000280527391588E-2</v>
      </c>
      <c r="J92" s="534"/>
      <c r="K92" s="534"/>
      <c r="L92" s="534"/>
      <c r="M92" s="534">
        <f t="shared" ref="M92" si="1928">Q91/M91-1</f>
        <v>5.598592050397766E-2</v>
      </c>
      <c r="N92" s="534"/>
      <c r="O92" s="534"/>
      <c r="P92" s="534"/>
      <c r="Q92" s="534">
        <f t="shared" ref="Q92" si="1929">U91/Q91-1</f>
        <v>5.6000539071449529E-2</v>
      </c>
      <c r="R92" s="534"/>
      <c r="S92" s="534"/>
      <c r="T92" s="534"/>
      <c r="U92" s="534">
        <f t="shared" ref="U92" si="1930">Y91/U91-1</f>
        <v>5.6008610164588468E-2</v>
      </c>
      <c r="V92" s="534"/>
      <c r="W92" s="534"/>
      <c r="X92" s="534"/>
      <c r="Y92" s="534">
        <f t="shared" ref="Y92" si="1931">AC91/Y91-1</f>
        <v>5.6010989497939478E-2</v>
      </c>
      <c r="Z92" s="534"/>
      <c r="AA92" s="534"/>
      <c r="AB92" s="534"/>
      <c r="AC92" s="534">
        <f t="shared" ref="AC92" si="1932">AG91/AC91-1</f>
        <v>5.6004211473977827E-2</v>
      </c>
      <c r="AD92" s="534"/>
      <c r="AE92" s="534"/>
      <c r="AF92" s="534"/>
      <c r="AG92" s="534">
        <f t="shared" ref="AG92" si="1933">AK91/AG91-1</f>
        <v>5.6014334120843001E-2</v>
      </c>
      <c r="AH92" s="534"/>
      <c r="AI92" s="534"/>
      <c r="AJ92" s="534"/>
      <c r="AK92" s="534">
        <f t="shared" ref="AK92" si="1934">AO91/AK91-1</f>
        <v>5.6005582770039197E-2</v>
      </c>
      <c r="AL92" s="534"/>
      <c r="AM92" s="534"/>
      <c r="AN92" s="534"/>
      <c r="AO92" s="534">
        <f t="shared" ref="AO92" si="1935">AS91/AO91-1</f>
        <v>5.5999352121801182E-2</v>
      </c>
      <c r="AP92" s="534"/>
      <c r="AQ92" s="534"/>
      <c r="AR92" s="534"/>
      <c r="AS92" s="534">
        <f t="shared" ref="AS92" si="1936">AW91/AS91-1</f>
        <v>5.6002233217889108E-2</v>
      </c>
      <c r="AT92" s="534"/>
      <c r="AU92" s="534"/>
      <c r="AV92" s="534"/>
      <c r="AW92" s="534">
        <f t="shared" ref="AW92" si="1937">BA91/AW91-1</f>
        <v>5.5998233805770958E-2</v>
      </c>
      <c r="AX92" s="534"/>
      <c r="AY92" s="534"/>
      <c r="AZ92" s="534"/>
      <c r="BA92" s="534">
        <f t="shared" ref="BA92" si="1938">BE91/BA91-1</f>
        <v>5.5999669894366111E-2</v>
      </c>
      <c r="BB92" s="534"/>
      <c r="BC92" s="534"/>
      <c r="BD92" s="534"/>
      <c r="BE92" s="534">
        <f t="shared" ref="BE92" si="1939">BI91/BE91-1</f>
        <v>5.5997103238797807E-2</v>
      </c>
      <c r="BF92" s="534"/>
      <c r="BG92" s="534"/>
      <c r="BH92" s="534"/>
      <c r="BI92" s="534">
        <f t="shared" ref="BI92" si="1940">BM91/BI91-1</f>
        <v>5.5997809424900069E-2</v>
      </c>
      <c r="BJ92" s="534"/>
      <c r="BK92" s="534"/>
      <c r="BL92" s="534"/>
      <c r="BM92" s="534">
        <f t="shared" ref="BM92" si="1941">BQ91/BM91-1</f>
        <v>5.6002130477745604E-2</v>
      </c>
      <c r="BN92" s="534"/>
      <c r="BO92" s="534"/>
      <c r="BP92" s="534"/>
      <c r="BQ92" s="534">
        <f t="shared" ref="BQ92" si="1942">BU91/BQ91-1</f>
        <v>5.599651362914404E-2</v>
      </c>
      <c r="BR92" s="534"/>
      <c r="BS92" s="534"/>
      <c r="BT92" s="534"/>
      <c r="BU92" s="534">
        <f t="shared" ref="BU92" si="1943">BY91/BU91-1</f>
        <v>5.6008161572317583E-2</v>
      </c>
      <c r="BV92" s="534"/>
      <c r="BW92" s="534"/>
      <c r="BX92" s="534"/>
      <c r="BY92" s="534">
        <f>CC91/BY91-1</f>
        <v>5.5997381445957561E-2</v>
      </c>
      <c r="BZ92" s="534"/>
      <c r="CA92" s="534"/>
      <c r="CB92" s="534"/>
      <c r="CC92" s="534">
        <f t="shared" ref="CC92" si="1944">CG91/CC91-1</f>
        <v>5.6012984597697324E-2</v>
      </c>
      <c r="CD92" s="534"/>
      <c r="CE92" s="534"/>
      <c r="CF92" s="534"/>
      <c r="CG92" s="534"/>
      <c r="CH92" s="534"/>
      <c r="CI92" s="534"/>
      <c r="CJ92" s="534"/>
      <c r="CK92" s="442"/>
      <c r="CL92" s="442"/>
      <c r="CM92" s="442"/>
      <c r="CN92" s="442"/>
      <c r="CO92" s="442"/>
      <c r="CP92" s="443"/>
    </row>
    <row r="93" spans="1:94" s="444" customFormat="1" ht="21" customHeight="1">
      <c r="A93" s="437"/>
      <c r="B93" s="437"/>
      <c r="C93" s="470"/>
      <c r="D93" s="471"/>
      <c r="E93" s="276"/>
      <c r="F93" s="276"/>
      <c r="G93" s="472"/>
      <c r="H93" s="472"/>
      <c r="I93" s="276"/>
      <c r="J93" s="451"/>
      <c r="K93" s="442"/>
      <c r="L93" s="442"/>
      <c r="M93" s="442"/>
      <c r="N93" s="442"/>
      <c r="O93" s="442"/>
      <c r="P93" s="442"/>
      <c r="Q93" s="442"/>
      <c r="R93" s="442"/>
      <c r="S93" s="442"/>
      <c r="T93" s="442"/>
      <c r="U93" s="442"/>
      <c r="V93" s="442"/>
      <c r="W93" s="442"/>
      <c r="X93" s="442"/>
      <c r="Y93" s="442"/>
      <c r="Z93" s="442"/>
      <c r="AA93" s="442"/>
      <c r="AB93" s="442"/>
      <c r="AC93" s="442"/>
      <c r="AD93" s="442"/>
      <c r="AE93" s="442"/>
      <c r="AF93" s="442"/>
      <c r="AG93" s="442"/>
      <c r="AH93" s="442"/>
      <c r="AI93" s="442"/>
      <c r="AJ93" s="442"/>
      <c r="AK93" s="442"/>
      <c r="AL93" s="442"/>
      <c r="AM93" s="442"/>
      <c r="AN93" s="442"/>
      <c r="AO93" s="442"/>
      <c r="AP93" s="442"/>
      <c r="AQ93" s="442"/>
      <c r="AR93" s="442"/>
      <c r="AS93" s="442"/>
      <c r="AT93" s="442"/>
      <c r="AU93" s="442"/>
      <c r="AV93" s="442"/>
      <c r="AW93" s="442"/>
      <c r="AX93" s="442"/>
      <c r="AY93" s="442"/>
      <c r="AZ93" s="442"/>
      <c r="BA93" s="442"/>
      <c r="BB93" s="442"/>
      <c r="BC93" s="442"/>
      <c r="BD93" s="442"/>
      <c r="BE93" s="442"/>
      <c r="BF93" s="442"/>
      <c r="BG93" s="442"/>
      <c r="BH93" s="442"/>
      <c r="BI93" s="442"/>
      <c r="BJ93" s="442"/>
      <c r="BK93" s="442"/>
      <c r="BL93" s="442"/>
      <c r="BM93" s="442"/>
      <c r="BN93" s="442"/>
      <c r="BO93" s="442"/>
      <c r="BP93" s="442"/>
      <c r="BQ93" s="442"/>
      <c r="BR93" s="442"/>
      <c r="BS93" s="442"/>
      <c r="BT93" s="442"/>
      <c r="BU93" s="442"/>
      <c r="BV93" s="442"/>
      <c r="BW93" s="442"/>
      <c r="BX93" s="442"/>
      <c r="BY93" s="442"/>
      <c r="BZ93" s="442"/>
      <c r="CA93" s="442"/>
      <c r="CB93" s="442"/>
      <c r="CC93" s="442"/>
      <c r="CD93" s="442"/>
      <c r="CE93" s="442"/>
      <c r="CF93" s="442"/>
      <c r="CG93" s="442"/>
      <c r="CH93" s="442"/>
      <c r="CI93" s="442"/>
      <c r="CJ93" s="442"/>
      <c r="CK93" s="442"/>
      <c r="CL93" s="442"/>
      <c r="CM93" s="442"/>
      <c r="CN93" s="442"/>
      <c r="CO93" s="442"/>
      <c r="CP93" s="443"/>
    </row>
    <row r="94" spans="1:94" ht="21" customHeight="1">
      <c r="A94" s="54"/>
      <c r="B94" s="140"/>
      <c r="C94" s="18"/>
      <c r="D94" s="141"/>
      <c r="E94" s="135"/>
      <c r="F94" s="136"/>
      <c r="G94" s="137"/>
      <c r="H94" s="142"/>
      <c r="I94" s="136"/>
    </row>
    <row r="95" spans="1:94" ht="21" customHeight="1">
      <c r="A95" s="54"/>
      <c r="B95" s="140"/>
      <c r="C95" s="18"/>
      <c r="D95" s="141"/>
      <c r="E95" s="135"/>
      <c r="F95" s="136"/>
      <c r="G95" s="137"/>
      <c r="H95" s="142"/>
      <c r="I95" s="136"/>
    </row>
    <row r="96" spans="1:94" ht="21" customHeight="1">
      <c r="A96" s="54"/>
      <c r="B96" s="140"/>
      <c r="C96" s="18"/>
      <c r="D96" s="141"/>
      <c r="E96" s="434">
        <f>E78+F78+G78+H78</f>
        <v>800060</v>
      </c>
      <c r="F96" s="434">
        <f>I78+J78+K78+L78</f>
        <v>798496</v>
      </c>
      <c r="G96" s="435">
        <f>M78+N78+O78+P78</f>
        <v>843212</v>
      </c>
      <c r="H96" s="142"/>
      <c r="I96" s="136"/>
    </row>
    <row r="97" spans="1:9" ht="21" customHeight="1">
      <c r="A97" s="54"/>
      <c r="B97" s="140"/>
      <c r="C97" s="18"/>
      <c r="D97" s="141">
        <f>F73</f>
        <v>711.8599999999999</v>
      </c>
      <c r="E97" s="369">
        <f>ROUND(E96/D97/365,2)</f>
        <v>3.08</v>
      </c>
      <c r="F97" s="368">
        <f>ROUND(F96/D97/365,2)</f>
        <v>3.07</v>
      </c>
      <c r="G97" s="368">
        <f>ROUND(G96/D97/365,2)</f>
        <v>3.25</v>
      </c>
      <c r="H97" s="142"/>
      <c r="I97" s="136"/>
    </row>
    <row r="98" spans="1:9" ht="21" customHeight="1">
      <c r="A98" s="54"/>
      <c r="B98" s="140"/>
      <c r="C98" s="18"/>
      <c r="D98" s="141"/>
      <c r="E98" s="420">
        <f>ROUND(F97/E97-1,3)</f>
        <v>-3.0000000000000001E-3</v>
      </c>
      <c r="F98" s="420">
        <f>ROUND(G97/F97-1,3)</f>
        <v>5.8999999999999997E-2</v>
      </c>
      <c r="G98" s="414"/>
      <c r="H98" s="142"/>
      <c r="I98" s="136"/>
    </row>
    <row r="99" spans="1:9" ht="21" customHeight="1">
      <c r="A99" s="54"/>
      <c r="B99" s="140"/>
      <c r="C99" s="18"/>
      <c r="D99" s="141"/>
      <c r="E99" s="135"/>
      <c r="F99" s="136"/>
      <c r="G99" s="137"/>
      <c r="H99" s="142"/>
      <c r="I99" s="136"/>
    </row>
    <row r="100" spans="1:9" ht="21" customHeight="1">
      <c r="A100" s="54"/>
      <c r="B100" s="140"/>
      <c r="C100" s="18"/>
      <c r="D100" s="141"/>
      <c r="E100" s="135"/>
      <c r="F100" s="136"/>
      <c r="G100" s="137"/>
      <c r="H100" s="142"/>
      <c r="I100" s="136"/>
    </row>
    <row r="101" spans="1:9" ht="21" customHeight="1">
      <c r="A101" s="54"/>
      <c r="B101" s="140"/>
      <c r="C101" s="18"/>
      <c r="D101" s="141"/>
      <c r="E101" s="135"/>
      <c r="F101" s="136"/>
      <c r="G101" s="137"/>
      <c r="H101" s="142"/>
      <c r="I101" s="136"/>
    </row>
    <row r="102" spans="1:9" ht="21" customHeight="1">
      <c r="A102" s="54"/>
      <c r="B102" s="140"/>
      <c r="C102" s="18"/>
      <c r="D102" s="141"/>
      <c r="E102" s="135"/>
      <c r="F102" s="136"/>
      <c r="G102" s="137"/>
      <c r="H102" s="142"/>
      <c r="I102" s="136"/>
    </row>
    <row r="103" spans="1:9" ht="21" customHeight="1">
      <c r="A103" s="54"/>
      <c r="B103" s="140"/>
      <c r="C103" s="18"/>
      <c r="D103" s="141"/>
      <c r="E103" s="135"/>
      <c r="F103" s="136"/>
      <c r="G103" s="137"/>
      <c r="H103" s="142"/>
      <c r="I103" s="136"/>
    </row>
    <row r="104" spans="1:9" ht="21" customHeight="1">
      <c r="A104" s="54"/>
      <c r="B104" s="140"/>
      <c r="C104" s="18"/>
      <c r="D104" s="141"/>
      <c r="E104" s="135"/>
      <c r="F104" s="136"/>
      <c r="G104" s="137"/>
      <c r="H104" s="142"/>
      <c r="I104" s="136"/>
    </row>
    <row r="105" spans="1:9" ht="21" customHeight="1">
      <c r="A105" s="54"/>
      <c r="B105" s="140"/>
      <c r="C105" s="18"/>
      <c r="D105" s="141"/>
      <c r="E105" s="135"/>
      <c r="F105" s="136"/>
      <c r="G105" s="137"/>
      <c r="H105" s="142"/>
      <c r="I105" s="136"/>
    </row>
    <row r="106" spans="1:9">
      <c r="A106" s="54"/>
      <c r="B106" s="140"/>
      <c r="C106" s="18"/>
      <c r="D106" s="141"/>
      <c r="E106" s="135"/>
      <c r="F106" s="136"/>
      <c r="G106" s="137"/>
      <c r="H106" s="142"/>
      <c r="I106" s="136"/>
    </row>
    <row r="107" spans="1:9">
      <c r="A107" s="54"/>
      <c r="B107" s="140"/>
      <c r="C107" s="18"/>
      <c r="D107" s="141"/>
      <c r="E107" s="135"/>
      <c r="F107" s="136"/>
      <c r="G107" s="137"/>
      <c r="H107" s="142"/>
      <c r="I107" s="136"/>
    </row>
    <row r="108" spans="1:9">
      <c r="A108" s="54"/>
      <c r="B108" s="140"/>
      <c r="C108" s="18"/>
      <c r="D108" s="141"/>
      <c r="E108" s="135"/>
      <c r="F108" s="136"/>
      <c r="G108" s="137"/>
      <c r="H108" s="142"/>
      <c r="I108" s="136"/>
    </row>
    <row r="109" spans="1:9">
      <c r="A109" s="54"/>
      <c r="B109" s="140"/>
      <c r="C109" s="18"/>
      <c r="D109" s="141"/>
      <c r="E109" s="135"/>
      <c r="F109" s="136"/>
      <c r="G109" s="137"/>
      <c r="H109" s="142"/>
      <c r="I109" s="136"/>
    </row>
    <row r="110" spans="1:9">
      <c r="A110" s="54"/>
      <c r="B110" s="140"/>
      <c r="C110" s="18"/>
      <c r="D110" s="141"/>
      <c r="E110" s="135"/>
      <c r="F110" s="136"/>
      <c r="G110" s="137"/>
      <c r="H110" s="142"/>
      <c r="I110" s="136"/>
    </row>
    <row r="111" spans="1:9">
      <c r="A111" s="54"/>
      <c r="B111" s="140"/>
      <c r="C111" s="18"/>
      <c r="D111" s="141"/>
      <c r="E111" s="135"/>
      <c r="F111" s="136"/>
      <c r="G111" s="137"/>
      <c r="H111" s="142"/>
      <c r="I111" s="136"/>
    </row>
    <row r="112" spans="1:9">
      <c r="A112" s="54"/>
      <c r="B112" s="140"/>
      <c r="C112" s="18"/>
      <c r="D112" s="141"/>
      <c r="E112" s="135"/>
      <c r="F112" s="136"/>
      <c r="G112" s="137"/>
      <c r="H112" s="142"/>
      <c r="I112" s="136"/>
    </row>
    <row r="113" spans="1:9">
      <c r="A113" s="54"/>
      <c r="B113" s="140"/>
      <c r="C113" s="18"/>
      <c r="D113" s="141"/>
      <c r="E113" s="135"/>
      <c r="F113" s="136"/>
      <c r="G113" s="137"/>
      <c r="H113" s="142"/>
      <c r="I113" s="136"/>
    </row>
    <row r="114" spans="1:9">
      <c r="A114" s="54"/>
      <c r="B114" s="140"/>
      <c r="C114" s="18"/>
      <c r="D114" s="141"/>
      <c r="E114" s="135"/>
      <c r="F114" s="136"/>
      <c r="G114" s="137"/>
      <c r="H114" s="142"/>
      <c r="I114" s="136"/>
    </row>
    <row r="115" spans="1:9">
      <c r="A115" s="54"/>
      <c r="B115" s="140"/>
      <c r="C115" s="18"/>
      <c r="D115" s="141"/>
      <c r="E115" s="135"/>
      <c r="F115" s="136"/>
      <c r="G115" s="137"/>
      <c r="H115" s="142"/>
      <c r="I115" s="136"/>
    </row>
    <row r="116" spans="1:9">
      <c r="A116" s="54"/>
      <c r="B116" s="140"/>
      <c r="C116" s="18"/>
      <c r="D116" s="141"/>
      <c r="E116" s="135"/>
      <c r="F116" s="136"/>
      <c r="G116" s="137"/>
      <c r="H116" s="142"/>
      <c r="I116" s="136"/>
    </row>
    <row r="117" spans="1:9">
      <c r="A117" s="54"/>
      <c r="B117" s="140"/>
      <c r="C117" s="18"/>
      <c r="D117" s="141"/>
      <c r="E117" s="135"/>
      <c r="F117" s="136"/>
      <c r="G117" s="137"/>
      <c r="H117" s="142"/>
      <c r="I117" s="136"/>
    </row>
    <row r="118" spans="1:9">
      <c r="A118" s="54"/>
      <c r="B118" s="140"/>
      <c r="C118" s="18"/>
      <c r="D118" s="141"/>
      <c r="E118" s="135"/>
      <c r="F118" s="136"/>
      <c r="G118" s="137"/>
      <c r="H118" s="142"/>
      <c r="I118" s="136"/>
    </row>
    <row r="119" spans="1:9">
      <c r="A119" s="54"/>
      <c r="B119" s="140"/>
      <c r="C119" s="18"/>
      <c r="D119" s="141"/>
      <c r="E119" s="135"/>
      <c r="F119" s="136"/>
      <c r="G119" s="137"/>
      <c r="H119" s="142"/>
      <c r="I119" s="136"/>
    </row>
    <row r="120" spans="1:9">
      <c r="A120" s="54"/>
      <c r="B120" s="140"/>
      <c r="C120" s="18"/>
      <c r="D120" s="141"/>
      <c r="E120" s="135"/>
      <c r="F120" s="136"/>
      <c r="G120" s="137"/>
      <c r="H120" s="142"/>
      <c r="I120" s="136"/>
    </row>
    <row r="121" spans="1:9">
      <c r="A121" s="54"/>
      <c r="B121" s="140"/>
      <c r="C121" s="18"/>
      <c r="D121" s="141"/>
      <c r="E121" s="135"/>
      <c r="F121" s="136"/>
      <c r="G121" s="137"/>
      <c r="H121" s="142"/>
      <c r="I121" s="136"/>
    </row>
    <row r="122" spans="1:9">
      <c r="A122" s="54"/>
      <c r="B122" s="140"/>
      <c r="C122" s="18"/>
      <c r="D122" s="141"/>
      <c r="E122" s="135"/>
      <c r="F122" s="136"/>
      <c r="G122" s="137"/>
      <c r="H122" s="142"/>
      <c r="I122" s="136"/>
    </row>
    <row r="123" spans="1:9">
      <c r="A123" s="54"/>
      <c r="B123" s="140"/>
      <c r="C123" s="18"/>
      <c r="D123" s="141"/>
      <c r="E123" s="135"/>
      <c r="F123" s="136"/>
      <c r="G123" s="137"/>
      <c r="H123" s="142"/>
      <c r="I123" s="136"/>
    </row>
    <row r="124" spans="1:9">
      <c r="A124" s="54"/>
      <c r="B124" s="140"/>
      <c r="C124" s="18"/>
      <c r="D124" s="141"/>
      <c r="E124" s="135"/>
      <c r="F124" s="136"/>
      <c r="G124" s="137"/>
      <c r="H124" s="142"/>
      <c r="I124" s="136"/>
    </row>
    <row r="125" spans="1:9">
      <c r="A125" s="54"/>
      <c r="B125" s="140"/>
      <c r="C125" s="18"/>
      <c r="D125" s="141"/>
      <c r="E125" s="135"/>
      <c r="F125" s="136"/>
      <c r="G125" s="137"/>
      <c r="H125" s="142"/>
      <c r="I125" s="136"/>
    </row>
    <row r="126" spans="1:9">
      <c r="A126" s="54"/>
      <c r="B126" s="140"/>
      <c r="C126" s="18"/>
      <c r="D126" s="141"/>
      <c r="E126" s="135"/>
      <c r="F126" s="136"/>
      <c r="G126" s="137"/>
      <c r="H126" s="142"/>
      <c r="I126" s="136"/>
    </row>
    <row r="127" spans="1:9">
      <c r="A127" s="54"/>
      <c r="B127" s="140"/>
      <c r="C127" s="18"/>
      <c r="D127" s="141"/>
      <c r="E127" s="135"/>
      <c r="F127" s="136"/>
      <c r="G127" s="137"/>
      <c r="H127" s="142"/>
      <c r="I127" s="136"/>
    </row>
    <row r="128" spans="1:9">
      <c r="A128" s="54"/>
      <c r="B128" s="140"/>
      <c r="C128" s="18"/>
      <c r="D128" s="141"/>
      <c r="E128" s="135"/>
      <c r="F128" s="136"/>
      <c r="G128" s="137"/>
      <c r="H128" s="142"/>
      <c r="I128" s="136"/>
    </row>
    <row r="129" spans="1:9">
      <c r="A129" s="54"/>
      <c r="B129" s="140"/>
      <c r="C129" s="18"/>
      <c r="D129" s="141"/>
      <c r="E129" s="135"/>
      <c r="F129" s="136"/>
      <c r="G129" s="137"/>
      <c r="H129" s="142"/>
      <c r="I129" s="136"/>
    </row>
    <row r="130" spans="1:9">
      <c r="A130" s="54"/>
      <c r="B130" s="140"/>
      <c r="C130" s="18"/>
      <c r="D130" s="141"/>
      <c r="E130" s="135"/>
      <c r="F130" s="136"/>
      <c r="G130" s="137"/>
      <c r="H130" s="142"/>
      <c r="I130" s="136"/>
    </row>
    <row r="131" spans="1:9">
      <c r="A131" s="54"/>
      <c r="B131" s="140"/>
      <c r="C131" s="18"/>
      <c r="D131" s="141"/>
      <c r="E131" s="135"/>
      <c r="F131" s="136"/>
      <c r="G131" s="137"/>
      <c r="H131" s="142"/>
      <c r="I131" s="136"/>
    </row>
    <row r="132" spans="1:9">
      <c r="A132" s="54"/>
      <c r="B132" s="140"/>
      <c r="C132" s="18"/>
      <c r="D132" s="141"/>
      <c r="E132" s="135"/>
      <c r="F132" s="136"/>
      <c r="G132" s="137"/>
      <c r="H132" s="142"/>
      <c r="I132" s="136"/>
    </row>
    <row r="133" spans="1:9">
      <c r="A133" s="54"/>
      <c r="B133" s="140"/>
      <c r="C133" s="18"/>
      <c r="D133" s="141"/>
      <c r="E133" s="135"/>
      <c r="F133" s="136"/>
      <c r="G133" s="137"/>
      <c r="H133" s="142"/>
      <c r="I133" s="136"/>
    </row>
    <row r="134" spans="1:9">
      <c r="A134" s="54"/>
      <c r="B134" s="140"/>
      <c r="C134" s="18"/>
      <c r="D134" s="141"/>
      <c r="E134" s="135"/>
      <c r="F134" s="136"/>
      <c r="G134" s="137"/>
      <c r="H134" s="142"/>
      <c r="I134" s="136"/>
    </row>
    <row r="135" spans="1:9">
      <c r="A135" s="54"/>
      <c r="B135" s="140"/>
      <c r="C135" s="18"/>
      <c r="D135" s="141"/>
      <c r="E135" s="135"/>
      <c r="F135" s="136"/>
      <c r="G135" s="137"/>
      <c r="H135" s="142"/>
      <c r="I135" s="136"/>
    </row>
    <row r="136" spans="1:9">
      <c r="A136" s="54"/>
      <c r="B136" s="140"/>
      <c r="C136" s="18"/>
      <c r="D136" s="141"/>
      <c r="E136" s="135"/>
      <c r="F136" s="136"/>
      <c r="G136" s="137"/>
      <c r="H136" s="142"/>
      <c r="I136" s="136"/>
    </row>
    <row r="137" spans="1:9">
      <c r="A137" s="54"/>
      <c r="B137" s="140"/>
      <c r="C137" s="18"/>
      <c r="D137" s="141"/>
      <c r="E137" s="135"/>
      <c r="F137" s="136"/>
      <c r="G137" s="137"/>
      <c r="H137" s="142"/>
      <c r="I137" s="136"/>
    </row>
    <row r="138" spans="1:9">
      <c r="A138" s="54"/>
      <c r="B138" s="140"/>
      <c r="C138" s="18"/>
      <c r="D138" s="141"/>
      <c r="E138" s="135"/>
      <c r="F138" s="136"/>
      <c r="G138" s="137"/>
      <c r="H138" s="142"/>
      <c r="I138" s="136"/>
    </row>
    <row r="139" spans="1:9">
      <c r="A139" s="54"/>
      <c r="B139" s="140"/>
      <c r="C139" s="18"/>
      <c r="D139" s="141"/>
      <c r="E139" s="135"/>
      <c r="F139" s="136"/>
      <c r="G139" s="137"/>
      <c r="H139" s="142"/>
      <c r="I139" s="136"/>
    </row>
    <row r="140" spans="1:9">
      <c r="A140" s="54"/>
      <c r="B140" s="140"/>
      <c r="C140" s="18"/>
      <c r="D140" s="141"/>
      <c r="E140" s="135"/>
      <c r="F140" s="136"/>
      <c r="G140" s="137"/>
      <c r="H140" s="142"/>
      <c r="I140" s="136"/>
    </row>
    <row r="141" spans="1:9">
      <c r="A141" s="54"/>
      <c r="B141" s="140"/>
      <c r="C141" s="18"/>
      <c r="D141" s="141"/>
      <c r="E141" s="135"/>
      <c r="F141" s="136"/>
      <c r="G141" s="137"/>
      <c r="H141" s="142"/>
      <c r="I141" s="136"/>
    </row>
    <row r="142" spans="1:9">
      <c r="A142" s="54"/>
      <c r="B142" s="140"/>
      <c r="C142" s="18"/>
      <c r="D142" s="141"/>
      <c r="E142" s="135"/>
      <c r="F142" s="136"/>
      <c r="G142" s="137"/>
      <c r="H142" s="142"/>
      <c r="I142" s="136"/>
    </row>
    <row r="143" spans="1:9">
      <c r="A143" s="54"/>
      <c r="B143" s="140"/>
      <c r="C143" s="18"/>
      <c r="D143" s="141"/>
      <c r="E143" s="135"/>
      <c r="F143" s="136"/>
      <c r="G143" s="137"/>
      <c r="H143" s="142"/>
      <c r="I143" s="136"/>
    </row>
    <row r="144" spans="1:9">
      <c r="A144" s="54"/>
      <c r="B144" s="140"/>
      <c r="C144" s="18"/>
      <c r="D144" s="141"/>
      <c r="E144" s="135"/>
      <c r="F144" s="136"/>
      <c r="G144" s="137"/>
      <c r="H144" s="142"/>
      <c r="I144" s="136"/>
    </row>
    <row r="145" spans="1:9">
      <c r="A145" s="54"/>
      <c r="B145" s="140"/>
      <c r="C145" s="18"/>
      <c r="D145" s="141"/>
      <c r="E145" s="135"/>
      <c r="F145" s="136"/>
      <c r="G145" s="137"/>
      <c r="H145" s="142"/>
      <c r="I145" s="136"/>
    </row>
    <row r="146" spans="1:9">
      <c r="A146" s="54"/>
      <c r="B146" s="140"/>
      <c r="C146" s="18"/>
      <c r="D146" s="141"/>
      <c r="E146" s="135"/>
      <c r="F146" s="136"/>
      <c r="G146" s="137"/>
      <c r="H146" s="142"/>
      <c r="I146" s="136"/>
    </row>
    <row r="147" spans="1:9">
      <c r="A147" s="54"/>
      <c r="B147" s="140"/>
      <c r="C147" s="18"/>
      <c r="D147" s="141"/>
      <c r="E147" s="135"/>
      <c r="F147" s="136"/>
      <c r="G147" s="137"/>
      <c r="H147" s="142"/>
      <c r="I147" s="136"/>
    </row>
    <row r="148" spans="1:9">
      <c r="A148" s="54"/>
      <c r="B148" s="140"/>
      <c r="C148" s="18"/>
      <c r="D148" s="141"/>
      <c r="E148" s="135"/>
      <c r="F148" s="136"/>
      <c r="G148" s="137"/>
      <c r="H148" s="142"/>
      <c r="I148" s="136"/>
    </row>
    <row r="149" spans="1:9">
      <c r="A149" s="54"/>
      <c r="B149" s="140"/>
      <c r="C149" s="18"/>
      <c r="D149" s="141"/>
      <c r="E149" s="135"/>
      <c r="F149" s="136"/>
      <c r="G149" s="137"/>
      <c r="H149" s="142"/>
      <c r="I149" s="136"/>
    </row>
    <row r="150" spans="1:9">
      <c r="A150" s="54"/>
      <c r="B150" s="140"/>
      <c r="C150" s="18"/>
      <c r="D150" s="141"/>
      <c r="E150" s="135"/>
      <c r="F150" s="136"/>
      <c r="G150" s="137"/>
      <c r="H150" s="142"/>
      <c r="I150" s="136"/>
    </row>
    <row r="151" spans="1:9">
      <c r="A151" s="54"/>
      <c r="B151" s="140"/>
      <c r="C151" s="18"/>
      <c r="D151" s="141"/>
      <c r="E151" s="135"/>
      <c r="F151" s="136"/>
      <c r="G151" s="137"/>
      <c r="H151" s="142"/>
      <c r="I151" s="136"/>
    </row>
    <row r="152" spans="1:9">
      <c r="A152" s="54"/>
      <c r="B152" s="140"/>
      <c r="C152" s="18"/>
      <c r="D152" s="141"/>
      <c r="E152" s="135"/>
      <c r="F152" s="136"/>
      <c r="G152" s="137"/>
      <c r="H152" s="142"/>
      <c r="I152" s="136"/>
    </row>
    <row r="153" spans="1:9">
      <c r="A153" s="54"/>
      <c r="B153" s="140"/>
      <c r="C153" s="18"/>
      <c r="D153" s="141"/>
      <c r="E153" s="135"/>
      <c r="F153" s="136"/>
      <c r="G153" s="137"/>
      <c r="H153" s="142"/>
      <c r="I153" s="136"/>
    </row>
    <row r="154" spans="1:9">
      <c r="A154" s="54"/>
      <c r="B154" s="140"/>
      <c r="C154" s="18"/>
      <c r="D154" s="141"/>
      <c r="E154" s="135"/>
      <c r="F154" s="136"/>
      <c r="G154" s="137"/>
      <c r="H154" s="142"/>
      <c r="I154" s="136"/>
    </row>
    <row r="155" spans="1:9">
      <c r="A155" s="54"/>
      <c r="B155" s="140"/>
      <c r="C155" s="18"/>
      <c r="D155" s="141"/>
      <c r="E155" s="135"/>
      <c r="F155" s="136"/>
      <c r="G155" s="137"/>
      <c r="H155" s="142"/>
      <c r="I155" s="136"/>
    </row>
    <row r="156" spans="1:9">
      <c r="A156" s="54"/>
      <c r="B156" s="140"/>
      <c r="C156" s="18"/>
      <c r="D156" s="141"/>
      <c r="E156" s="135"/>
      <c r="F156" s="136"/>
      <c r="G156" s="137"/>
      <c r="H156" s="142"/>
      <c r="I156" s="136"/>
    </row>
    <row r="157" spans="1:9">
      <c r="A157" s="54"/>
      <c r="B157" s="140"/>
      <c r="C157" s="18"/>
      <c r="D157" s="141"/>
      <c r="E157" s="135"/>
      <c r="F157" s="136"/>
      <c r="G157" s="137"/>
      <c r="H157" s="142"/>
      <c r="I157" s="136"/>
    </row>
    <row r="158" spans="1:9">
      <c r="A158" s="54"/>
      <c r="B158" s="140"/>
      <c r="C158" s="18"/>
      <c r="D158" s="141"/>
      <c r="E158" s="135"/>
      <c r="F158" s="136"/>
      <c r="G158" s="137"/>
      <c r="H158" s="142"/>
      <c r="I158" s="136"/>
    </row>
    <row r="159" spans="1:9">
      <c r="A159" s="54"/>
      <c r="B159" s="140"/>
      <c r="C159" s="18"/>
      <c r="D159" s="141"/>
      <c r="E159" s="135"/>
      <c r="F159" s="136"/>
      <c r="G159" s="137"/>
      <c r="H159" s="142"/>
      <c r="I159" s="136"/>
    </row>
    <row r="160" spans="1:9">
      <c r="A160" s="54"/>
      <c r="B160" s="140"/>
      <c r="C160" s="18"/>
      <c r="D160" s="141"/>
      <c r="E160" s="135"/>
      <c r="F160" s="136"/>
      <c r="G160" s="137"/>
      <c r="H160" s="142"/>
      <c r="I160" s="136"/>
    </row>
    <row r="161" spans="1:9">
      <c r="A161" s="54"/>
      <c r="B161" s="140"/>
      <c r="C161" s="18"/>
      <c r="D161" s="141"/>
      <c r="E161" s="135"/>
      <c r="F161" s="136"/>
      <c r="G161" s="137"/>
      <c r="H161" s="142"/>
      <c r="I161" s="136"/>
    </row>
    <row r="162" spans="1:9">
      <c r="A162" s="54"/>
      <c r="B162" s="140"/>
      <c r="C162" s="18"/>
      <c r="D162" s="141"/>
      <c r="E162" s="135"/>
      <c r="F162" s="136"/>
      <c r="G162" s="137"/>
      <c r="H162" s="142"/>
      <c r="I162" s="136"/>
    </row>
    <row r="163" spans="1:9">
      <c r="A163" s="54"/>
      <c r="B163" s="140"/>
      <c r="C163" s="18"/>
      <c r="D163" s="141"/>
      <c r="E163" s="135"/>
      <c r="F163" s="136"/>
      <c r="G163" s="137"/>
      <c r="H163" s="142"/>
      <c r="I163" s="136"/>
    </row>
    <row r="164" spans="1:9">
      <c r="A164" s="54"/>
      <c r="B164" s="140"/>
      <c r="C164" s="18"/>
      <c r="D164" s="141"/>
      <c r="E164" s="135"/>
      <c r="F164" s="136"/>
      <c r="G164" s="137"/>
      <c r="H164" s="142"/>
      <c r="I164" s="136"/>
    </row>
    <row r="165" spans="1:9">
      <c r="A165" s="54"/>
      <c r="B165" s="140"/>
      <c r="C165" s="18"/>
      <c r="D165" s="141"/>
      <c r="E165" s="135"/>
      <c r="F165" s="136"/>
      <c r="G165" s="137"/>
      <c r="H165" s="142"/>
      <c r="I165" s="136"/>
    </row>
    <row r="166" spans="1:9">
      <c r="A166" s="54"/>
      <c r="B166" s="140"/>
      <c r="C166" s="18"/>
      <c r="D166" s="141"/>
      <c r="E166" s="135"/>
      <c r="F166" s="136"/>
      <c r="G166" s="137"/>
      <c r="H166" s="142"/>
      <c r="I166" s="136"/>
    </row>
    <row r="167" spans="1:9">
      <c r="A167" s="54"/>
      <c r="B167" s="140"/>
      <c r="C167" s="18"/>
      <c r="D167" s="141"/>
      <c r="E167" s="135"/>
      <c r="F167" s="136"/>
      <c r="G167" s="137"/>
      <c r="H167" s="142"/>
      <c r="I167" s="136"/>
    </row>
    <row r="168" spans="1:9">
      <c r="A168" s="54"/>
      <c r="B168" s="140"/>
      <c r="C168" s="18"/>
      <c r="D168" s="141"/>
      <c r="E168" s="135"/>
      <c r="F168" s="136"/>
      <c r="G168" s="137"/>
      <c r="H168" s="142"/>
      <c r="I168" s="136"/>
    </row>
    <row r="169" spans="1:9">
      <c r="A169" s="54"/>
      <c r="B169" s="140"/>
      <c r="C169" s="18"/>
      <c r="D169" s="141"/>
      <c r="E169" s="135"/>
      <c r="F169" s="136"/>
      <c r="G169" s="137"/>
      <c r="H169" s="142"/>
      <c r="I169" s="136"/>
    </row>
    <row r="170" spans="1:9">
      <c r="A170" s="54"/>
      <c r="B170" s="140"/>
      <c r="C170" s="18"/>
      <c r="D170" s="141"/>
      <c r="E170" s="135"/>
      <c r="F170" s="136"/>
      <c r="G170" s="137"/>
      <c r="H170" s="142"/>
      <c r="I170" s="136"/>
    </row>
    <row r="171" spans="1:9">
      <c r="A171" s="54"/>
      <c r="B171" s="140"/>
      <c r="C171" s="18"/>
      <c r="D171" s="141"/>
      <c r="E171" s="135"/>
      <c r="F171" s="136"/>
      <c r="G171" s="137"/>
      <c r="H171" s="142"/>
      <c r="I171" s="136"/>
    </row>
    <row r="172" spans="1:9">
      <c r="A172" s="54"/>
      <c r="B172" s="140"/>
      <c r="C172" s="18"/>
      <c r="D172" s="141"/>
      <c r="E172" s="135"/>
      <c r="F172" s="136"/>
      <c r="G172" s="137"/>
      <c r="H172" s="142"/>
      <c r="I172" s="136"/>
    </row>
    <row r="173" spans="1:9">
      <c r="A173" s="54"/>
      <c r="B173" s="140"/>
      <c r="C173" s="18"/>
      <c r="D173" s="141"/>
      <c r="E173" s="135"/>
      <c r="F173" s="136"/>
      <c r="G173" s="137"/>
      <c r="H173" s="142"/>
      <c r="I173" s="136"/>
    </row>
    <row r="174" spans="1:9">
      <c r="A174" s="54"/>
      <c r="B174" s="140"/>
      <c r="C174" s="18"/>
      <c r="D174" s="141"/>
      <c r="E174" s="135"/>
      <c r="F174" s="136"/>
      <c r="G174" s="137"/>
      <c r="H174" s="142"/>
      <c r="I174" s="136"/>
    </row>
    <row r="175" spans="1:9">
      <c r="A175" s="54"/>
      <c r="B175" s="140"/>
      <c r="C175" s="18"/>
      <c r="D175" s="141"/>
      <c r="E175" s="135"/>
      <c r="F175" s="136"/>
      <c r="G175" s="137"/>
      <c r="H175" s="142"/>
      <c r="I175" s="136"/>
    </row>
    <row r="176" spans="1:9">
      <c r="A176" s="54"/>
      <c r="B176" s="140"/>
      <c r="C176" s="18"/>
      <c r="D176" s="141"/>
      <c r="E176" s="135"/>
      <c r="F176" s="136"/>
      <c r="G176" s="137"/>
      <c r="H176" s="142"/>
      <c r="I176" s="136"/>
    </row>
    <row r="177" spans="1:9">
      <c r="A177" s="54"/>
      <c r="B177" s="140"/>
      <c r="C177" s="18"/>
      <c r="D177" s="141"/>
      <c r="E177" s="135"/>
      <c r="F177" s="136"/>
      <c r="G177" s="137"/>
      <c r="H177" s="142"/>
      <c r="I177" s="136"/>
    </row>
    <row r="178" spans="1:9">
      <c r="A178" s="54"/>
      <c r="B178" s="140"/>
      <c r="C178" s="18"/>
      <c r="D178" s="141"/>
      <c r="E178" s="135"/>
      <c r="F178" s="136"/>
      <c r="G178" s="137"/>
      <c r="H178" s="142"/>
      <c r="I178" s="136"/>
    </row>
    <row r="179" spans="1:9">
      <c r="A179" s="54"/>
      <c r="B179" s="140"/>
      <c r="C179" s="18"/>
      <c r="D179" s="141"/>
      <c r="E179" s="135"/>
      <c r="F179" s="136"/>
      <c r="G179" s="137"/>
      <c r="H179" s="142"/>
      <c r="I179" s="136"/>
    </row>
    <row r="180" spans="1:9">
      <c r="A180" s="54"/>
      <c r="B180" s="140"/>
      <c r="C180" s="18"/>
      <c r="D180" s="141"/>
      <c r="E180" s="135"/>
      <c r="F180" s="136"/>
      <c r="G180" s="137"/>
      <c r="H180" s="142"/>
      <c r="I180" s="136"/>
    </row>
    <row r="181" spans="1:9">
      <c r="A181" s="54"/>
      <c r="B181" s="140"/>
      <c r="C181" s="18"/>
      <c r="D181" s="141"/>
      <c r="E181" s="135"/>
      <c r="F181" s="136"/>
      <c r="G181" s="137"/>
      <c r="H181" s="142"/>
      <c r="I181" s="136"/>
    </row>
    <row r="182" spans="1:9">
      <c r="A182" s="54"/>
      <c r="B182" s="140"/>
      <c r="C182" s="18"/>
      <c r="D182" s="141"/>
      <c r="E182" s="135"/>
      <c r="F182" s="136"/>
      <c r="G182" s="137"/>
      <c r="H182" s="142"/>
      <c r="I182" s="136"/>
    </row>
    <row r="183" spans="1:9">
      <c r="A183" s="54"/>
      <c r="B183" s="140"/>
      <c r="C183" s="18"/>
      <c r="D183" s="141"/>
      <c r="E183" s="135"/>
      <c r="F183" s="136"/>
      <c r="G183" s="137"/>
      <c r="H183" s="142"/>
      <c r="I183" s="136"/>
    </row>
    <row r="184" spans="1:9">
      <c r="A184" s="54"/>
      <c r="B184" s="140"/>
      <c r="C184" s="18"/>
      <c r="D184" s="141"/>
      <c r="E184" s="135"/>
      <c r="F184" s="136"/>
      <c r="G184" s="137"/>
      <c r="H184" s="142"/>
      <c r="I184" s="136"/>
    </row>
    <row r="185" spans="1:9">
      <c r="A185" s="54"/>
      <c r="B185" s="140"/>
      <c r="C185" s="18"/>
      <c r="D185" s="141"/>
      <c r="E185" s="135"/>
      <c r="F185" s="136"/>
      <c r="G185" s="137"/>
      <c r="H185" s="142"/>
      <c r="I185" s="136"/>
    </row>
    <row r="186" spans="1:9">
      <c r="A186" s="54"/>
      <c r="B186" s="140"/>
      <c r="C186" s="18"/>
      <c r="D186" s="141"/>
      <c r="E186" s="135"/>
      <c r="F186" s="136"/>
      <c r="G186" s="137"/>
      <c r="H186" s="142"/>
      <c r="I186" s="136"/>
    </row>
    <row r="187" spans="1:9">
      <c r="A187" s="54"/>
      <c r="B187" s="140"/>
      <c r="C187" s="18"/>
      <c r="D187" s="141"/>
      <c r="E187" s="135"/>
      <c r="F187" s="136"/>
      <c r="G187" s="137"/>
      <c r="H187" s="142"/>
      <c r="I187" s="136"/>
    </row>
    <row r="188" spans="1:9">
      <c r="A188" s="54"/>
      <c r="B188" s="140"/>
      <c r="C188" s="18"/>
      <c r="D188" s="141"/>
      <c r="E188" s="135"/>
      <c r="F188" s="136"/>
      <c r="G188" s="137"/>
      <c r="H188" s="142"/>
      <c r="I188" s="136"/>
    </row>
    <row r="189" spans="1:9">
      <c r="A189" s="54"/>
      <c r="B189" s="140"/>
      <c r="C189" s="18"/>
      <c r="D189" s="141"/>
      <c r="E189" s="135"/>
      <c r="F189" s="136"/>
      <c r="G189" s="137"/>
      <c r="H189" s="142"/>
      <c r="I189" s="136"/>
    </row>
    <row r="190" spans="1:9">
      <c r="A190" s="54"/>
      <c r="B190" s="140"/>
      <c r="C190" s="18"/>
      <c r="D190" s="141"/>
      <c r="E190" s="135"/>
      <c r="F190" s="136"/>
      <c r="G190" s="137"/>
      <c r="H190" s="142"/>
      <c r="I190" s="136"/>
    </row>
    <row r="191" spans="1:9">
      <c r="A191" s="54"/>
      <c r="B191" s="140"/>
      <c r="C191" s="18"/>
      <c r="D191" s="141"/>
      <c r="E191" s="135"/>
      <c r="F191" s="136"/>
      <c r="G191" s="137"/>
      <c r="H191" s="142"/>
      <c r="I191" s="136"/>
    </row>
    <row r="192" spans="1:9">
      <c r="A192" s="54"/>
      <c r="B192" s="140"/>
      <c r="C192" s="18"/>
      <c r="D192" s="141"/>
      <c r="E192" s="135"/>
      <c r="F192" s="136"/>
      <c r="G192" s="137"/>
      <c r="H192" s="142"/>
      <c r="I192" s="136"/>
    </row>
    <row r="193" spans="1:9">
      <c r="A193" s="54"/>
      <c r="B193" s="140"/>
      <c r="C193" s="18"/>
      <c r="D193" s="141"/>
      <c r="E193" s="135"/>
      <c r="F193" s="136"/>
      <c r="G193" s="137"/>
      <c r="H193" s="142"/>
      <c r="I193" s="136"/>
    </row>
    <row r="194" spans="1:9">
      <c r="A194" s="54"/>
      <c r="B194" s="140"/>
      <c r="C194" s="18"/>
      <c r="D194" s="141"/>
      <c r="E194" s="135"/>
      <c r="F194" s="136"/>
      <c r="G194" s="137"/>
      <c r="H194" s="142"/>
      <c r="I194" s="136"/>
    </row>
    <row r="195" spans="1:9">
      <c r="A195" s="54"/>
      <c r="B195" s="140"/>
      <c r="C195" s="18"/>
      <c r="D195" s="141"/>
      <c r="E195" s="135"/>
      <c r="F195" s="136"/>
      <c r="G195" s="137"/>
      <c r="H195" s="142"/>
      <c r="I195" s="136"/>
    </row>
    <row r="196" spans="1:9">
      <c r="A196" s="54"/>
      <c r="B196" s="140"/>
      <c r="C196" s="18"/>
      <c r="D196" s="141"/>
      <c r="E196" s="135"/>
      <c r="F196" s="136"/>
      <c r="G196" s="137"/>
      <c r="H196" s="142"/>
      <c r="I196" s="136"/>
    </row>
    <row r="197" spans="1:9">
      <c r="A197" s="54"/>
      <c r="B197" s="140"/>
      <c r="C197" s="18"/>
      <c r="D197" s="141"/>
      <c r="E197" s="135"/>
      <c r="F197" s="136"/>
      <c r="G197" s="137"/>
      <c r="H197" s="142"/>
      <c r="I197" s="136"/>
    </row>
    <row r="198" spans="1:9">
      <c r="A198" s="54"/>
      <c r="B198" s="140"/>
      <c r="C198" s="18"/>
      <c r="D198" s="141"/>
      <c r="E198" s="135"/>
      <c r="F198" s="136"/>
      <c r="G198" s="137"/>
      <c r="H198" s="142"/>
      <c r="I198" s="136"/>
    </row>
    <row r="199" spans="1:9">
      <c r="A199" s="54"/>
      <c r="B199" s="140"/>
      <c r="C199" s="18"/>
      <c r="D199" s="141"/>
      <c r="E199" s="135"/>
      <c r="F199" s="136"/>
      <c r="G199" s="137"/>
      <c r="H199" s="142"/>
      <c r="I199" s="136"/>
    </row>
    <row r="200" spans="1:9">
      <c r="A200" s="54"/>
      <c r="B200" s="140"/>
      <c r="C200" s="18"/>
      <c r="D200" s="141"/>
      <c r="E200" s="135"/>
      <c r="F200" s="136"/>
      <c r="G200" s="137"/>
      <c r="H200" s="142"/>
      <c r="I200" s="136"/>
    </row>
    <row r="201" spans="1:9">
      <c r="A201" s="54"/>
      <c r="B201" s="140"/>
      <c r="C201" s="18"/>
      <c r="D201" s="141"/>
      <c r="E201" s="135"/>
      <c r="F201" s="136"/>
      <c r="G201" s="137"/>
      <c r="H201" s="142"/>
      <c r="I201" s="136"/>
    </row>
    <row r="202" spans="1:9">
      <c r="A202" s="54"/>
      <c r="B202" s="140"/>
      <c r="C202" s="18"/>
      <c r="D202" s="141"/>
      <c r="E202" s="135"/>
      <c r="F202" s="136"/>
      <c r="G202" s="137"/>
      <c r="H202" s="142"/>
      <c r="I202" s="136"/>
    </row>
    <row r="203" spans="1:9">
      <c r="A203" s="54"/>
      <c r="B203" s="140"/>
      <c r="C203" s="18"/>
      <c r="D203" s="141"/>
      <c r="E203" s="135"/>
      <c r="F203" s="136"/>
      <c r="G203" s="137"/>
      <c r="H203" s="142"/>
      <c r="I203" s="136"/>
    </row>
    <row r="204" spans="1:9">
      <c r="A204" s="54"/>
      <c r="B204" s="140"/>
      <c r="C204" s="18"/>
      <c r="D204" s="141"/>
      <c r="E204" s="135"/>
      <c r="F204" s="136"/>
      <c r="G204" s="137"/>
      <c r="H204" s="142"/>
      <c r="I204" s="136"/>
    </row>
    <row r="205" spans="1:9">
      <c r="A205" s="54"/>
      <c r="B205" s="140"/>
      <c r="C205" s="18"/>
      <c r="D205" s="141"/>
      <c r="E205" s="135"/>
      <c r="F205" s="136"/>
      <c r="G205" s="137"/>
      <c r="H205" s="142"/>
      <c r="I205" s="136"/>
    </row>
    <row r="206" spans="1:9">
      <c r="A206" s="54"/>
      <c r="B206" s="140"/>
      <c r="C206" s="18"/>
      <c r="D206" s="141"/>
      <c r="E206" s="135"/>
      <c r="F206" s="136"/>
      <c r="G206" s="137"/>
      <c r="H206" s="142"/>
      <c r="I206" s="136"/>
    </row>
    <row r="207" spans="1:9">
      <c r="A207" s="54"/>
      <c r="B207" s="140"/>
      <c r="C207" s="18"/>
      <c r="D207" s="141"/>
      <c r="E207" s="135"/>
      <c r="F207" s="136"/>
      <c r="G207" s="137"/>
      <c r="H207" s="142"/>
      <c r="I207" s="136"/>
    </row>
    <row r="208" spans="1:9">
      <c r="A208" s="54"/>
      <c r="B208" s="140"/>
      <c r="C208" s="18"/>
      <c r="D208" s="141"/>
      <c r="E208" s="135"/>
      <c r="F208" s="136"/>
      <c r="G208" s="137"/>
      <c r="H208" s="142"/>
      <c r="I208" s="136"/>
    </row>
    <row r="209" spans="1:9">
      <c r="A209" s="54"/>
      <c r="B209" s="140"/>
      <c r="C209" s="18"/>
      <c r="D209" s="141"/>
      <c r="E209" s="135"/>
      <c r="F209" s="136"/>
      <c r="G209" s="137"/>
      <c r="H209" s="142"/>
      <c r="I209" s="136"/>
    </row>
    <row r="210" spans="1:9">
      <c r="A210" s="54"/>
      <c r="B210" s="140"/>
      <c r="C210" s="18"/>
      <c r="D210" s="141"/>
      <c r="E210" s="135"/>
      <c r="F210" s="136"/>
      <c r="G210" s="137"/>
      <c r="H210" s="142"/>
      <c r="I210" s="136"/>
    </row>
    <row r="211" spans="1:9">
      <c r="A211" s="54"/>
      <c r="B211" s="140"/>
      <c r="C211" s="18"/>
      <c r="D211" s="141"/>
      <c r="E211" s="135"/>
      <c r="F211" s="136"/>
      <c r="G211" s="137"/>
      <c r="H211" s="142"/>
      <c r="I211" s="136"/>
    </row>
    <row r="212" spans="1:9">
      <c r="A212" s="54"/>
      <c r="B212" s="140"/>
      <c r="C212" s="18"/>
      <c r="D212" s="141"/>
      <c r="E212" s="135"/>
      <c r="F212" s="136"/>
      <c r="G212" s="137"/>
      <c r="H212" s="142"/>
      <c r="I212" s="136"/>
    </row>
    <row r="213" spans="1:9">
      <c r="A213" s="54"/>
      <c r="B213" s="140"/>
      <c r="C213" s="18"/>
      <c r="D213" s="141"/>
      <c r="E213" s="135"/>
      <c r="F213" s="136"/>
      <c r="G213" s="137"/>
      <c r="H213" s="142"/>
      <c r="I213" s="136"/>
    </row>
    <row r="214" spans="1:9">
      <c r="A214" s="54"/>
      <c r="B214" s="140"/>
      <c r="C214" s="18"/>
      <c r="D214" s="141"/>
      <c r="E214" s="135"/>
      <c r="F214" s="136"/>
      <c r="G214" s="137"/>
      <c r="H214" s="142"/>
      <c r="I214" s="136"/>
    </row>
    <row r="215" spans="1:9">
      <c r="A215" s="54"/>
      <c r="B215" s="140"/>
      <c r="C215" s="18"/>
      <c r="D215" s="141"/>
      <c r="E215" s="135"/>
      <c r="F215" s="136"/>
      <c r="G215" s="137"/>
      <c r="H215" s="142"/>
      <c r="I215" s="136"/>
    </row>
    <row r="216" spans="1:9">
      <c r="A216" s="54"/>
      <c r="B216" s="140"/>
      <c r="C216" s="18"/>
      <c r="D216" s="141"/>
      <c r="E216" s="135"/>
      <c r="F216" s="136"/>
      <c r="G216" s="137"/>
      <c r="H216" s="142"/>
      <c r="I216" s="136"/>
    </row>
    <row r="217" spans="1:9">
      <c r="A217" s="54"/>
      <c r="B217" s="140"/>
      <c r="C217" s="18"/>
      <c r="D217" s="141"/>
      <c r="E217" s="135"/>
      <c r="F217" s="136"/>
      <c r="G217" s="137"/>
      <c r="H217" s="142"/>
      <c r="I217" s="136"/>
    </row>
    <row r="218" spans="1:9">
      <c r="A218" s="54"/>
      <c r="B218" s="140"/>
      <c r="C218" s="18"/>
      <c r="D218" s="141"/>
      <c r="E218" s="135"/>
      <c r="F218" s="136"/>
      <c r="G218" s="137"/>
      <c r="H218" s="142"/>
      <c r="I218" s="136"/>
    </row>
    <row r="219" spans="1:9">
      <c r="A219" s="54"/>
      <c r="B219" s="140"/>
      <c r="C219" s="18"/>
      <c r="D219" s="141"/>
      <c r="E219" s="135"/>
      <c r="F219" s="136"/>
      <c r="G219" s="137"/>
      <c r="H219" s="142"/>
      <c r="I219" s="136"/>
    </row>
    <row r="220" spans="1:9">
      <c r="A220" s="54"/>
      <c r="B220" s="140"/>
      <c r="C220" s="18"/>
      <c r="D220" s="141"/>
      <c r="E220" s="135"/>
      <c r="F220" s="136"/>
      <c r="G220" s="137"/>
      <c r="H220" s="142"/>
      <c r="I220" s="136"/>
    </row>
    <row r="221" spans="1:9">
      <c r="A221" s="54"/>
      <c r="B221" s="140"/>
      <c r="C221" s="18"/>
      <c r="D221" s="141"/>
      <c r="E221" s="135"/>
      <c r="F221" s="136"/>
      <c r="G221" s="137"/>
      <c r="H221" s="142"/>
      <c r="I221" s="136"/>
    </row>
    <row r="222" spans="1:9">
      <c r="A222" s="54"/>
      <c r="B222" s="140"/>
      <c r="C222" s="18"/>
      <c r="D222" s="141"/>
      <c r="E222" s="135"/>
      <c r="F222" s="136"/>
      <c r="G222" s="137"/>
      <c r="H222" s="142"/>
      <c r="I222" s="136"/>
    </row>
    <row r="223" spans="1:9">
      <c r="A223" s="54"/>
      <c r="B223" s="140"/>
      <c r="C223" s="18"/>
      <c r="D223" s="141"/>
      <c r="E223" s="135"/>
      <c r="F223" s="136"/>
      <c r="G223" s="137"/>
      <c r="H223" s="142"/>
      <c r="I223" s="136"/>
    </row>
    <row r="224" spans="1:9">
      <c r="A224" s="54"/>
      <c r="B224" s="140"/>
      <c r="C224" s="18"/>
      <c r="D224" s="141"/>
      <c r="E224" s="135"/>
      <c r="F224" s="136"/>
      <c r="G224" s="137"/>
      <c r="H224" s="142"/>
      <c r="I224" s="136"/>
    </row>
    <row r="225" spans="1:9">
      <c r="A225" s="54"/>
      <c r="B225" s="140"/>
      <c r="C225" s="18"/>
      <c r="D225" s="141"/>
      <c r="E225" s="135"/>
      <c r="F225" s="136"/>
      <c r="G225" s="137"/>
      <c r="H225" s="142"/>
      <c r="I225" s="136"/>
    </row>
    <row r="226" spans="1:9">
      <c r="A226" s="54"/>
      <c r="B226" s="140"/>
      <c r="C226" s="18"/>
      <c r="D226" s="141"/>
      <c r="E226" s="135"/>
      <c r="F226" s="136"/>
      <c r="G226" s="137"/>
      <c r="H226" s="142"/>
      <c r="I226" s="136"/>
    </row>
    <row r="227" spans="1:9">
      <c r="A227" s="54"/>
      <c r="B227" s="140"/>
      <c r="C227" s="18"/>
      <c r="D227" s="141"/>
      <c r="E227" s="135"/>
      <c r="F227" s="136"/>
      <c r="G227" s="137"/>
      <c r="H227" s="142"/>
      <c r="I227" s="136"/>
    </row>
    <row r="228" spans="1:9">
      <c r="A228" s="54"/>
      <c r="B228" s="140"/>
      <c r="C228" s="18"/>
      <c r="D228" s="141"/>
      <c r="E228" s="135"/>
      <c r="F228" s="136"/>
      <c r="G228" s="137"/>
      <c r="H228" s="142"/>
      <c r="I228" s="136"/>
    </row>
    <row r="229" spans="1:9">
      <c r="A229" s="54"/>
      <c r="B229" s="140"/>
      <c r="C229" s="18"/>
      <c r="D229" s="141"/>
      <c r="E229" s="135"/>
      <c r="F229" s="136"/>
      <c r="G229" s="137"/>
      <c r="H229" s="142"/>
      <c r="I229" s="136"/>
    </row>
    <row r="230" spans="1:9">
      <c r="A230" s="54"/>
      <c r="B230" s="140"/>
      <c r="C230" s="18"/>
      <c r="D230" s="141"/>
      <c r="E230" s="135"/>
      <c r="F230" s="136"/>
      <c r="G230" s="137"/>
      <c r="H230" s="142"/>
      <c r="I230" s="136"/>
    </row>
    <row r="231" spans="1:9">
      <c r="A231" s="54"/>
      <c r="B231" s="140"/>
      <c r="C231" s="18"/>
      <c r="D231" s="141"/>
      <c r="E231" s="135"/>
      <c r="F231" s="136"/>
      <c r="G231" s="137"/>
      <c r="H231" s="142"/>
      <c r="I231" s="136"/>
    </row>
    <row r="232" spans="1:9">
      <c r="A232" s="54"/>
      <c r="B232" s="140"/>
      <c r="C232" s="18"/>
      <c r="D232" s="141"/>
      <c r="E232" s="135"/>
      <c r="F232" s="136"/>
      <c r="G232" s="137"/>
      <c r="H232" s="142"/>
      <c r="I232" s="136"/>
    </row>
    <row r="233" spans="1:9">
      <c r="A233" s="54"/>
      <c r="B233" s="140"/>
      <c r="C233" s="18"/>
      <c r="D233" s="141"/>
      <c r="E233" s="135"/>
      <c r="F233" s="136"/>
      <c r="G233" s="137"/>
      <c r="H233" s="142"/>
      <c r="I233" s="136"/>
    </row>
    <row r="234" spans="1:9">
      <c r="A234" s="54"/>
      <c r="B234" s="140"/>
      <c r="C234" s="18"/>
      <c r="D234" s="141"/>
      <c r="E234" s="135"/>
      <c r="F234" s="136"/>
      <c r="G234" s="137"/>
      <c r="H234" s="142"/>
      <c r="I234" s="136"/>
    </row>
    <row r="235" spans="1:9">
      <c r="A235" s="54"/>
      <c r="B235" s="140"/>
      <c r="C235" s="18"/>
      <c r="D235" s="141"/>
      <c r="E235" s="135"/>
      <c r="F235" s="136"/>
      <c r="G235" s="137"/>
      <c r="H235" s="142"/>
      <c r="I235" s="136"/>
    </row>
    <row r="236" spans="1:9">
      <c r="A236" s="54"/>
      <c r="B236" s="140"/>
      <c r="C236" s="18"/>
      <c r="D236" s="141"/>
      <c r="E236" s="135"/>
      <c r="F236" s="136"/>
      <c r="G236" s="137"/>
      <c r="H236" s="142"/>
      <c r="I236" s="136"/>
    </row>
    <row r="237" spans="1:9">
      <c r="A237" s="54"/>
      <c r="B237" s="140"/>
      <c r="C237" s="18"/>
      <c r="D237" s="141"/>
      <c r="E237" s="135"/>
      <c r="F237" s="136"/>
      <c r="G237" s="137"/>
      <c r="H237" s="142"/>
      <c r="I237" s="136"/>
    </row>
    <row r="238" spans="1:9">
      <c r="A238" s="54"/>
      <c r="B238" s="140"/>
      <c r="C238" s="18"/>
      <c r="D238" s="141"/>
      <c r="E238" s="135"/>
      <c r="F238" s="136"/>
      <c r="G238" s="137"/>
      <c r="H238" s="142"/>
      <c r="I238" s="136"/>
    </row>
    <row r="239" spans="1:9">
      <c r="A239" s="54"/>
      <c r="B239" s="140"/>
      <c r="C239" s="18"/>
      <c r="D239" s="141"/>
      <c r="E239" s="135"/>
      <c r="F239" s="136"/>
      <c r="G239" s="137"/>
      <c r="H239" s="142"/>
      <c r="I239" s="136"/>
    </row>
    <row r="240" spans="1:9">
      <c r="A240" s="54"/>
      <c r="B240" s="140"/>
      <c r="C240" s="18"/>
      <c r="D240" s="141"/>
      <c r="E240" s="135"/>
      <c r="F240" s="136"/>
      <c r="G240" s="137"/>
      <c r="H240" s="142"/>
      <c r="I240" s="136"/>
    </row>
    <row r="241" spans="1:9">
      <c r="A241" s="54"/>
      <c r="B241" s="140"/>
      <c r="C241" s="18"/>
      <c r="D241" s="141"/>
      <c r="E241" s="135"/>
      <c r="F241" s="136"/>
      <c r="G241" s="137"/>
      <c r="H241" s="142"/>
      <c r="I241" s="136"/>
    </row>
    <row r="242" spans="1:9">
      <c r="A242" s="54"/>
      <c r="B242" s="140"/>
      <c r="C242" s="18"/>
      <c r="D242" s="141"/>
      <c r="E242" s="135"/>
      <c r="F242" s="136"/>
      <c r="G242" s="137"/>
      <c r="H242" s="142"/>
      <c r="I242" s="136"/>
    </row>
    <row r="243" spans="1:9">
      <c r="A243" s="54"/>
      <c r="B243" s="140"/>
      <c r="C243" s="18"/>
      <c r="D243" s="141"/>
      <c r="E243" s="135"/>
      <c r="F243" s="136"/>
      <c r="G243" s="137"/>
      <c r="H243" s="142"/>
      <c r="I243" s="136"/>
    </row>
    <row r="244" spans="1:9">
      <c r="A244" s="54"/>
      <c r="B244" s="140"/>
      <c r="C244" s="18"/>
      <c r="D244" s="141"/>
      <c r="E244" s="135"/>
      <c r="F244" s="136"/>
      <c r="G244" s="137"/>
      <c r="H244" s="142"/>
      <c r="I244" s="136"/>
    </row>
    <row r="245" spans="1:9">
      <c r="A245" s="54"/>
      <c r="B245" s="140"/>
      <c r="C245" s="18"/>
      <c r="D245" s="141"/>
      <c r="E245" s="135"/>
      <c r="F245" s="136"/>
      <c r="G245" s="137"/>
      <c r="H245" s="142"/>
      <c r="I245" s="136"/>
    </row>
    <row r="246" spans="1:9">
      <c r="A246" s="54"/>
      <c r="B246" s="140"/>
      <c r="C246" s="18"/>
      <c r="D246" s="141"/>
      <c r="E246" s="135"/>
      <c r="F246" s="136"/>
      <c r="G246" s="137"/>
      <c r="H246" s="142"/>
      <c r="I246" s="136"/>
    </row>
    <row r="247" spans="1:9">
      <c r="A247" s="54"/>
      <c r="B247" s="140"/>
      <c r="C247" s="18"/>
      <c r="D247" s="141"/>
      <c r="E247" s="135"/>
      <c r="F247" s="136"/>
      <c r="G247" s="137"/>
      <c r="H247" s="142"/>
      <c r="I247" s="136"/>
    </row>
    <row r="248" spans="1:9">
      <c r="A248" s="54"/>
      <c r="B248" s="140"/>
      <c r="C248" s="18"/>
      <c r="D248" s="141"/>
      <c r="E248" s="135"/>
      <c r="F248" s="136"/>
      <c r="G248" s="137"/>
      <c r="H248" s="142"/>
      <c r="I248" s="136"/>
    </row>
    <row r="249" spans="1:9">
      <c r="A249" s="54"/>
      <c r="B249" s="140"/>
      <c r="C249" s="18"/>
      <c r="D249" s="141"/>
      <c r="E249" s="135"/>
      <c r="F249" s="136"/>
      <c r="G249" s="137"/>
      <c r="H249" s="142"/>
      <c r="I249" s="136"/>
    </row>
    <row r="250" spans="1:9">
      <c r="A250" s="54"/>
      <c r="B250" s="140"/>
      <c r="C250" s="18"/>
      <c r="D250" s="141"/>
      <c r="E250" s="135"/>
      <c r="F250" s="136"/>
      <c r="G250" s="137"/>
      <c r="H250" s="142"/>
      <c r="I250" s="136"/>
    </row>
    <row r="251" spans="1:9">
      <c r="A251" s="54"/>
      <c r="B251" s="140"/>
      <c r="C251" s="18"/>
      <c r="D251" s="141"/>
      <c r="E251" s="135"/>
      <c r="F251" s="136"/>
      <c r="G251" s="137"/>
      <c r="H251" s="142"/>
      <c r="I251" s="136"/>
    </row>
    <row r="252" spans="1:9">
      <c r="A252" s="54"/>
      <c r="B252" s="140"/>
      <c r="C252" s="18"/>
      <c r="D252" s="141"/>
      <c r="E252" s="135"/>
      <c r="F252" s="136"/>
      <c r="G252" s="137"/>
      <c r="H252" s="142"/>
      <c r="I252" s="136"/>
    </row>
    <row r="253" spans="1:9">
      <c r="A253" s="54"/>
      <c r="B253" s="140"/>
      <c r="C253" s="18"/>
      <c r="D253" s="141"/>
      <c r="E253" s="135"/>
      <c r="F253" s="136"/>
      <c r="G253" s="137"/>
      <c r="H253" s="142"/>
      <c r="I253" s="136"/>
    </row>
    <row r="254" spans="1:9">
      <c r="A254" s="54"/>
      <c r="B254" s="140"/>
      <c r="C254" s="18"/>
      <c r="D254" s="141"/>
      <c r="E254" s="135"/>
      <c r="F254" s="136"/>
      <c r="G254" s="137"/>
      <c r="H254" s="142"/>
      <c r="I254" s="136"/>
    </row>
    <row r="255" spans="1:9">
      <c r="A255" s="54"/>
      <c r="B255" s="140"/>
      <c r="C255" s="18"/>
      <c r="D255" s="141"/>
      <c r="E255" s="135"/>
      <c r="F255" s="136"/>
      <c r="G255" s="137"/>
      <c r="H255" s="142"/>
      <c r="I255" s="136"/>
    </row>
    <row r="256" spans="1:9">
      <c r="A256" s="54"/>
      <c r="B256" s="140"/>
      <c r="C256" s="18"/>
      <c r="D256" s="141"/>
      <c r="E256" s="135"/>
      <c r="F256" s="136"/>
      <c r="G256" s="137"/>
      <c r="H256" s="142"/>
      <c r="I256" s="136"/>
    </row>
    <row r="257" spans="1:9">
      <c r="A257" s="54"/>
      <c r="B257" s="140"/>
      <c r="C257" s="18"/>
      <c r="D257" s="141"/>
      <c r="E257" s="135"/>
      <c r="F257" s="136"/>
      <c r="G257" s="137"/>
      <c r="H257" s="142"/>
      <c r="I257" s="136"/>
    </row>
    <row r="258" spans="1:9">
      <c r="A258" s="54"/>
      <c r="B258" s="140"/>
      <c r="C258" s="18"/>
      <c r="D258" s="141"/>
      <c r="E258" s="135"/>
      <c r="F258" s="136"/>
      <c r="G258" s="137"/>
      <c r="H258" s="142"/>
      <c r="I258" s="136"/>
    </row>
    <row r="259" spans="1:9">
      <c r="A259" s="54"/>
      <c r="B259" s="140"/>
      <c r="C259" s="18"/>
      <c r="D259" s="141"/>
      <c r="E259" s="135"/>
      <c r="F259" s="136"/>
      <c r="G259" s="137"/>
      <c r="H259" s="142"/>
      <c r="I259" s="136"/>
    </row>
    <row r="260" spans="1:9">
      <c r="A260" s="54"/>
      <c r="B260" s="140"/>
      <c r="C260" s="18"/>
      <c r="D260" s="141"/>
      <c r="E260" s="135"/>
      <c r="F260" s="136"/>
      <c r="G260" s="137"/>
      <c r="H260" s="142"/>
      <c r="I260" s="136"/>
    </row>
    <row r="261" spans="1:9">
      <c r="A261" s="54"/>
      <c r="B261" s="140"/>
      <c r="C261" s="18"/>
      <c r="D261" s="141"/>
      <c r="E261" s="135"/>
      <c r="F261" s="136"/>
      <c r="G261" s="137"/>
      <c r="H261" s="142"/>
      <c r="I261" s="136"/>
    </row>
    <row r="262" spans="1:9">
      <c r="A262" s="54"/>
      <c r="B262" s="140"/>
      <c r="C262" s="18"/>
      <c r="D262" s="141"/>
      <c r="E262" s="135"/>
      <c r="F262" s="136"/>
      <c r="G262" s="137"/>
      <c r="H262" s="142"/>
      <c r="I262" s="136"/>
    </row>
    <row r="263" spans="1:9">
      <c r="A263" s="54"/>
      <c r="B263" s="140"/>
      <c r="C263" s="18"/>
      <c r="D263" s="141"/>
      <c r="E263" s="135"/>
      <c r="F263" s="136"/>
      <c r="G263" s="137"/>
      <c r="H263" s="142"/>
      <c r="I263" s="136"/>
    </row>
    <row r="264" spans="1:9">
      <c r="A264" s="54"/>
      <c r="B264" s="140"/>
      <c r="C264" s="18"/>
      <c r="D264" s="141"/>
      <c r="E264" s="135"/>
      <c r="F264" s="136"/>
      <c r="G264" s="137"/>
      <c r="H264" s="142"/>
      <c r="I264" s="136"/>
    </row>
    <row r="265" spans="1:9">
      <c r="A265" s="54"/>
      <c r="B265" s="140"/>
      <c r="C265" s="18"/>
      <c r="D265" s="141"/>
      <c r="E265" s="135"/>
      <c r="F265" s="136"/>
      <c r="G265" s="137"/>
      <c r="H265" s="142"/>
      <c r="I265" s="136"/>
    </row>
    <row r="266" spans="1:9">
      <c r="A266" s="54"/>
      <c r="B266" s="140"/>
      <c r="C266" s="18"/>
      <c r="D266" s="141"/>
      <c r="E266" s="135"/>
      <c r="F266" s="136"/>
      <c r="G266" s="137"/>
      <c r="H266" s="142"/>
      <c r="I266" s="136"/>
    </row>
    <row r="267" spans="1:9">
      <c r="A267" s="54"/>
      <c r="B267" s="140"/>
      <c r="C267" s="18"/>
      <c r="D267" s="141"/>
      <c r="E267" s="135"/>
      <c r="F267" s="136"/>
      <c r="G267" s="137"/>
      <c r="H267" s="142"/>
      <c r="I267" s="136"/>
    </row>
    <row r="268" spans="1:9">
      <c r="A268" s="54"/>
      <c r="B268" s="140"/>
      <c r="C268" s="18"/>
      <c r="D268" s="141"/>
      <c r="E268" s="135"/>
      <c r="F268" s="136"/>
      <c r="G268" s="137"/>
      <c r="H268" s="142"/>
      <c r="I268" s="136"/>
    </row>
    <row r="269" spans="1:9">
      <c r="A269" s="54"/>
      <c r="B269" s="140"/>
      <c r="C269" s="18"/>
      <c r="D269" s="141"/>
      <c r="E269" s="135"/>
      <c r="F269" s="136"/>
      <c r="G269" s="137"/>
      <c r="H269" s="142"/>
      <c r="I269" s="136"/>
    </row>
    <row r="270" spans="1:9">
      <c r="A270" s="54"/>
      <c r="B270" s="140"/>
      <c r="C270" s="18"/>
      <c r="D270" s="141"/>
      <c r="E270" s="135"/>
      <c r="F270" s="136"/>
      <c r="G270" s="137"/>
      <c r="H270" s="142"/>
      <c r="I270" s="136"/>
    </row>
    <row r="271" spans="1:9">
      <c r="A271" s="54"/>
      <c r="B271" s="140"/>
      <c r="C271" s="18"/>
      <c r="D271" s="141"/>
      <c r="E271" s="135"/>
      <c r="F271" s="136"/>
      <c r="G271" s="137"/>
      <c r="H271" s="142"/>
      <c r="I271" s="136"/>
    </row>
    <row r="272" spans="1:9">
      <c r="A272" s="54"/>
      <c r="B272" s="140"/>
      <c r="C272" s="18"/>
      <c r="D272" s="141"/>
      <c r="E272" s="135"/>
      <c r="F272" s="136"/>
      <c r="G272" s="137"/>
      <c r="H272" s="142"/>
      <c r="I272" s="136"/>
    </row>
    <row r="273" spans="1:9">
      <c r="A273" s="54"/>
      <c r="B273" s="140"/>
      <c r="C273" s="18"/>
      <c r="D273" s="141"/>
      <c r="E273" s="135"/>
      <c r="F273" s="136"/>
      <c r="G273" s="137"/>
      <c r="H273" s="142"/>
      <c r="I273" s="136"/>
    </row>
    <row r="274" spans="1:9">
      <c r="A274" s="54"/>
      <c r="B274" s="140"/>
      <c r="C274" s="18"/>
      <c r="D274" s="141"/>
      <c r="E274" s="135"/>
      <c r="F274" s="136"/>
      <c r="G274" s="137"/>
      <c r="H274" s="142"/>
      <c r="I274" s="136"/>
    </row>
    <row r="275" spans="1:9">
      <c r="A275" s="54"/>
      <c r="B275" s="140"/>
      <c r="C275" s="18"/>
      <c r="D275" s="141"/>
      <c r="E275" s="135"/>
      <c r="F275" s="136"/>
      <c r="G275" s="137"/>
      <c r="H275" s="142"/>
      <c r="I275" s="136"/>
    </row>
    <row r="276" spans="1:9">
      <c r="A276" s="54"/>
      <c r="B276" s="140"/>
      <c r="C276" s="18"/>
      <c r="D276" s="141"/>
      <c r="E276" s="135"/>
      <c r="F276" s="136"/>
      <c r="G276" s="137"/>
      <c r="H276" s="142"/>
      <c r="I276" s="136"/>
    </row>
    <row r="277" spans="1:9">
      <c r="A277" s="54"/>
      <c r="B277" s="140"/>
      <c r="C277" s="18"/>
      <c r="D277" s="141"/>
      <c r="E277" s="135"/>
      <c r="F277" s="136"/>
      <c r="G277" s="137"/>
      <c r="H277" s="142"/>
      <c r="I277" s="136"/>
    </row>
    <row r="278" spans="1:9">
      <c r="A278" s="54"/>
      <c r="B278" s="140"/>
      <c r="C278" s="18"/>
      <c r="D278" s="141"/>
      <c r="E278" s="135"/>
      <c r="F278" s="136"/>
      <c r="G278" s="137"/>
      <c r="H278" s="142"/>
      <c r="I278" s="136"/>
    </row>
    <row r="279" spans="1:9">
      <c r="A279" s="54"/>
      <c r="B279" s="140"/>
      <c r="C279" s="18"/>
      <c r="D279" s="141"/>
      <c r="E279" s="135"/>
      <c r="F279" s="136"/>
      <c r="G279" s="137"/>
      <c r="H279" s="142"/>
      <c r="I279" s="136"/>
    </row>
    <row r="280" spans="1:9">
      <c r="A280" s="54"/>
      <c r="B280" s="140"/>
      <c r="C280" s="18"/>
      <c r="D280" s="141"/>
      <c r="E280" s="135"/>
      <c r="F280" s="136"/>
      <c r="G280" s="137"/>
      <c r="H280" s="142"/>
      <c r="I280" s="136"/>
    </row>
    <row r="281" spans="1:9">
      <c r="A281" s="54"/>
      <c r="B281" s="140"/>
      <c r="C281" s="18"/>
      <c r="D281" s="141"/>
      <c r="E281" s="135"/>
      <c r="F281" s="136"/>
      <c r="G281" s="137"/>
      <c r="H281" s="142"/>
      <c r="I281" s="136"/>
    </row>
    <row r="282" spans="1:9">
      <c r="A282" s="54"/>
      <c r="B282" s="140"/>
      <c r="C282" s="18"/>
      <c r="D282" s="141"/>
      <c r="E282" s="135"/>
      <c r="F282" s="136"/>
      <c r="G282" s="137"/>
      <c r="H282" s="142"/>
      <c r="I282" s="136"/>
    </row>
    <row r="283" spans="1:9">
      <c r="A283" s="54"/>
      <c r="B283" s="140"/>
      <c r="C283" s="18"/>
      <c r="D283" s="141"/>
      <c r="E283" s="135"/>
      <c r="F283" s="136"/>
      <c r="G283" s="137"/>
      <c r="H283" s="142"/>
      <c r="I283" s="136"/>
    </row>
    <row r="284" spans="1:9">
      <c r="A284" s="54"/>
      <c r="B284" s="140"/>
      <c r="C284" s="18"/>
      <c r="D284" s="141"/>
      <c r="E284" s="135"/>
      <c r="F284" s="136"/>
      <c r="G284" s="137"/>
      <c r="H284" s="142"/>
      <c r="I284" s="136"/>
    </row>
    <row r="285" spans="1:9">
      <c r="A285" s="54"/>
      <c r="B285" s="140"/>
      <c r="C285" s="18"/>
      <c r="D285" s="141"/>
      <c r="E285" s="135"/>
      <c r="F285" s="136"/>
      <c r="G285" s="137"/>
      <c r="H285" s="142"/>
      <c r="I285" s="136"/>
    </row>
    <row r="286" spans="1:9">
      <c r="A286" s="54"/>
      <c r="B286" s="140"/>
      <c r="C286" s="18"/>
      <c r="D286" s="141"/>
      <c r="E286" s="135"/>
      <c r="F286" s="136"/>
      <c r="G286" s="137"/>
      <c r="H286" s="142"/>
      <c r="I286" s="136"/>
    </row>
    <row r="287" spans="1:9">
      <c r="A287" s="54"/>
      <c r="B287" s="140"/>
      <c r="C287" s="18"/>
      <c r="D287" s="141"/>
      <c r="E287" s="135"/>
      <c r="F287" s="136"/>
      <c r="G287" s="137"/>
      <c r="H287" s="142"/>
      <c r="I287" s="136"/>
    </row>
    <row r="288" spans="1:9">
      <c r="A288" s="54"/>
      <c r="B288" s="140"/>
      <c r="C288" s="18"/>
      <c r="D288" s="141"/>
      <c r="E288" s="135"/>
      <c r="F288" s="136"/>
      <c r="G288" s="137"/>
      <c r="H288" s="142"/>
      <c r="I288" s="136"/>
    </row>
    <row r="289" spans="1:9">
      <c r="A289" s="54"/>
      <c r="B289" s="140"/>
      <c r="C289" s="18"/>
      <c r="D289" s="141"/>
      <c r="E289" s="135"/>
      <c r="F289" s="136"/>
      <c r="G289" s="137"/>
      <c r="H289" s="142"/>
      <c r="I289" s="136"/>
    </row>
    <row r="290" spans="1:9">
      <c r="A290" s="54"/>
      <c r="B290" s="140"/>
      <c r="C290" s="18"/>
      <c r="D290" s="141"/>
      <c r="E290" s="135"/>
      <c r="F290" s="136"/>
      <c r="G290" s="137"/>
      <c r="H290" s="142"/>
      <c r="I290" s="136"/>
    </row>
    <row r="291" spans="1:9">
      <c r="A291" s="54"/>
      <c r="B291" s="140"/>
      <c r="C291" s="18"/>
      <c r="D291" s="141"/>
      <c r="E291" s="135"/>
      <c r="F291" s="136"/>
      <c r="G291" s="137"/>
      <c r="H291" s="142"/>
      <c r="I291" s="136"/>
    </row>
    <row r="292" spans="1:9">
      <c r="A292" s="54"/>
      <c r="B292" s="140"/>
      <c r="C292" s="18"/>
      <c r="D292" s="141"/>
      <c r="E292" s="135"/>
      <c r="F292" s="136"/>
      <c r="G292" s="137"/>
      <c r="H292" s="142"/>
      <c r="I292" s="136"/>
    </row>
    <row r="293" spans="1:9">
      <c r="A293" s="54"/>
      <c r="B293" s="140"/>
      <c r="C293" s="18"/>
      <c r="D293" s="141"/>
      <c r="E293" s="135"/>
      <c r="F293" s="136"/>
      <c r="G293" s="137"/>
      <c r="H293" s="142"/>
      <c r="I293" s="136"/>
    </row>
    <row r="294" spans="1:9">
      <c r="A294" s="54"/>
      <c r="B294" s="140"/>
      <c r="C294" s="18"/>
      <c r="D294" s="141"/>
      <c r="E294" s="135"/>
      <c r="F294" s="136"/>
      <c r="G294" s="137"/>
      <c r="H294" s="142"/>
      <c r="I294" s="136"/>
    </row>
    <row r="295" spans="1:9">
      <c r="A295" s="54"/>
      <c r="B295" s="140"/>
      <c r="C295" s="18"/>
      <c r="D295" s="141"/>
      <c r="E295" s="135"/>
      <c r="F295" s="136"/>
      <c r="G295" s="137"/>
      <c r="H295" s="142"/>
      <c r="I295" s="136"/>
    </row>
    <row r="296" spans="1:9">
      <c r="A296" s="54"/>
      <c r="B296" s="140"/>
      <c r="C296" s="18"/>
      <c r="D296" s="141"/>
      <c r="E296" s="135"/>
      <c r="F296" s="136"/>
      <c r="G296" s="137"/>
      <c r="H296" s="142"/>
      <c r="I296" s="136"/>
    </row>
    <row r="297" spans="1:9">
      <c r="A297" s="54"/>
      <c r="B297" s="140"/>
      <c r="C297" s="18"/>
      <c r="D297" s="141"/>
      <c r="E297" s="135"/>
      <c r="F297" s="136"/>
      <c r="G297" s="137"/>
      <c r="H297" s="142"/>
      <c r="I297" s="136"/>
    </row>
    <row r="298" spans="1:9">
      <c r="A298" s="54"/>
      <c r="B298" s="140"/>
      <c r="C298" s="18"/>
      <c r="D298" s="141"/>
      <c r="E298" s="135"/>
      <c r="F298" s="136"/>
      <c r="G298" s="137"/>
      <c r="H298" s="142"/>
      <c r="I298" s="136"/>
    </row>
    <row r="299" spans="1:9">
      <c r="A299" s="54"/>
      <c r="B299" s="140"/>
      <c r="C299" s="18"/>
      <c r="D299" s="141"/>
      <c r="E299" s="135"/>
      <c r="F299" s="136"/>
      <c r="G299" s="137"/>
      <c r="H299" s="142"/>
      <c r="I299" s="136"/>
    </row>
    <row r="300" spans="1:9">
      <c r="A300" s="54"/>
      <c r="B300" s="140"/>
      <c r="C300" s="18"/>
      <c r="D300" s="141"/>
      <c r="E300" s="135"/>
      <c r="F300" s="136"/>
      <c r="G300" s="137"/>
      <c r="H300" s="142"/>
      <c r="I300" s="136"/>
    </row>
    <row r="301" spans="1:9">
      <c r="A301" s="54"/>
      <c r="B301" s="140"/>
      <c r="C301" s="18"/>
      <c r="D301" s="141"/>
      <c r="E301" s="135"/>
      <c r="F301" s="136"/>
      <c r="G301" s="137"/>
      <c r="H301" s="142"/>
      <c r="I301" s="136"/>
    </row>
    <row r="302" spans="1:9">
      <c r="A302" s="54"/>
      <c r="B302" s="140"/>
      <c r="C302" s="18"/>
      <c r="D302" s="141"/>
      <c r="E302" s="135"/>
      <c r="F302" s="136"/>
      <c r="G302" s="137"/>
      <c r="H302" s="142"/>
      <c r="I302" s="136"/>
    </row>
    <row r="303" spans="1:9">
      <c r="A303" s="54"/>
      <c r="B303" s="140"/>
      <c r="C303" s="18"/>
      <c r="D303" s="141"/>
      <c r="E303" s="135"/>
      <c r="F303" s="136"/>
      <c r="G303" s="137"/>
      <c r="H303" s="142"/>
      <c r="I303" s="136"/>
    </row>
    <row r="304" spans="1:9">
      <c r="A304" s="54"/>
      <c r="B304" s="140"/>
      <c r="C304" s="18"/>
      <c r="D304" s="141"/>
      <c r="E304" s="135"/>
      <c r="F304" s="136"/>
      <c r="G304" s="137"/>
      <c r="H304" s="142"/>
      <c r="I304" s="136"/>
    </row>
    <row r="305" spans="1:9">
      <c r="A305" s="54"/>
      <c r="B305" s="140"/>
      <c r="C305" s="18"/>
      <c r="D305" s="141"/>
      <c r="E305" s="135"/>
      <c r="F305" s="136"/>
      <c r="G305" s="137"/>
      <c r="H305" s="142"/>
      <c r="I305" s="136"/>
    </row>
    <row r="306" spans="1:9">
      <c r="A306" s="54"/>
      <c r="B306" s="140"/>
      <c r="C306" s="18"/>
      <c r="D306" s="141"/>
      <c r="E306" s="135"/>
      <c r="F306" s="136"/>
      <c r="G306" s="137"/>
      <c r="H306" s="142"/>
      <c r="I306" s="136"/>
    </row>
    <row r="307" spans="1:9">
      <c r="A307" s="54"/>
      <c r="B307" s="140"/>
      <c r="C307" s="18"/>
      <c r="D307" s="141"/>
      <c r="E307" s="135"/>
      <c r="F307" s="136"/>
      <c r="G307" s="137"/>
      <c r="H307" s="142"/>
      <c r="I307" s="136"/>
    </row>
    <row r="308" spans="1:9">
      <c r="A308" s="54"/>
      <c r="B308" s="140"/>
      <c r="C308" s="18"/>
      <c r="D308" s="141"/>
      <c r="E308" s="135"/>
      <c r="F308" s="136"/>
      <c r="G308" s="137"/>
      <c r="H308" s="142"/>
      <c r="I308" s="136"/>
    </row>
    <row r="309" spans="1:9">
      <c r="A309" s="54"/>
      <c r="B309" s="140"/>
      <c r="C309" s="18"/>
      <c r="D309" s="141"/>
      <c r="E309" s="135"/>
      <c r="F309" s="136"/>
      <c r="G309" s="137"/>
      <c r="H309" s="142"/>
      <c r="I309" s="136"/>
    </row>
    <row r="310" spans="1:9">
      <c r="A310" s="54"/>
      <c r="B310" s="140"/>
      <c r="C310" s="18"/>
      <c r="D310" s="141"/>
      <c r="E310" s="135"/>
      <c r="F310" s="136"/>
      <c r="G310" s="137"/>
      <c r="H310" s="142"/>
      <c r="I310" s="136"/>
    </row>
    <row r="311" spans="1:9">
      <c r="A311" s="54"/>
      <c r="B311" s="140"/>
      <c r="C311" s="18"/>
      <c r="D311" s="141"/>
      <c r="E311" s="135"/>
      <c r="F311" s="136"/>
      <c r="G311" s="137"/>
      <c r="H311" s="142"/>
      <c r="I311" s="136"/>
    </row>
    <row r="312" spans="1:9">
      <c r="A312" s="54"/>
      <c r="B312" s="140"/>
      <c r="C312" s="18"/>
      <c r="D312" s="141"/>
      <c r="E312" s="135"/>
      <c r="F312" s="136"/>
      <c r="G312" s="137"/>
      <c r="H312" s="142"/>
      <c r="I312" s="136"/>
    </row>
    <row r="313" spans="1:9">
      <c r="A313" s="54"/>
      <c r="B313" s="140"/>
      <c r="C313" s="18"/>
      <c r="D313" s="141"/>
      <c r="E313" s="135"/>
      <c r="F313" s="136"/>
      <c r="G313" s="137"/>
      <c r="H313" s="142"/>
      <c r="I313" s="136"/>
    </row>
    <row r="314" spans="1:9">
      <c r="A314" s="54"/>
      <c r="B314" s="140"/>
      <c r="C314" s="18"/>
      <c r="D314" s="141"/>
      <c r="E314" s="135"/>
      <c r="F314" s="136"/>
      <c r="G314" s="137"/>
      <c r="H314" s="142"/>
      <c r="I314" s="136"/>
    </row>
    <row r="315" spans="1:9">
      <c r="A315" s="54"/>
      <c r="B315" s="140"/>
      <c r="C315" s="18"/>
      <c r="D315" s="141"/>
      <c r="E315" s="135"/>
      <c r="F315" s="136"/>
      <c r="G315" s="137"/>
      <c r="H315" s="142"/>
      <c r="I315" s="136"/>
    </row>
    <row r="316" spans="1:9">
      <c r="A316" s="54"/>
      <c r="B316" s="140"/>
      <c r="C316" s="18"/>
      <c r="D316" s="141"/>
      <c r="E316" s="135"/>
      <c r="F316" s="136"/>
      <c r="G316" s="137"/>
      <c r="H316" s="142"/>
      <c r="I316" s="136"/>
    </row>
    <row r="317" spans="1:9">
      <c r="A317" s="54"/>
      <c r="B317" s="140"/>
      <c r="C317" s="18"/>
      <c r="D317" s="141"/>
      <c r="E317" s="135"/>
      <c r="F317" s="136"/>
      <c r="G317" s="137"/>
      <c r="H317" s="142"/>
      <c r="I317" s="136"/>
    </row>
    <row r="318" spans="1:9">
      <c r="A318" s="54"/>
      <c r="B318" s="140"/>
      <c r="C318" s="18"/>
      <c r="D318" s="141"/>
      <c r="E318" s="135"/>
      <c r="F318" s="136"/>
      <c r="G318" s="137"/>
      <c r="H318" s="142"/>
      <c r="I318" s="136"/>
    </row>
    <row r="319" spans="1:9">
      <c r="A319" s="54"/>
      <c r="B319" s="140"/>
      <c r="C319" s="18"/>
      <c r="D319" s="141"/>
      <c r="E319" s="135"/>
      <c r="F319" s="136"/>
      <c r="G319" s="137"/>
      <c r="H319" s="142"/>
      <c r="I319" s="136"/>
    </row>
    <row r="320" spans="1:9">
      <c r="A320" s="54"/>
      <c r="B320" s="140"/>
      <c r="C320" s="18"/>
      <c r="D320" s="141"/>
      <c r="E320" s="135"/>
      <c r="F320" s="136"/>
      <c r="G320" s="137"/>
      <c r="H320" s="142"/>
      <c r="I320" s="136"/>
    </row>
    <row r="321" spans="1:9">
      <c r="A321" s="54"/>
      <c r="B321" s="140"/>
      <c r="C321" s="18"/>
      <c r="D321" s="141"/>
      <c r="E321" s="135"/>
      <c r="F321" s="136"/>
      <c r="G321" s="137"/>
      <c r="H321" s="142"/>
      <c r="I321" s="136"/>
    </row>
    <row r="322" spans="1:9">
      <c r="A322" s="54"/>
      <c r="B322" s="140"/>
      <c r="C322" s="18"/>
      <c r="D322" s="141"/>
      <c r="E322" s="135"/>
      <c r="F322" s="136"/>
      <c r="G322" s="137"/>
      <c r="H322" s="142"/>
      <c r="I322" s="136"/>
    </row>
    <row r="323" spans="1:9">
      <c r="A323" s="54"/>
      <c r="B323" s="140"/>
      <c r="C323" s="18"/>
      <c r="D323" s="141"/>
      <c r="E323" s="135"/>
      <c r="F323" s="136"/>
      <c r="G323" s="137"/>
      <c r="H323" s="142"/>
      <c r="I323" s="136"/>
    </row>
    <row r="324" spans="1:9">
      <c r="A324" s="54"/>
      <c r="B324" s="140"/>
      <c r="C324" s="18"/>
      <c r="D324" s="141"/>
      <c r="E324" s="135"/>
      <c r="F324" s="136"/>
      <c r="G324" s="137"/>
      <c r="H324" s="142"/>
      <c r="I324" s="136"/>
    </row>
    <row r="325" spans="1:9">
      <c r="A325" s="54"/>
      <c r="B325" s="140"/>
      <c r="C325" s="18"/>
      <c r="D325" s="141"/>
      <c r="E325" s="135"/>
      <c r="F325" s="136"/>
      <c r="G325" s="137"/>
      <c r="H325" s="142"/>
      <c r="I325" s="136"/>
    </row>
    <row r="326" spans="1:9">
      <c r="A326" s="54"/>
      <c r="B326" s="140"/>
      <c r="C326" s="18"/>
      <c r="D326" s="141"/>
      <c r="E326" s="135"/>
      <c r="F326" s="136"/>
      <c r="G326" s="137"/>
      <c r="H326" s="142"/>
      <c r="I326" s="136"/>
    </row>
    <row r="327" spans="1:9">
      <c r="A327" s="54"/>
      <c r="B327" s="140"/>
      <c r="C327" s="18"/>
      <c r="D327" s="141"/>
      <c r="E327" s="135"/>
      <c r="F327" s="136"/>
      <c r="G327" s="137"/>
      <c r="H327" s="142"/>
      <c r="I327" s="136"/>
    </row>
    <row r="328" spans="1:9">
      <c r="A328" s="54"/>
      <c r="B328" s="140"/>
      <c r="C328" s="18"/>
      <c r="D328" s="141"/>
      <c r="E328" s="135"/>
      <c r="F328" s="136"/>
      <c r="G328" s="137"/>
      <c r="H328" s="142"/>
      <c r="I328" s="136"/>
    </row>
    <row r="329" spans="1:9">
      <c r="A329" s="54"/>
      <c r="B329" s="140"/>
      <c r="C329" s="18"/>
      <c r="D329" s="141"/>
      <c r="E329" s="135"/>
      <c r="F329" s="136"/>
      <c r="G329" s="137"/>
      <c r="H329" s="142"/>
      <c r="I329" s="136"/>
    </row>
    <row r="330" spans="1:9">
      <c r="A330" s="54"/>
      <c r="B330" s="140"/>
      <c r="C330" s="18"/>
      <c r="D330" s="141"/>
      <c r="E330" s="135"/>
      <c r="F330" s="136"/>
      <c r="G330" s="137"/>
      <c r="H330" s="142"/>
      <c r="I330" s="136"/>
    </row>
    <row r="331" spans="1:9">
      <c r="A331" s="54"/>
      <c r="B331" s="140"/>
      <c r="C331" s="18"/>
      <c r="D331" s="141"/>
      <c r="E331" s="135"/>
      <c r="F331" s="136"/>
      <c r="G331" s="137"/>
      <c r="H331" s="142"/>
      <c r="I331" s="136"/>
    </row>
    <row r="332" spans="1:9">
      <c r="A332" s="54"/>
      <c r="B332" s="140"/>
      <c r="C332" s="18"/>
      <c r="D332" s="141"/>
      <c r="E332" s="135"/>
      <c r="F332" s="136"/>
      <c r="G332" s="137"/>
      <c r="H332" s="142"/>
      <c r="I332" s="136"/>
    </row>
    <row r="333" spans="1:9">
      <c r="A333" s="54"/>
      <c r="B333" s="140"/>
      <c r="C333" s="18"/>
      <c r="D333" s="141"/>
      <c r="E333" s="135"/>
      <c r="F333" s="136"/>
      <c r="G333" s="137"/>
      <c r="H333" s="142"/>
      <c r="I333" s="136"/>
    </row>
    <row r="334" spans="1:9">
      <c r="A334" s="54"/>
      <c r="B334" s="140"/>
      <c r="C334" s="18"/>
      <c r="D334" s="141"/>
      <c r="E334" s="135"/>
      <c r="F334" s="136"/>
      <c r="G334" s="137"/>
      <c r="H334" s="142"/>
      <c r="I334" s="136"/>
    </row>
    <row r="335" spans="1:9">
      <c r="A335" s="54"/>
      <c r="B335" s="140"/>
      <c r="C335" s="18"/>
      <c r="D335" s="141"/>
      <c r="E335" s="135"/>
      <c r="F335" s="136"/>
      <c r="G335" s="137"/>
      <c r="H335" s="142"/>
      <c r="I335" s="136"/>
    </row>
    <row r="336" spans="1:9">
      <c r="A336" s="54"/>
      <c r="B336" s="140"/>
      <c r="C336" s="18"/>
      <c r="D336" s="141"/>
      <c r="E336" s="135"/>
      <c r="F336" s="136"/>
      <c r="G336" s="137"/>
      <c r="H336" s="142"/>
      <c r="I336" s="136"/>
    </row>
    <row r="337" spans="1:9">
      <c r="A337" s="54"/>
      <c r="B337" s="140"/>
      <c r="C337" s="18"/>
      <c r="D337" s="141"/>
      <c r="E337" s="135"/>
      <c r="F337" s="136"/>
      <c r="G337" s="137"/>
      <c r="H337" s="142"/>
      <c r="I337" s="136"/>
    </row>
    <row r="338" spans="1:9">
      <c r="A338" s="54"/>
      <c r="B338" s="140"/>
      <c r="C338" s="18"/>
      <c r="D338" s="141"/>
      <c r="E338" s="135"/>
      <c r="F338" s="136"/>
      <c r="G338" s="137"/>
      <c r="H338" s="142"/>
      <c r="I338" s="136"/>
    </row>
    <row r="339" spans="1:9">
      <c r="A339" s="54"/>
      <c r="B339" s="140"/>
      <c r="C339" s="18"/>
      <c r="D339" s="141"/>
      <c r="E339" s="135"/>
      <c r="F339" s="136"/>
      <c r="G339" s="137"/>
      <c r="H339" s="142"/>
      <c r="I339" s="136"/>
    </row>
    <row r="340" spans="1:9">
      <c r="A340" s="54"/>
      <c r="B340" s="140"/>
      <c r="C340" s="18"/>
      <c r="D340" s="141"/>
      <c r="E340" s="135"/>
      <c r="F340" s="136"/>
      <c r="G340" s="137"/>
      <c r="H340" s="142"/>
      <c r="I340" s="136"/>
    </row>
    <row r="341" spans="1:9">
      <c r="A341" s="54"/>
      <c r="B341" s="140"/>
      <c r="C341" s="18"/>
      <c r="D341" s="141"/>
      <c r="E341" s="135"/>
      <c r="F341" s="136"/>
      <c r="G341" s="137"/>
      <c r="H341" s="142"/>
      <c r="I341" s="136"/>
    </row>
    <row r="342" spans="1:9">
      <c r="A342" s="54"/>
      <c r="B342" s="140"/>
      <c r="C342" s="18"/>
      <c r="D342" s="141"/>
      <c r="E342" s="135"/>
      <c r="F342" s="136"/>
      <c r="G342" s="137"/>
      <c r="H342" s="142"/>
      <c r="I342" s="136"/>
    </row>
    <row r="343" spans="1:9">
      <c r="A343" s="54"/>
      <c r="B343" s="140"/>
      <c r="C343" s="18"/>
      <c r="D343" s="141"/>
      <c r="E343" s="135"/>
      <c r="F343" s="136"/>
      <c r="G343" s="137"/>
      <c r="H343" s="142"/>
      <c r="I343" s="136"/>
    </row>
    <row r="344" spans="1:9">
      <c r="A344" s="54"/>
      <c r="B344" s="140"/>
      <c r="C344" s="18"/>
      <c r="D344" s="141"/>
      <c r="E344" s="135"/>
      <c r="F344" s="136"/>
      <c r="G344" s="137"/>
      <c r="H344" s="142"/>
      <c r="I344" s="136"/>
    </row>
    <row r="345" spans="1:9">
      <c r="A345" s="54"/>
      <c r="B345" s="140"/>
      <c r="C345" s="18"/>
      <c r="D345" s="141"/>
      <c r="E345" s="135"/>
      <c r="F345" s="136"/>
      <c r="G345" s="137"/>
      <c r="H345" s="142"/>
      <c r="I345" s="136"/>
    </row>
    <row r="346" spans="1:9">
      <c r="A346" s="54"/>
      <c r="B346" s="140"/>
      <c r="C346" s="18"/>
      <c r="D346" s="141"/>
      <c r="E346" s="135"/>
      <c r="F346" s="136"/>
      <c r="G346" s="137"/>
      <c r="H346" s="142"/>
      <c r="I346" s="136"/>
    </row>
    <row r="347" spans="1:9">
      <c r="A347" s="54"/>
      <c r="B347" s="140"/>
      <c r="C347" s="18"/>
      <c r="D347" s="141"/>
      <c r="E347" s="135"/>
      <c r="F347" s="136"/>
      <c r="G347" s="137"/>
      <c r="H347" s="142"/>
      <c r="I347" s="136"/>
    </row>
    <row r="348" spans="1:9">
      <c r="A348" s="54"/>
      <c r="B348" s="140"/>
      <c r="C348" s="18"/>
      <c r="D348" s="141"/>
      <c r="E348" s="135"/>
      <c r="F348" s="136"/>
      <c r="G348" s="137"/>
      <c r="H348" s="142"/>
      <c r="I348" s="136"/>
    </row>
    <row r="349" spans="1:9">
      <c r="A349" s="54"/>
      <c r="B349" s="140"/>
      <c r="C349" s="18"/>
      <c r="D349" s="141"/>
      <c r="E349" s="135"/>
      <c r="F349" s="136"/>
      <c r="G349" s="137"/>
      <c r="H349" s="142"/>
      <c r="I349" s="136"/>
    </row>
    <row r="350" spans="1:9">
      <c r="A350" s="54"/>
      <c r="B350" s="140"/>
      <c r="C350" s="18"/>
      <c r="D350" s="141"/>
      <c r="E350" s="135"/>
      <c r="F350" s="136"/>
      <c r="G350" s="137"/>
      <c r="H350" s="142"/>
      <c r="I350" s="136"/>
    </row>
    <row r="351" spans="1:9">
      <c r="A351" s="54"/>
      <c r="B351" s="140"/>
      <c r="C351" s="18"/>
      <c r="D351" s="141"/>
      <c r="E351" s="135"/>
      <c r="F351" s="136"/>
      <c r="G351" s="137"/>
      <c r="H351" s="142"/>
      <c r="I351" s="136"/>
    </row>
    <row r="352" spans="1:9">
      <c r="A352" s="54"/>
      <c r="B352" s="140"/>
      <c r="C352" s="18"/>
      <c r="D352" s="141"/>
      <c r="E352" s="135"/>
      <c r="F352" s="136"/>
      <c r="G352" s="137"/>
      <c r="H352" s="142"/>
      <c r="I352" s="136"/>
    </row>
    <row r="353" spans="1:9">
      <c r="A353" s="54"/>
      <c r="B353" s="140"/>
      <c r="C353" s="18"/>
      <c r="D353" s="141"/>
      <c r="E353" s="135"/>
      <c r="F353" s="136"/>
      <c r="G353" s="137"/>
      <c r="H353" s="142"/>
      <c r="I353" s="136"/>
    </row>
    <row r="354" spans="1:9">
      <c r="A354" s="54"/>
      <c r="B354" s="140"/>
      <c r="C354" s="18"/>
      <c r="D354" s="141"/>
      <c r="E354" s="135"/>
      <c r="F354" s="136"/>
      <c r="G354" s="137"/>
      <c r="H354" s="142"/>
      <c r="I354" s="136"/>
    </row>
    <row r="355" spans="1:9">
      <c r="A355" s="54"/>
      <c r="B355" s="140"/>
      <c r="C355" s="18"/>
      <c r="D355" s="141"/>
      <c r="E355" s="135"/>
      <c r="F355" s="136"/>
      <c r="G355" s="137"/>
      <c r="H355" s="142"/>
      <c r="I355" s="136"/>
    </row>
    <row r="356" spans="1:9">
      <c r="A356" s="54"/>
      <c r="B356" s="140"/>
      <c r="C356" s="18"/>
      <c r="D356" s="141"/>
      <c r="E356" s="135"/>
      <c r="F356" s="136"/>
      <c r="G356" s="137"/>
      <c r="H356" s="142"/>
      <c r="I356" s="136"/>
    </row>
    <row r="357" spans="1:9">
      <c r="A357" s="54"/>
      <c r="B357" s="140"/>
      <c r="C357" s="18"/>
      <c r="D357" s="141"/>
      <c r="E357" s="135"/>
      <c r="F357" s="136"/>
      <c r="G357" s="137"/>
      <c r="H357" s="142"/>
      <c r="I357" s="136"/>
    </row>
    <row r="358" spans="1:9">
      <c r="A358" s="54"/>
      <c r="B358" s="140"/>
      <c r="C358" s="18"/>
      <c r="D358" s="141"/>
      <c r="E358" s="135"/>
      <c r="F358" s="136"/>
      <c r="G358" s="137"/>
      <c r="H358" s="142"/>
      <c r="I358" s="136"/>
    </row>
    <row r="359" spans="1:9">
      <c r="A359" s="54"/>
      <c r="B359" s="140"/>
      <c r="C359" s="18"/>
      <c r="D359" s="141"/>
      <c r="E359" s="135"/>
      <c r="F359" s="136"/>
      <c r="G359" s="137"/>
      <c r="H359" s="142"/>
      <c r="I359" s="136"/>
    </row>
    <row r="360" spans="1:9">
      <c r="A360" s="54"/>
      <c r="B360" s="140"/>
      <c r="C360" s="18"/>
      <c r="D360" s="141"/>
      <c r="E360" s="135"/>
      <c r="F360" s="136"/>
      <c r="G360" s="137"/>
      <c r="H360" s="142"/>
      <c r="I360" s="136"/>
    </row>
    <row r="361" spans="1:9">
      <c r="A361" s="54"/>
      <c r="B361" s="140"/>
      <c r="C361" s="18"/>
      <c r="D361" s="141"/>
      <c r="E361" s="135"/>
      <c r="F361" s="136"/>
      <c r="G361" s="137"/>
      <c r="H361" s="142"/>
      <c r="I361" s="136"/>
    </row>
    <row r="362" spans="1:9">
      <c r="A362" s="54"/>
      <c r="B362" s="140"/>
      <c r="C362" s="18"/>
      <c r="D362" s="141"/>
      <c r="E362" s="135"/>
      <c r="F362" s="136"/>
      <c r="G362" s="137"/>
      <c r="H362" s="142"/>
      <c r="I362" s="136"/>
    </row>
    <row r="363" spans="1:9">
      <c r="A363" s="54"/>
      <c r="B363" s="140"/>
      <c r="C363" s="18"/>
      <c r="D363" s="141"/>
      <c r="E363" s="135"/>
      <c r="F363" s="136"/>
      <c r="G363" s="137"/>
      <c r="H363" s="142"/>
      <c r="I363" s="136"/>
    </row>
    <row r="364" spans="1:9">
      <c r="A364" s="54"/>
      <c r="B364" s="140"/>
      <c r="C364" s="18"/>
      <c r="D364" s="141"/>
      <c r="E364" s="135"/>
      <c r="F364" s="136"/>
      <c r="G364" s="137"/>
      <c r="H364" s="142"/>
      <c r="I364" s="136"/>
    </row>
    <row r="365" spans="1:9">
      <c r="A365" s="54"/>
      <c r="B365" s="140"/>
      <c r="C365" s="18"/>
      <c r="D365" s="141"/>
      <c r="E365" s="135"/>
      <c r="F365" s="136"/>
      <c r="G365" s="137"/>
      <c r="H365" s="142"/>
      <c r="I365" s="136"/>
    </row>
    <row r="366" spans="1:9">
      <c r="A366" s="54"/>
      <c r="B366" s="140"/>
      <c r="C366" s="18"/>
      <c r="D366" s="141"/>
      <c r="E366" s="135"/>
      <c r="F366" s="136"/>
      <c r="G366" s="137"/>
      <c r="H366" s="142"/>
      <c r="I366" s="136"/>
    </row>
    <row r="367" spans="1:9">
      <c r="A367" s="54"/>
      <c r="B367" s="140"/>
      <c r="C367" s="18"/>
      <c r="D367" s="141"/>
      <c r="E367" s="135"/>
      <c r="F367" s="136"/>
      <c r="G367" s="137"/>
      <c r="H367" s="142"/>
      <c r="I367" s="136"/>
    </row>
    <row r="368" spans="1:9">
      <c r="A368" s="54"/>
      <c r="B368" s="140"/>
      <c r="C368" s="18"/>
      <c r="D368" s="141"/>
      <c r="E368" s="135"/>
      <c r="F368" s="136"/>
      <c r="G368" s="137"/>
      <c r="H368" s="142"/>
      <c r="I368" s="136"/>
    </row>
    <row r="369" spans="1:9">
      <c r="A369" s="54"/>
      <c r="B369" s="140"/>
      <c r="C369" s="18"/>
      <c r="D369" s="141"/>
      <c r="E369" s="135"/>
      <c r="F369" s="136"/>
      <c r="G369" s="137"/>
      <c r="H369" s="142"/>
      <c r="I369" s="136"/>
    </row>
    <row r="370" spans="1:9">
      <c r="A370" s="54"/>
      <c r="B370" s="140"/>
      <c r="C370" s="18"/>
      <c r="D370" s="141"/>
      <c r="E370" s="135"/>
      <c r="F370" s="136"/>
      <c r="G370" s="137"/>
      <c r="H370" s="142"/>
      <c r="I370" s="136"/>
    </row>
    <row r="371" spans="1:9">
      <c r="A371" s="54"/>
      <c r="B371" s="140"/>
      <c r="C371" s="18"/>
      <c r="D371" s="141"/>
      <c r="E371" s="135"/>
      <c r="F371" s="136"/>
      <c r="G371" s="137"/>
      <c r="H371" s="142"/>
      <c r="I371" s="136"/>
    </row>
    <row r="372" spans="1:9">
      <c r="A372" s="54"/>
      <c r="B372" s="140"/>
      <c r="C372" s="18"/>
      <c r="D372" s="141"/>
      <c r="E372" s="135"/>
      <c r="F372" s="136"/>
      <c r="G372" s="137"/>
      <c r="H372" s="142"/>
      <c r="I372" s="136"/>
    </row>
    <row r="373" spans="1:9">
      <c r="A373" s="54"/>
      <c r="B373" s="140"/>
      <c r="C373" s="18"/>
      <c r="D373" s="141"/>
      <c r="E373" s="135"/>
      <c r="F373" s="136"/>
      <c r="G373" s="137"/>
      <c r="H373" s="142"/>
      <c r="I373" s="136"/>
    </row>
    <row r="374" spans="1:9">
      <c r="A374" s="54"/>
      <c r="B374" s="140"/>
      <c r="C374" s="18"/>
      <c r="D374" s="141"/>
      <c r="E374" s="135"/>
      <c r="F374" s="136"/>
      <c r="G374" s="137"/>
      <c r="H374" s="142"/>
      <c r="I374" s="136"/>
    </row>
    <row r="375" spans="1:9">
      <c r="A375" s="54"/>
      <c r="B375" s="140"/>
      <c r="C375" s="18"/>
      <c r="D375" s="141"/>
      <c r="E375" s="135"/>
      <c r="F375" s="136"/>
      <c r="G375" s="137"/>
      <c r="H375" s="142"/>
      <c r="I375" s="136"/>
    </row>
    <row r="376" spans="1:9">
      <c r="A376" s="54"/>
      <c r="B376" s="140"/>
      <c r="C376" s="18"/>
      <c r="D376" s="141"/>
      <c r="E376" s="135"/>
      <c r="F376" s="136"/>
      <c r="G376" s="137"/>
      <c r="H376" s="142"/>
      <c r="I376" s="136"/>
    </row>
    <row r="377" spans="1:9">
      <c r="A377" s="54"/>
      <c r="B377" s="140"/>
      <c r="C377" s="18"/>
      <c r="D377" s="141"/>
      <c r="E377" s="135"/>
      <c r="F377" s="136"/>
      <c r="G377" s="137"/>
      <c r="H377" s="142"/>
      <c r="I377" s="136"/>
    </row>
    <row r="378" spans="1:9">
      <c r="A378" s="54"/>
      <c r="B378" s="140"/>
      <c r="C378" s="18"/>
      <c r="D378" s="141"/>
      <c r="E378" s="135"/>
      <c r="F378" s="136"/>
      <c r="G378" s="137"/>
      <c r="H378" s="142"/>
      <c r="I378" s="136"/>
    </row>
    <row r="379" spans="1:9">
      <c r="A379" s="54"/>
      <c r="B379" s="140"/>
      <c r="C379" s="18"/>
      <c r="D379" s="141"/>
      <c r="E379" s="135"/>
      <c r="F379" s="136"/>
      <c r="G379" s="137"/>
      <c r="H379" s="142"/>
      <c r="I379" s="136"/>
    </row>
    <row r="380" spans="1:9">
      <c r="A380" s="54"/>
      <c r="B380" s="140"/>
      <c r="C380" s="18"/>
      <c r="D380" s="141"/>
      <c r="E380" s="135"/>
      <c r="F380" s="136"/>
      <c r="G380" s="137"/>
      <c r="H380" s="142"/>
      <c r="I380" s="136"/>
    </row>
    <row r="381" spans="1:9">
      <c r="A381" s="54"/>
      <c r="B381" s="140"/>
      <c r="C381" s="18"/>
      <c r="D381" s="141"/>
      <c r="E381" s="135"/>
      <c r="F381" s="136"/>
      <c r="G381" s="137"/>
      <c r="H381" s="142"/>
      <c r="I381" s="136"/>
    </row>
    <row r="382" spans="1:9">
      <c r="A382" s="54"/>
      <c r="B382" s="140"/>
      <c r="C382" s="18"/>
      <c r="D382" s="141"/>
      <c r="E382" s="135"/>
      <c r="F382" s="136"/>
      <c r="G382" s="137"/>
      <c r="H382" s="142"/>
      <c r="I382" s="136"/>
    </row>
    <row r="383" spans="1:9">
      <c r="A383" s="54"/>
      <c r="B383" s="140"/>
      <c r="C383" s="18"/>
      <c r="D383" s="141"/>
      <c r="E383" s="135"/>
      <c r="F383" s="136"/>
      <c r="G383" s="137"/>
      <c r="H383" s="142"/>
      <c r="I383" s="136"/>
    </row>
    <row r="384" spans="1:9">
      <c r="A384" s="54"/>
      <c r="B384" s="140"/>
      <c r="C384" s="18"/>
      <c r="D384" s="141"/>
      <c r="E384" s="135"/>
      <c r="F384" s="136"/>
      <c r="G384" s="137"/>
      <c r="H384" s="142"/>
      <c r="I384" s="136"/>
    </row>
    <row r="385" spans="1:9">
      <c r="A385" s="54"/>
      <c r="B385" s="140"/>
      <c r="C385" s="18"/>
      <c r="D385" s="141"/>
      <c r="E385" s="135"/>
      <c r="F385" s="136"/>
      <c r="G385" s="137"/>
      <c r="H385" s="142"/>
      <c r="I385" s="136"/>
    </row>
    <row r="386" spans="1:9">
      <c r="A386" s="54"/>
      <c r="B386" s="140"/>
      <c r="C386" s="18"/>
      <c r="D386" s="141"/>
      <c r="E386" s="135"/>
      <c r="F386" s="136"/>
      <c r="G386" s="137"/>
      <c r="H386" s="142"/>
      <c r="I386" s="136"/>
    </row>
    <row r="387" spans="1:9">
      <c r="A387" s="54"/>
      <c r="B387" s="140"/>
      <c r="C387" s="18"/>
      <c r="D387" s="141"/>
      <c r="E387" s="135"/>
      <c r="F387" s="136"/>
      <c r="G387" s="137"/>
      <c r="H387" s="142"/>
      <c r="I387" s="136"/>
    </row>
    <row r="388" spans="1:9">
      <c r="A388" s="54"/>
      <c r="B388" s="140"/>
      <c r="C388" s="18"/>
      <c r="D388" s="141"/>
      <c r="E388" s="135"/>
      <c r="F388" s="136"/>
      <c r="G388" s="137"/>
      <c r="H388" s="142"/>
      <c r="I388" s="136"/>
    </row>
    <row r="389" spans="1:9">
      <c r="A389" s="54"/>
      <c r="B389" s="140"/>
      <c r="C389" s="18"/>
      <c r="D389" s="141"/>
      <c r="E389" s="135"/>
      <c r="F389" s="136"/>
      <c r="G389" s="137"/>
      <c r="H389" s="142"/>
      <c r="I389" s="136"/>
    </row>
    <row r="390" spans="1:9">
      <c r="A390" s="54"/>
      <c r="B390" s="140"/>
      <c r="C390" s="18"/>
      <c r="D390" s="141"/>
      <c r="E390" s="135"/>
      <c r="F390" s="136"/>
      <c r="G390" s="137"/>
      <c r="H390" s="142"/>
      <c r="I390" s="136"/>
    </row>
    <row r="391" spans="1:9">
      <c r="A391" s="54"/>
      <c r="B391" s="140"/>
      <c r="C391" s="18"/>
      <c r="D391" s="141"/>
      <c r="E391" s="135"/>
      <c r="F391" s="136"/>
      <c r="G391" s="137"/>
      <c r="H391" s="142"/>
      <c r="I391" s="136"/>
    </row>
    <row r="392" spans="1:9">
      <c r="A392" s="54"/>
      <c r="B392" s="140"/>
      <c r="C392" s="18"/>
      <c r="D392" s="141"/>
      <c r="E392" s="135"/>
      <c r="F392" s="136"/>
      <c r="G392" s="137"/>
      <c r="H392" s="142"/>
      <c r="I392" s="136"/>
    </row>
    <row r="393" spans="1:9">
      <c r="A393" s="54"/>
      <c r="B393" s="140"/>
      <c r="C393" s="18"/>
      <c r="D393" s="141"/>
      <c r="E393" s="135"/>
      <c r="F393" s="136"/>
      <c r="G393" s="137"/>
      <c r="H393" s="142"/>
      <c r="I393" s="136"/>
    </row>
    <row r="394" spans="1:9">
      <c r="A394" s="54"/>
      <c r="B394" s="140"/>
      <c r="C394" s="18"/>
      <c r="D394" s="141"/>
      <c r="E394" s="135"/>
      <c r="F394" s="136"/>
      <c r="G394" s="137"/>
      <c r="H394" s="142"/>
      <c r="I394" s="136"/>
    </row>
    <row r="395" spans="1:9">
      <c r="A395" s="54"/>
      <c r="B395" s="140"/>
      <c r="C395" s="18"/>
      <c r="D395" s="141"/>
      <c r="E395" s="135"/>
      <c r="F395" s="136"/>
      <c r="G395" s="137"/>
      <c r="H395" s="142"/>
      <c r="I395" s="136"/>
    </row>
    <row r="396" spans="1:9">
      <c r="A396" s="54"/>
      <c r="B396" s="140"/>
      <c r="C396" s="18"/>
      <c r="D396" s="141"/>
      <c r="E396" s="135"/>
      <c r="F396" s="136"/>
      <c r="G396" s="137"/>
      <c r="H396" s="142"/>
      <c r="I396" s="136"/>
    </row>
    <row r="397" spans="1:9">
      <c r="A397" s="54"/>
      <c r="B397" s="140"/>
      <c r="C397" s="18"/>
      <c r="D397" s="141"/>
      <c r="E397" s="135"/>
      <c r="F397" s="136"/>
      <c r="G397" s="137"/>
      <c r="H397" s="142"/>
      <c r="I397" s="136"/>
    </row>
    <row r="398" spans="1:9">
      <c r="A398" s="54"/>
      <c r="B398" s="140"/>
      <c r="C398" s="18"/>
      <c r="D398" s="141"/>
      <c r="E398" s="135"/>
      <c r="F398" s="136"/>
      <c r="G398" s="137"/>
      <c r="H398" s="142"/>
      <c r="I398" s="136"/>
    </row>
    <row r="399" spans="1:9">
      <c r="A399" s="54"/>
      <c r="B399" s="140"/>
      <c r="C399" s="18"/>
      <c r="D399" s="141"/>
      <c r="E399" s="135"/>
      <c r="F399" s="136"/>
      <c r="G399" s="137"/>
      <c r="H399" s="142"/>
      <c r="I399" s="136"/>
    </row>
    <row r="400" spans="1:9">
      <c r="A400" s="54"/>
      <c r="B400" s="140"/>
      <c r="C400" s="18"/>
      <c r="D400" s="141"/>
      <c r="E400" s="135"/>
      <c r="F400" s="136"/>
      <c r="G400" s="137"/>
      <c r="H400" s="142"/>
      <c r="I400" s="136"/>
    </row>
    <row r="401" spans="1:9">
      <c r="A401" s="54"/>
      <c r="B401" s="140"/>
      <c r="C401" s="18"/>
      <c r="D401" s="141"/>
      <c r="E401" s="135"/>
      <c r="F401" s="136"/>
      <c r="G401" s="137"/>
      <c r="H401" s="142"/>
      <c r="I401" s="136"/>
    </row>
    <row r="402" spans="1:9">
      <c r="A402" s="54"/>
      <c r="B402" s="140"/>
      <c r="C402" s="18"/>
      <c r="D402" s="141"/>
      <c r="E402" s="135"/>
      <c r="F402" s="136"/>
      <c r="G402" s="137"/>
      <c r="H402" s="142"/>
      <c r="I402" s="136"/>
    </row>
    <row r="403" spans="1:9">
      <c r="A403" s="54"/>
      <c r="B403" s="140"/>
      <c r="C403" s="18"/>
      <c r="D403" s="141"/>
      <c r="E403" s="135"/>
      <c r="F403" s="136"/>
      <c r="G403" s="137"/>
      <c r="H403" s="142"/>
      <c r="I403" s="136"/>
    </row>
    <row r="404" spans="1:9">
      <c r="A404" s="54"/>
      <c r="B404" s="140"/>
      <c r="C404" s="18"/>
      <c r="D404" s="141"/>
      <c r="E404" s="135"/>
      <c r="F404" s="136"/>
      <c r="G404" s="137"/>
      <c r="H404" s="142"/>
      <c r="I404" s="136"/>
    </row>
    <row r="405" spans="1:9">
      <c r="A405" s="54"/>
      <c r="B405" s="140"/>
      <c r="C405" s="18"/>
      <c r="D405" s="141"/>
      <c r="E405" s="135"/>
      <c r="F405" s="136"/>
      <c r="G405" s="137"/>
      <c r="H405" s="142"/>
      <c r="I405" s="136"/>
    </row>
    <row r="406" spans="1:9">
      <c r="A406" s="54"/>
      <c r="B406" s="140"/>
      <c r="C406" s="18"/>
      <c r="D406" s="141"/>
      <c r="E406" s="135"/>
      <c r="F406" s="136"/>
      <c r="G406" s="137"/>
      <c r="H406" s="142"/>
      <c r="I406" s="136"/>
    </row>
    <row r="407" spans="1:9">
      <c r="A407" s="54"/>
      <c r="B407" s="140"/>
      <c r="C407" s="18"/>
      <c r="D407" s="141"/>
      <c r="E407" s="135"/>
      <c r="F407" s="136"/>
      <c r="G407" s="137"/>
      <c r="H407" s="142"/>
      <c r="I407" s="136"/>
    </row>
    <row r="408" spans="1:9">
      <c r="A408" s="54"/>
      <c r="B408" s="140"/>
      <c r="C408" s="18"/>
      <c r="D408" s="141"/>
      <c r="E408" s="135"/>
      <c r="F408" s="136"/>
      <c r="G408" s="137"/>
      <c r="H408" s="142"/>
      <c r="I408" s="136"/>
    </row>
    <row r="409" spans="1:9">
      <c r="A409" s="54"/>
      <c r="B409" s="140"/>
      <c r="C409" s="18"/>
      <c r="D409" s="141"/>
      <c r="E409" s="135"/>
      <c r="F409" s="136"/>
      <c r="G409" s="137"/>
      <c r="H409" s="142"/>
      <c r="I409" s="136"/>
    </row>
    <row r="410" spans="1:9">
      <c r="A410" s="54"/>
      <c r="B410" s="140"/>
      <c r="C410" s="18"/>
      <c r="D410" s="141"/>
      <c r="E410" s="135"/>
      <c r="F410" s="136"/>
      <c r="G410" s="137"/>
      <c r="H410" s="142"/>
      <c r="I410" s="136"/>
    </row>
    <row r="411" spans="1:9">
      <c r="A411" s="54"/>
      <c r="B411" s="140"/>
      <c r="C411" s="18"/>
      <c r="D411" s="141"/>
      <c r="E411" s="135"/>
      <c r="F411" s="136"/>
      <c r="G411" s="137"/>
      <c r="H411" s="142"/>
      <c r="I411" s="136"/>
    </row>
    <row r="412" spans="1:9">
      <c r="A412" s="54"/>
      <c r="B412" s="140"/>
      <c r="C412" s="18"/>
      <c r="D412" s="141"/>
      <c r="E412" s="135"/>
      <c r="F412" s="136"/>
      <c r="G412" s="137"/>
      <c r="H412" s="142"/>
      <c r="I412" s="136"/>
    </row>
    <row r="413" spans="1:9">
      <c r="A413" s="54"/>
      <c r="B413" s="140"/>
      <c r="C413" s="18"/>
      <c r="D413" s="141"/>
      <c r="E413" s="135"/>
      <c r="F413" s="136"/>
      <c r="G413" s="137"/>
      <c r="H413" s="142"/>
      <c r="I413" s="136"/>
    </row>
    <row r="414" spans="1:9">
      <c r="A414" s="54"/>
      <c r="B414" s="140"/>
      <c r="C414" s="18"/>
      <c r="D414" s="141"/>
      <c r="E414" s="135"/>
      <c r="F414" s="136"/>
      <c r="G414" s="137"/>
      <c r="H414" s="142"/>
      <c r="I414" s="136"/>
    </row>
    <row r="415" spans="1:9">
      <c r="A415" s="54"/>
      <c r="B415" s="140"/>
      <c r="C415" s="18"/>
      <c r="D415" s="141"/>
      <c r="E415" s="135"/>
      <c r="F415" s="136"/>
      <c r="G415" s="137"/>
      <c r="H415" s="142"/>
      <c r="I415" s="136"/>
    </row>
    <row r="416" spans="1:9">
      <c r="A416" s="54"/>
      <c r="B416" s="140"/>
      <c r="C416" s="18"/>
      <c r="D416" s="141"/>
      <c r="E416" s="135"/>
      <c r="F416" s="136"/>
      <c r="G416" s="137"/>
      <c r="H416" s="142"/>
      <c r="I416" s="136"/>
    </row>
    <row r="417" spans="1:9">
      <c r="A417" s="54"/>
      <c r="B417" s="140"/>
      <c r="C417" s="18"/>
      <c r="D417" s="141"/>
      <c r="E417" s="135"/>
      <c r="F417" s="136"/>
      <c r="G417" s="137"/>
      <c r="H417" s="142"/>
      <c r="I417" s="136"/>
    </row>
    <row r="418" spans="1:9">
      <c r="A418" s="54"/>
      <c r="B418" s="140"/>
      <c r="C418" s="18"/>
      <c r="D418" s="141"/>
      <c r="E418" s="135"/>
      <c r="F418" s="136"/>
      <c r="G418" s="137"/>
      <c r="H418" s="142"/>
      <c r="I418" s="136"/>
    </row>
    <row r="419" spans="1:9">
      <c r="A419" s="54"/>
      <c r="B419" s="140"/>
      <c r="C419" s="18"/>
      <c r="D419" s="141"/>
      <c r="E419" s="135"/>
      <c r="F419" s="136"/>
      <c r="G419" s="137"/>
      <c r="H419" s="142"/>
      <c r="I419" s="136"/>
    </row>
    <row r="420" spans="1:9">
      <c r="A420" s="54"/>
      <c r="B420" s="140"/>
      <c r="C420" s="18"/>
      <c r="D420" s="141"/>
      <c r="E420" s="135"/>
      <c r="F420" s="136"/>
      <c r="G420" s="137"/>
      <c r="H420" s="142"/>
      <c r="I420" s="136"/>
    </row>
    <row r="421" spans="1:9">
      <c r="A421" s="54"/>
      <c r="B421" s="140"/>
      <c r="C421" s="18"/>
      <c r="D421" s="141"/>
      <c r="E421" s="135"/>
      <c r="F421" s="136"/>
      <c r="G421" s="137"/>
      <c r="H421" s="142"/>
      <c r="I421" s="136"/>
    </row>
    <row r="422" spans="1:9">
      <c r="A422" s="54"/>
      <c r="B422" s="140"/>
      <c r="C422" s="18"/>
      <c r="D422" s="141"/>
      <c r="E422" s="135"/>
      <c r="F422" s="136"/>
      <c r="G422" s="137"/>
      <c r="H422" s="142"/>
      <c r="I422" s="136"/>
    </row>
    <row r="423" spans="1:9">
      <c r="A423" s="54"/>
      <c r="B423" s="140"/>
      <c r="C423" s="18"/>
      <c r="D423" s="141"/>
      <c r="E423" s="135"/>
      <c r="F423" s="136"/>
      <c r="G423" s="137"/>
      <c r="H423" s="142"/>
      <c r="I423" s="136"/>
    </row>
    <row r="424" spans="1:9">
      <c r="A424" s="54"/>
      <c r="B424" s="140"/>
      <c r="C424" s="18"/>
      <c r="D424" s="141"/>
      <c r="E424" s="135"/>
      <c r="F424" s="136"/>
      <c r="G424" s="137"/>
      <c r="H424" s="142"/>
      <c r="I424" s="136"/>
    </row>
    <row r="425" spans="1:9">
      <c r="A425" s="54"/>
      <c r="B425" s="140"/>
      <c r="C425" s="18"/>
      <c r="D425" s="141"/>
      <c r="E425" s="135"/>
      <c r="F425" s="136"/>
      <c r="G425" s="137"/>
      <c r="H425" s="142"/>
      <c r="I425" s="136"/>
    </row>
    <row r="426" spans="1:9">
      <c r="A426" s="54"/>
      <c r="B426" s="140"/>
      <c r="C426" s="18"/>
      <c r="D426" s="141"/>
      <c r="E426" s="135"/>
      <c r="F426" s="136"/>
      <c r="G426" s="137"/>
      <c r="H426" s="142"/>
      <c r="I426" s="136"/>
    </row>
    <row r="427" spans="1:9">
      <c r="A427" s="54"/>
      <c r="B427" s="140"/>
      <c r="C427" s="18"/>
      <c r="D427" s="141"/>
      <c r="E427" s="135"/>
      <c r="F427" s="136"/>
      <c r="G427" s="137"/>
      <c r="H427" s="142"/>
      <c r="I427" s="136"/>
    </row>
    <row r="428" spans="1:9">
      <c r="A428" s="54"/>
      <c r="B428" s="140"/>
      <c r="C428" s="18"/>
      <c r="D428" s="141"/>
      <c r="E428" s="135"/>
      <c r="F428" s="136"/>
      <c r="G428" s="137"/>
      <c r="H428" s="142"/>
      <c r="I428" s="136"/>
    </row>
    <row r="429" spans="1:9">
      <c r="A429" s="54"/>
      <c r="B429" s="140"/>
      <c r="C429" s="18"/>
      <c r="D429" s="141"/>
      <c r="E429" s="135"/>
      <c r="F429" s="136"/>
      <c r="G429" s="137"/>
      <c r="H429" s="142"/>
      <c r="I429" s="136"/>
    </row>
    <row r="430" spans="1:9">
      <c r="A430" s="54"/>
      <c r="B430" s="140"/>
      <c r="C430" s="18"/>
      <c r="D430" s="141"/>
      <c r="E430" s="135"/>
      <c r="F430" s="136"/>
      <c r="G430" s="137"/>
      <c r="H430" s="142"/>
      <c r="I430" s="136"/>
    </row>
    <row r="431" spans="1:9">
      <c r="A431" s="54"/>
      <c r="B431" s="140"/>
      <c r="C431" s="18"/>
      <c r="D431" s="141"/>
      <c r="E431" s="135"/>
      <c r="F431" s="136"/>
      <c r="G431" s="137"/>
      <c r="H431" s="142"/>
      <c r="I431" s="136"/>
    </row>
    <row r="432" spans="1:9">
      <c r="A432" s="54"/>
      <c r="B432" s="140"/>
      <c r="C432" s="18"/>
      <c r="D432" s="141"/>
      <c r="E432" s="135"/>
      <c r="F432" s="136"/>
      <c r="G432" s="137"/>
      <c r="H432" s="142"/>
      <c r="I432" s="136"/>
    </row>
    <row r="433" spans="1:9">
      <c r="A433" s="54"/>
      <c r="B433" s="140"/>
      <c r="C433" s="18"/>
      <c r="D433" s="141"/>
      <c r="E433" s="135"/>
      <c r="F433" s="136"/>
      <c r="G433" s="137"/>
      <c r="H433" s="142"/>
      <c r="I433" s="136"/>
    </row>
    <row r="434" spans="1:9">
      <c r="A434" s="54"/>
      <c r="B434" s="140"/>
      <c r="C434" s="18"/>
      <c r="D434" s="141"/>
      <c r="E434" s="135"/>
      <c r="F434" s="136"/>
      <c r="G434" s="137"/>
      <c r="H434" s="142"/>
      <c r="I434" s="136"/>
    </row>
    <row r="435" spans="1:9">
      <c r="A435" s="54"/>
      <c r="B435" s="140"/>
      <c r="C435" s="18"/>
      <c r="D435" s="141"/>
      <c r="E435" s="135"/>
      <c r="F435" s="136"/>
      <c r="G435" s="137"/>
      <c r="H435" s="142"/>
      <c r="I435" s="136"/>
    </row>
    <row r="436" spans="1:9">
      <c r="A436" s="54"/>
      <c r="B436" s="140"/>
      <c r="C436" s="18"/>
      <c r="D436" s="141"/>
      <c r="E436" s="135"/>
      <c r="F436" s="136"/>
      <c r="G436" s="137"/>
      <c r="H436" s="142"/>
      <c r="I436" s="136"/>
    </row>
    <row r="437" spans="1:9">
      <c r="A437" s="54"/>
      <c r="B437" s="140"/>
      <c r="C437" s="18"/>
      <c r="D437" s="141"/>
      <c r="E437" s="135"/>
      <c r="F437" s="136"/>
      <c r="G437" s="137"/>
      <c r="H437" s="142"/>
      <c r="I437" s="136"/>
    </row>
    <row r="438" spans="1:9">
      <c r="A438" s="54"/>
      <c r="B438" s="140"/>
      <c r="C438" s="18"/>
      <c r="D438" s="141"/>
      <c r="E438" s="135"/>
      <c r="F438" s="136"/>
      <c r="G438" s="137"/>
      <c r="H438" s="142"/>
      <c r="I438" s="136"/>
    </row>
    <row r="439" spans="1:9">
      <c r="A439" s="54"/>
      <c r="B439" s="140"/>
      <c r="C439" s="18"/>
      <c r="D439" s="141"/>
      <c r="E439" s="135"/>
      <c r="F439" s="136"/>
      <c r="G439" s="137"/>
      <c r="H439" s="142"/>
      <c r="I439" s="136"/>
    </row>
    <row r="440" spans="1:9">
      <c r="A440" s="54"/>
      <c r="B440" s="140"/>
      <c r="C440" s="18"/>
      <c r="D440" s="141"/>
      <c r="E440" s="135"/>
      <c r="F440" s="136"/>
      <c r="G440" s="137"/>
      <c r="H440" s="142"/>
      <c r="I440" s="136"/>
    </row>
    <row r="441" spans="1:9">
      <c r="A441" s="54"/>
      <c r="B441" s="140"/>
      <c r="C441" s="18"/>
      <c r="D441" s="141"/>
      <c r="E441" s="135"/>
      <c r="F441" s="136"/>
      <c r="G441" s="137"/>
      <c r="H441" s="142"/>
      <c r="I441" s="136"/>
    </row>
    <row r="442" spans="1:9">
      <c r="A442" s="54"/>
      <c r="B442" s="140"/>
      <c r="C442" s="18"/>
      <c r="D442" s="141"/>
      <c r="E442" s="135"/>
      <c r="F442" s="136"/>
      <c r="G442" s="137"/>
      <c r="H442" s="142"/>
      <c r="I442" s="136"/>
    </row>
    <row r="443" spans="1:9">
      <c r="A443" s="54"/>
      <c r="B443" s="140"/>
      <c r="C443" s="18"/>
      <c r="D443" s="141"/>
      <c r="E443" s="135"/>
      <c r="F443" s="136"/>
      <c r="G443" s="137"/>
      <c r="H443" s="142"/>
      <c r="I443" s="136"/>
    </row>
    <row r="444" spans="1:9">
      <c r="A444" s="54"/>
      <c r="B444" s="140"/>
      <c r="C444" s="18"/>
      <c r="D444" s="141"/>
      <c r="E444" s="135"/>
      <c r="F444" s="136"/>
      <c r="G444" s="137"/>
      <c r="H444" s="142"/>
      <c r="I444" s="136"/>
    </row>
    <row r="445" spans="1:9">
      <c r="A445" s="54"/>
      <c r="B445" s="140"/>
      <c r="C445" s="18"/>
      <c r="D445" s="141"/>
      <c r="E445" s="135"/>
      <c r="F445" s="136"/>
      <c r="G445" s="137"/>
      <c r="H445" s="142"/>
      <c r="I445" s="136"/>
    </row>
    <row r="446" spans="1:9">
      <c r="A446" s="54"/>
      <c r="B446" s="140"/>
      <c r="C446" s="18"/>
      <c r="D446" s="141"/>
      <c r="E446" s="135"/>
      <c r="F446" s="136"/>
      <c r="G446" s="137"/>
      <c r="H446" s="142"/>
      <c r="I446" s="136"/>
    </row>
    <row r="447" spans="1:9">
      <c r="A447" s="54"/>
      <c r="B447" s="140"/>
      <c r="C447" s="18"/>
      <c r="D447" s="141"/>
      <c r="E447" s="135"/>
      <c r="F447" s="136"/>
      <c r="G447" s="137"/>
      <c r="H447" s="142"/>
      <c r="I447" s="136"/>
    </row>
    <row r="448" spans="1:9">
      <c r="A448" s="54"/>
      <c r="B448" s="140"/>
      <c r="C448" s="18"/>
      <c r="D448" s="141"/>
      <c r="E448" s="135"/>
      <c r="F448" s="136"/>
      <c r="G448" s="137"/>
      <c r="H448" s="142"/>
      <c r="I448" s="136"/>
    </row>
    <row r="449" spans="1:9">
      <c r="A449" s="54"/>
      <c r="B449" s="140"/>
      <c r="C449" s="18"/>
      <c r="D449" s="141"/>
      <c r="E449" s="135"/>
      <c r="F449" s="136"/>
      <c r="G449" s="137"/>
      <c r="H449" s="142"/>
      <c r="I449" s="136"/>
    </row>
    <row r="450" spans="1:9">
      <c r="A450" s="54"/>
      <c r="B450" s="140"/>
      <c r="C450" s="18"/>
      <c r="D450" s="141"/>
      <c r="E450" s="135"/>
      <c r="F450" s="136"/>
      <c r="G450" s="137"/>
      <c r="H450" s="142"/>
      <c r="I450" s="136"/>
    </row>
    <row r="451" spans="1:9">
      <c r="A451" s="54"/>
      <c r="B451" s="140"/>
      <c r="C451" s="18"/>
      <c r="D451" s="141"/>
      <c r="E451" s="135"/>
      <c r="F451" s="136"/>
      <c r="G451" s="137"/>
      <c r="H451" s="142"/>
      <c r="I451" s="136"/>
    </row>
    <row r="452" spans="1:9">
      <c r="A452" s="54"/>
      <c r="B452" s="140"/>
      <c r="C452" s="18"/>
      <c r="D452" s="141"/>
      <c r="E452" s="135"/>
      <c r="F452" s="136"/>
      <c r="G452" s="137"/>
      <c r="H452" s="142"/>
      <c r="I452" s="136"/>
    </row>
    <row r="453" spans="1:9">
      <c r="A453" s="54"/>
      <c r="B453" s="140"/>
      <c r="C453" s="18"/>
      <c r="D453" s="141"/>
      <c r="E453" s="135"/>
      <c r="F453" s="136"/>
      <c r="G453" s="137"/>
      <c r="H453" s="142"/>
      <c r="I453" s="136"/>
    </row>
    <row r="454" spans="1:9">
      <c r="A454" s="54"/>
      <c r="B454" s="140"/>
      <c r="C454" s="18"/>
      <c r="D454" s="141"/>
      <c r="E454" s="135"/>
      <c r="F454" s="136"/>
      <c r="G454" s="137"/>
      <c r="H454" s="142"/>
      <c r="I454" s="136"/>
    </row>
    <row r="455" spans="1:9">
      <c r="A455" s="54"/>
      <c r="B455" s="140"/>
      <c r="C455" s="18"/>
      <c r="D455" s="141"/>
      <c r="E455" s="135"/>
      <c r="F455" s="136"/>
      <c r="G455" s="137"/>
      <c r="H455" s="142"/>
      <c r="I455" s="136"/>
    </row>
    <row r="456" spans="1:9">
      <c r="A456" s="54"/>
      <c r="B456" s="140"/>
      <c r="C456" s="18"/>
      <c r="D456" s="141"/>
      <c r="E456" s="135"/>
      <c r="F456" s="136"/>
      <c r="G456" s="137"/>
      <c r="H456" s="142"/>
      <c r="I456" s="136"/>
    </row>
    <row r="457" spans="1:9">
      <c r="A457" s="54"/>
      <c r="B457" s="140"/>
      <c r="C457" s="18"/>
      <c r="D457" s="141"/>
      <c r="E457" s="135"/>
      <c r="F457" s="136"/>
      <c r="G457" s="137"/>
      <c r="H457" s="142"/>
      <c r="I457" s="136"/>
    </row>
    <row r="458" spans="1:9">
      <c r="A458" s="54"/>
      <c r="B458" s="140"/>
      <c r="C458" s="18"/>
      <c r="D458" s="141"/>
      <c r="E458" s="135"/>
      <c r="F458" s="136"/>
      <c r="G458" s="137"/>
      <c r="H458" s="142"/>
      <c r="I458" s="136"/>
    </row>
    <row r="459" spans="1:9">
      <c r="A459" s="54"/>
      <c r="B459" s="140"/>
      <c r="C459" s="18"/>
      <c r="D459" s="141"/>
      <c r="E459" s="135"/>
      <c r="F459" s="136"/>
      <c r="G459" s="137"/>
      <c r="H459" s="142"/>
      <c r="I459" s="136"/>
    </row>
    <row r="460" spans="1:9">
      <c r="A460" s="54"/>
      <c r="B460" s="140"/>
      <c r="C460" s="18"/>
      <c r="D460" s="141"/>
      <c r="E460" s="135"/>
      <c r="F460" s="136"/>
      <c r="G460" s="137"/>
      <c r="H460" s="142"/>
      <c r="I460" s="136"/>
    </row>
    <row r="461" spans="1:9">
      <c r="A461" s="54"/>
      <c r="B461" s="140"/>
      <c r="C461" s="18"/>
      <c r="D461" s="141"/>
      <c r="E461" s="135"/>
      <c r="F461" s="136"/>
      <c r="G461" s="137"/>
      <c r="H461" s="142"/>
      <c r="I461" s="136"/>
    </row>
    <row r="462" spans="1:9">
      <c r="A462" s="54"/>
      <c r="B462" s="140"/>
      <c r="C462" s="18"/>
      <c r="D462" s="141"/>
      <c r="E462" s="135"/>
      <c r="F462" s="136"/>
      <c r="G462" s="137"/>
      <c r="H462" s="142"/>
      <c r="I462" s="136"/>
    </row>
    <row r="463" spans="1:9">
      <c r="A463" s="54"/>
      <c r="B463" s="140"/>
      <c r="C463" s="18"/>
      <c r="D463" s="141"/>
      <c r="E463" s="135"/>
      <c r="F463" s="136"/>
      <c r="G463" s="137"/>
      <c r="H463" s="142"/>
      <c r="I463" s="136"/>
    </row>
    <row r="464" spans="1:9">
      <c r="A464" s="54"/>
      <c r="B464" s="140"/>
      <c r="C464" s="18"/>
      <c r="D464" s="141"/>
      <c r="E464" s="135"/>
      <c r="F464" s="136"/>
      <c r="G464" s="137"/>
      <c r="H464" s="142"/>
      <c r="I464" s="136"/>
    </row>
    <row r="465" spans="1:9">
      <c r="A465" s="54"/>
      <c r="B465" s="140"/>
      <c r="C465" s="18"/>
      <c r="D465" s="141"/>
      <c r="E465" s="135"/>
      <c r="F465" s="136"/>
      <c r="G465" s="137"/>
      <c r="H465" s="142"/>
      <c r="I465" s="136"/>
    </row>
    <row r="466" spans="1:9">
      <c r="A466" s="54"/>
      <c r="B466" s="140"/>
      <c r="C466" s="18"/>
      <c r="D466" s="141"/>
      <c r="E466" s="135"/>
      <c r="F466" s="136"/>
      <c r="G466" s="137"/>
      <c r="H466" s="142"/>
      <c r="I466" s="136"/>
    </row>
    <row r="467" spans="1:9">
      <c r="A467" s="54"/>
      <c r="B467" s="140"/>
      <c r="C467" s="18"/>
      <c r="D467" s="141"/>
      <c r="E467" s="135"/>
      <c r="F467" s="136"/>
      <c r="G467" s="137"/>
      <c r="H467" s="142"/>
      <c r="I467" s="136"/>
    </row>
    <row r="468" spans="1:9">
      <c r="A468" s="54"/>
      <c r="B468" s="140"/>
      <c r="C468" s="18"/>
      <c r="D468" s="141"/>
      <c r="E468" s="135"/>
      <c r="F468" s="136"/>
      <c r="G468" s="137"/>
      <c r="H468" s="142"/>
      <c r="I468" s="136"/>
    </row>
    <row r="469" spans="1:9">
      <c r="A469" s="54"/>
      <c r="B469" s="140"/>
      <c r="C469" s="18"/>
      <c r="D469" s="141"/>
      <c r="E469" s="135"/>
      <c r="F469" s="136"/>
      <c r="G469" s="137"/>
      <c r="H469" s="142"/>
      <c r="I469" s="136"/>
    </row>
    <row r="470" spans="1:9">
      <c r="A470" s="54"/>
      <c r="B470" s="140"/>
      <c r="C470" s="18"/>
      <c r="D470" s="141"/>
      <c r="E470" s="135"/>
      <c r="F470" s="136"/>
      <c r="G470" s="137"/>
      <c r="H470" s="142"/>
      <c r="I470" s="136"/>
    </row>
    <row r="471" spans="1:9">
      <c r="A471" s="54"/>
      <c r="B471" s="140"/>
      <c r="C471" s="18"/>
      <c r="D471" s="141"/>
      <c r="E471" s="135"/>
      <c r="F471" s="136"/>
      <c r="G471" s="137"/>
      <c r="H471" s="142"/>
      <c r="I471" s="136"/>
    </row>
  </sheetData>
  <autoFilter ref="A1:CP74"/>
  <mergeCells count="496">
    <mergeCell ref="BY88:CB88"/>
    <mergeCell ref="CC88:CF88"/>
    <mergeCell ref="CG88:CJ88"/>
    <mergeCell ref="E90:H90"/>
    <mergeCell ref="I90:L90"/>
    <mergeCell ref="M90:P90"/>
    <mergeCell ref="Q90:T90"/>
    <mergeCell ref="U90:X90"/>
    <mergeCell ref="Y90:AB90"/>
    <mergeCell ref="AC90:AF90"/>
    <mergeCell ref="AG90:AJ90"/>
    <mergeCell ref="AK90:AN90"/>
    <mergeCell ref="AO90:AR90"/>
    <mergeCell ref="AS90:AV90"/>
    <mergeCell ref="AW90:AZ90"/>
    <mergeCell ref="BA90:BD90"/>
    <mergeCell ref="BE90:BH90"/>
    <mergeCell ref="BI90:BL90"/>
    <mergeCell ref="BM90:BP90"/>
    <mergeCell ref="BQ90:BT90"/>
    <mergeCell ref="BU90:BX90"/>
    <mergeCell ref="BY90:CB90"/>
    <mergeCell ref="CC90:CF90"/>
    <mergeCell ref="CG90:CJ90"/>
    <mergeCell ref="I88:L88"/>
    <mergeCell ref="M88:P88"/>
    <mergeCell ref="Q88:T88"/>
    <mergeCell ref="U88:X88"/>
    <mergeCell ref="Y88:AB88"/>
    <mergeCell ref="AC88:AF88"/>
    <mergeCell ref="AG88:AJ88"/>
    <mergeCell ref="AK88:AN88"/>
    <mergeCell ref="AO88:AR88"/>
    <mergeCell ref="AS88:AV88"/>
    <mergeCell ref="AW88:AZ88"/>
    <mergeCell ref="BA88:BD88"/>
    <mergeCell ref="BE88:BH88"/>
    <mergeCell ref="BI88:BL88"/>
    <mergeCell ref="BM88:BP88"/>
    <mergeCell ref="BQ88:BT88"/>
    <mergeCell ref="BU88:BX88"/>
    <mergeCell ref="AS76:AV76"/>
    <mergeCell ref="AW76:AZ76"/>
    <mergeCell ref="BA76:BD76"/>
    <mergeCell ref="BE76:BH76"/>
    <mergeCell ref="BQ87:BT87"/>
    <mergeCell ref="BU87:BX87"/>
    <mergeCell ref="CG76:CJ76"/>
    <mergeCell ref="CC76:CF76"/>
    <mergeCell ref="BY76:CB76"/>
    <mergeCell ref="BU76:BX76"/>
    <mergeCell ref="BQ76:BT76"/>
    <mergeCell ref="BM76:BP76"/>
    <mergeCell ref="BI76:BL76"/>
    <mergeCell ref="CG87:CJ87"/>
    <mergeCell ref="E87:H87"/>
    <mergeCell ref="I87:L87"/>
    <mergeCell ref="M87:P87"/>
    <mergeCell ref="Q87:T87"/>
    <mergeCell ref="U87:X87"/>
    <mergeCell ref="Y87:AB87"/>
    <mergeCell ref="AC87:AF87"/>
    <mergeCell ref="AG87:AJ87"/>
    <mergeCell ref="AK87:AN87"/>
    <mergeCell ref="AO87:AR87"/>
    <mergeCell ref="AS87:AV87"/>
    <mergeCell ref="AW87:AZ87"/>
    <mergeCell ref="BA87:BD87"/>
    <mergeCell ref="BE87:BH87"/>
    <mergeCell ref="BI87:BL87"/>
    <mergeCell ref="BM87:BP87"/>
    <mergeCell ref="BY87:CB87"/>
    <mergeCell ref="CC87:CF87"/>
    <mergeCell ref="B75:R75"/>
    <mergeCell ref="E76:H76"/>
    <mergeCell ref="I76:L76"/>
    <mergeCell ref="M76:P76"/>
    <mergeCell ref="Q76:T76"/>
    <mergeCell ref="U76:X76"/>
    <mergeCell ref="Y76:AB76"/>
    <mergeCell ref="AC76:AF76"/>
    <mergeCell ref="AG76:AJ76"/>
    <mergeCell ref="AK76:AN76"/>
    <mergeCell ref="AO76:AR76"/>
    <mergeCell ref="AS1:AS2"/>
    <mergeCell ref="AT1:AT2"/>
    <mergeCell ref="AU1:AU2"/>
    <mergeCell ref="AV1:AV2"/>
    <mergeCell ref="AW1:AW2"/>
    <mergeCell ref="AX1:AX2"/>
    <mergeCell ref="AY1:AY2"/>
    <mergeCell ref="AZ1:AZ2"/>
    <mergeCell ref="BA1:BA2"/>
    <mergeCell ref="BB1:BB2"/>
    <mergeCell ref="BT1:BT2"/>
    <mergeCell ref="BU1:BU2"/>
    <mergeCell ref="BV1:BV2"/>
    <mergeCell ref="BW1:BW2"/>
    <mergeCell ref="BX1:BX2"/>
    <mergeCell ref="BC1:BC2"/>
    <mergeCell ref="BD1:BD2"/>
    <mergeCell ref="BE1:BE2"/>
    <mergeCell ref="BF1:BF2"/>
    <mergeCell ref="BG1:BG2"/>
    <mergeCell ref="BH1:BH2"/>
    <mergeCell ref="BI1:BI2"/>
    <mergeCell ref="BJ1:BJ2"/>
    <mergeCell ref="BK1:BK2"/>
    <mergeCell ref="BL1:BL2"/>
    <mergeCell ref="BM1:BM2"/>
    <mergeCell ref="BN1:BN2"/>
    <mergeCell ref="BO1:BO2"/>
    <mergeCell ref="BP1:BP2"/>
    <mergeCell ref="BQ1:BQ2"/>
    <mergeCell ref="BR1:BR2"/>
    <mergeCell ref="BS1:BS2"/>
    <mergeCell ref="E9:E10"/>
    <mergeCell ref="G17:G18"/>
    <mergeCell ref="C23:C24"/>
    <mergeCell ref="D23:D24"/>
    <mergeCell ref="A57:A58"/>
    <mergeCell ref="A1:A2"/>
    <mergeCell ref="M1:M2"/>
    <mergeCell ref="N1:N2"/>
    <mergeCell ref="O1:O2"/>
    <mergeCell ref="F9:F10"/>
    <mergeCell ref="G9:G10"/>
    <mergeCell ref="H9:H10"/>
    <mergeCell ref="B7:B8"/>
    <mergeCell ref="C7:C8"/>
    <mergeCell ref="D7:D8"/>
    <mergeCell ref="F7:F8"/>
    <mergeCell ref="G7:G8"/>
    <mergeCell ref="I1:I2"/>
    <mergeCell ref="H3:H4"/>
    <mergeCell ref="F19:F20"/>
    <mergeCell ref="G19:G20"/>
    <mergeCell ref="H19:H20"/>
    <mergeCell ref="G31:G32"/>
    <mergeCell ref="H31:H32"/>
    <mergeCell ref="G27:G28"/>
    <mergeCell ref="H27:H28"/>
    <mergeCell ref="G25:G26"/>
    <mergeCell ref="H25:H26"/>
    <mergeCell ref="G21:G22"/>
    <mergeCell ref="H21:H22"/>
    <mergeCell ref="G23:G24"/>
    <mergeCell ref="H23:H24"/>
    <mergeCell ref="H1:H2"/>
    <mergeCell ref="H7:H8"/>
    <mergeCell ref="AN1:AN2"/>
    <mergeCell ref="AO1:AO2"/>
    <mergeCell ref="AP1:AP2"/>
    <mergeCell ref="AQ1:AQ2"/>
    <mergeCell ref="AR1:AR2"/>
    <mergeCell ref="AJ1:AJ2"/>
    <mergeCell ref="AK1:AK2"/>
    <mergeCell ref="H17:H18"/>
    <mergeCell ref="G15:G16"/>
    <mergeCell ref="H15:H16"/>
    <mergeCell ref="P1:P2"/>
    <mergeCell ref="R1:R2"/>
    <mergeCell ref="S1:S2"/>
    <mergeCell ref="CF1:CF2"/>
    <mergeCell ref="CH1:CH2"/>
    <mergeCell ref="CI1:CI2"/>
    <mergeCell ref="T1:T2"/>
    <mergeCell ref="V1:V2"/>
    <mergeCell ref="W1:W2"/>
    <mergeCell ref="CB1:CB2"/>
    <mergeCell ref="BY1:BY2"/>
    <mergeCell ref="BZ1:BZ2"/>
    <mergeCell ref="CA1:CA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L1:AL2"/>
    <mergeCell ref="AM1:AM2"/>
    <mergeCell ref="CP1:CP2"/>
    <mergeCell ref="B3:B4"/>
    <mergeCell ref="C3:C4"/>
    <mergeCell ref="D3:D4"/>
    <mergeCell ref="F3:F4"/>
    <mergeCell ref="G3:G4"/>
    <mergeCell ref="E3:E4"/>
    <mergeCell ref="CL1:CL2"/>
    <mergeCell ref="CM1:CM2"/>
    <mergeCell ref="CN1:CN2"/>
    <mergeCell ref="U1:U2"/>
    <mergeCell ref="Q1:Q2"/>
    <mergeCell ref="J1:J2"/>
    <mergeCell ref="K1:K2"/>
    <mergeCell ref="L1:L2"/>
    <mergeCell ref="CO1:CO2"/>
    <mergeCell ref="CK1:CK2"/>
    <mergeCell ref="CC1:CC2"/>
    <mergeCell ref="CG1:CG2"/>
    <mergeCell ref="B1:B2"/>
    <mergeCell ref="C1:C2"/>
    <mergeCell ref="D1:D2"/>
    <mergeCell ref="E1:E2"/>
    <mergeCell ref="CD1:CD2"/>
    <mergeCell ref="CJ1:CJ2"/>
    <mergeCell ref="B13:B14"/>
    <mergeCell ref="C13:C14"/>
    <mergeCell ref="D13:D14"/>
    <mergeCell ref="F13:F14"/>
    <mergeCell ref="G13:G14"/>
    <mergeCell ref="H13:H14"/>
    <mergeCell ref="B11:B12"/>
    <mergeCell ref="C11:C12"/>
    <mergeCell ref="D11:D12"/>
    <mergeCell ref="F11:F12"/>
    <mergeCell ref="G11:G12"/>
    <mergeCell ref="H11:H12"/>
    <mergeCell ref="B5:B6"/>
    <mergeCell ref="C5:C6"/>
    <mergeCell ref="D5:D6"/>
    <mergeCell ref="E5:E6"/>
    <mergeCell ref="F5:F6"/>
    <mergeCell ref="G5:G6"/>
    <mergeCell ref="H5:H6"/>
    <mergeCell ref="B9:B10"/>
    <mergeCell ref="C9:C10"/>
    <mergeCell ref="D9:D10"/>
    <mergeCell ref="CE1:CE2"/>
    <mergeCell ref="F23:F24"/>
    <mergeCell ref="B19:B20"/>
    <mergeCell ref="C19:C20"/>
    <mergeCell ref="D19:D20"/>
    <mergeCell ref="E19:E20"/>
    <mergeCell ref="B17:B18"/>
    <mergeCell ref="C17:C18"/>
    <mergeCell ref="D17:D18"/>
    <mergeCell ref="F17:F18"/>
    <mergeCell ref="B31:B32"/>
    <mergeCell ref="C31:C32"/>
    <mergeCell ref="D31:D32"/>
    <mergeCell ref="E31:E32"/>
    <mergeCell ref="F31:F32"/>
    <mergeCell ref="B15:B16"/>
    <mergeCell ref="C15:C16"/>
    <mergeCell ref="D15:D16"/>
    <mergeCell ref="E15:E16"/>
    <mergeCell ref="F15:F16"/>
    <mergeCell ref="B27:B28"/>
    <mergeCell ref="C27:C28"/>
    <mergeCell ref="D27:D28"/>
    <mergeCell ref="F27:F28"/>
    <mergeCell ref="B25:B26"/>
    <mergeCell ref="C25:C26"/>
    <mergeCell ref="D25:D26"/>
    <mergeCell ref="F25:F26"/>
    <mergeCell ref="B21:B22"/>
    <mergeCell ref="C21:C22"/>
    <mergeCell ref="D21:D22"/>
    <mergeCell ref="E21:E22"/>
    <mergeCell ref="F21:F22"/>
    <mergeCell ref="B23:B24"/>
    <mergeCell ref="F29:F30"/>
    <mergeCell ref="G29:G30"/>
    <mergeCell ref="H29:H30"/>
    <mergeCell ref="H39:H40"/>
    <mergeCell ref="B39:B40"/>
    <mergeCell ref="C39:C40"/>
    <mergeCell ref="D39:D40"/>
    <mergeCell ref="E39:E40"/>
    <mergeCell ref="F39:F40"/>
    <mergeCell ref="G39:G40"/>
    <mergeCell ref="G37:G38"/>
    <mergeCell ref="H37:H38"/>
    <mergeCell ref="B37:B38"/>
    <mergeCell ref="C37:C38"/>
    <mergeCell ref="D37:D38"/>
    <mergeCell ref="E37:E38"/>
    <mergeCell ref="F37:F38"/>
    <mergeCell ref="G33:G34"/>
    <mergeCell ref="H33:H34"/>
    <mergeCell ref="B33:B34"/>
    <mergeCell ref="C33:C34"/>
    <mergeCell ref="D33:D34"/>
    <mergeCell ref="E33:E34"/>
    <mergeCell ref="F33:F34"/>
    <mergeCell ref="F35:F36"/>
    <mergeCell ref="G35:G36"/>
    <mergeCell ref="H35:H36"/>
    <mergeCell ref="B45:B46"/>
    <mergeCell ref="C45:C46"/>
    <mergeCell ref="D45:D46"/>
    <mergeCell ref="E45:E46"/>
    <mergeCell ref="F45:F46"/>
    <mergeCell ref="G45:G46"/>
    <mergeCell ref="H45:H46"/>
    <mergeCell ref="H43:H44"/>
    <mergeCell ref="B43:B44"/>
    <mergeCell ref="C43:C44"/>
    <mergeCell ref="D43:D44"/>
    <mergeCell ref="E43:E44"/>
    <mergeCell ref="F43:F44"/>
    <mergeCell ref="G43:G44"/>
    <mergeCell ref="B41:B42"/>
    <mergeCell ref="C41:C42"/>
    <mergeCell ref="F41:F42"/>
    <mergeCell ref="G41:G42"/>
    <mergeCell ref="H41:H42"/>
    <mergeCell ref="D53:D54"/>
    <mergeCell ref="E53:E54"/>
    <mergeCell ref="F53:F54"/>
    <mergeCell ref="F47:F48"/>
    <mergeCell ref="G47:G48"/>
    <mergeCell ref="H47:H48"/>
    <mergeCell ref="B47:B48"/>
    <mergeCell ref="C47:C48"/>
    <mergeCell ref="D47:D48"/>
    <mergeCell ref="E47:E48"/>
    <mergeCell ref="H51:H52"/>
    <mergeCell ref="F49:F50"/>
    <mergeCell ref="G49:G50"/>
    <mergeCell ref="H49:H50"/>
    <mergeCell ref="B51:B52"/>
    <mergeCell ref="C51:C52"/>
    <mergeCell ref="D51:D52"/>
    <mergeCell ref="E51:E52"/>
    <mergeCell ref="F51:F52"/>
    <mergeCell ref="G51:G52"/>
    <mergeCell ref="B49:B50"/>
    <mergeCell ref="C49:C50"/>
    <mergeCell ref="D49:D50"/>
    <mergeCell ref="E49:E50"/>
    <mergeCell ref="E88:H88"/>
    <mergeCell ref="E25:E26"/>
    <mergeCell ref="A73:D73"/>
    <mergeCell ref="D59:D60"/>
    <mergeCell ref="E59:E60"/>
    <mergeCell ref="F59:F60"/>
    <mergeCell ref="G59:G60"/>
    <mergeCell ref="H59:H60"/>
    <mergeCell ref="H57:H58"/>
    <mergeCell ref="D57:D58"/>
    <mergeCell ref="E57:E58"/>
    <mergeCell ref="F57:F58"/>
    <mergeCell ref="G57:G58"/>
    <mergeCell ref="B55:B56"/>
    <mergeCell ref="C55:C56"/>
    <mergeCell ref="D55:D56"/>
    <mergeCell ref="E55:E56"/>
    <mergeCell ref="F55:F56"/>
    <mergeCell ref="G55:G56"/>
    <mergeCell ref="H55:H56"/>
    <mergeCell ref="G53:G54"/>
    <mergeCell ref="H53:H54"/>
    <mergeCell ref="B53:B54"/>
    <mergeCell ref="C53:C54"/>
    <mergeCell ref="A45:A46"/>
    <mergeCell ref="A47:A48"/>
    <mergeCell ref="A49:A50"/>
    <mergeCell ref="A51:A52"/>
    <mergeCell ref="A53:A54"/>
    <mergeCell ref="A55:A56"/>
    <mergeCell ref="A25:A26"/>
    <mergeCell ref="E27:E28"/>
    <mergeCell ref="A27:A28"/>
    <mergeCell ref="A29:A30"/>
    <mergeCell ref="A31:A32"/>
    <mergeCell ref="A33:A34"/>
    <mergeCell ref="E29:E30"/>
    <mergeCell ref="A35:A36"/>
    <mergeCell ref="A37:A38"/>
    <mergeCell ref="D41:D42"/>
    <mergeCell ref="E41:E42"/>
    <mergeCell ref="B35:B36"/>
    <mergeCell ref="C35:C36"/>
    <mergeCell ref="D35:D36"/>
    <mergeCell ref="E35:E36"/>
    <mergeCell ref="B29:B30"/>
    <mergeCell ref="C29:C30"/>
    <mergeCell ref="D29:D30"/>
    <mergeCell ref="A59:A60"/>
    <mergeCell ref="A3:A4"/>
    <mergeCell ref="A5:A6"/>
    <mergeCell ref="A7:A8"/>
    <mergeCell ref="A9:A10"/>
    <mergeCell ref="E7:E8"/>
    <mergeCell ref="E11:E12"/>
    <mergeCell ref="A11:A12"/>
    <mergeCell ref="E13:E14"/>
    <mergeCell ref="A13:A14"/>
    <mergeCell ref="A15:A16"/>
    <mergeCell ref="A17:A18"/>
    <mergeCell ref="E17:E18"/>
    <mergeCell ref="A19:A20"/>
    <mergeCell ref="A21:A22"/>
    <mergeCell ref="E23:E24"/>
    <mergeCell ref="A23:A24"/>
    <mergeCell ref="B57:B58"/>
    <mergeCell ref="C57:C58"/>
    <mergeCell ref="B59:B60"/>
    <mergeCell ref="C59:C60"/>
    <mergeCell ref="A39:A40"/>
    <mergeCell ref="A41:A42"/>
    <mergeCell ref="A43:A44"/>
    <mergeCell ref="I64:I65"/>
    <mergeCell ref="A66:A67"/>
    <mergeCell ref="B66:B67"/>
    <mergeCell ref="C66:C67"/>
    <mergeCell ref="D66:D67"/>
    <mergeCell ref="E66:E67"/>
    <mergeCell ref="F66:F67"/>
    <mergeCell ref="G66:G67"/>
    <mergeCell ref="H66:H67"/>
    <mergeCell ref="I66:I67"/>
    <mergeCell ref="A62:A63"/>
    <mergeCell ref="B62:B63"/>
    <mergeCell ref="C62:C63"/>
    <mergeCell ref="D62:D63"/>
    <mergeCell ref="F62:F63"/>
    <mergeCell ref="G62:G63"/>
    <mergeCell ref="H62:H63"/>
    <mergeCell ref="A64:A65"/>
    <mergeCell ref="B64:B65"/>
    <mergeCell ref="C64:C65"/>
    <mergeCell ref="D64:D65"/>
    <mergeCell ref="E64:E65"/>
    <mergeCell ref="F64:F65"/>
    <mergeCell ref="G64:G65"/>
    <mergeCell ref="H64:H65"/>
    <mergeCell ref="E62:E63"/>
    <mergeCell ref="A68:A69"/>
    <mergeCell ref="B68:B69"/>
    <mergeCell ref="C68:C69"/>
    <mergeCell ref="D68:D69"/>
    <mergeCell ref="E68:E69"/>
    <mergeCell ref="F68:F69"/>
    <mergeCell ref="G68:G69"/>
    <mergeCell ref="H68:H69"/>
    <mergeCell ref="I68:I69"/>
    <mergeCell ref="A70:A71"/>
    <mergeCell ref="B70:B71"/>
    <mergeCell ref="C70:C71"/>
    <mergeCell ref="D70:D71"/>
    <mergeCell ref="E70:E71"/>
    <mergeCell ref="F70:F71"/>
    <mergeCell ref="G70:G71"/>
    <mergeCell ref="H70:H71"/>
    <mergeCell ref="I70:I71"/>
    <mergeCell ref="E91:H91"/>
    <mergeCell ref="I91:L91"/>
    <mergeCell ref="M91:P91"/>
    <mergeCell ref="Q91:T91"/>
    <mergeCell ref="U91:X91"/>
    <mergeCell ref="Y91:AB91"/>
    <mergeCell ref="AC91:AF91"/>
    <mergeCell ref="AG91:AJ91"/>
    <mergeCell ref="AK91:AN91"/>
    <mergeCell ref="AO91:AR91"/>
    <mergeCell ref="AS91:AV91"/>
    <mergeCell ref="AW91:AZ91"/>
    <mergeCell ref="BA91:BD91"/>
    <mergeCell ref="BE91:BH91"/>
    <mergeCell ref="BI91:BL91"/>
    <mergeCell ref="BM91:BP91"/>
    <mergeCell ref="BQ91:BT91"/>
    <mergeCell ref="BU91:BX91"/>
    <mergeCell ref="BY91:CB91"/>
    <mergeCell ref="CC91:CF91"/>
    <mergeCell ref="CG91:CJ91"/>
    <mergeCell ref="E92:H92"/>
    <mergeCell ref="I92:L92"/>
    <mergeCell ref="M92:P92"/>
    <mergeCell ref="Q92:T92"/>
    <mergeCell ref="U92:X92"/>
    <mergeCell ref="Y92:AB92"/>
    <mergeCell ref="AC92:AF92"/>
    <mergeCell ref="AG92:AJ92"/>
    <mergeCell ref="AK92:AN92"/>
    <mergeCell ref="AO92:AR92"/>
    <mergeCell ref="AS92:AV92"/>
    <mergeCell ref="AW92:AZ92"/>
    <mergeCell ref="BA92:BD92"/>
    <mergeCell ref="BE92:BH92"/>
    <mergeCell ref="BI92:BL92"/>
    <mergeCell ref="BM92:BP92"/>
    <mergeCell ref="BQ92:BT92"/>
    <mergeCell ref="BU92:BX92"/>
    <mergeCell ref="BY92:CB92"/>
    <mergeCell ref="CC92:CF92"/>
    <mergeCell ref="CG92:CJ92"/>
  </mergeCells>
  <phoneticPr fontId="2" type="noConversion"/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D436"/>
  <sheetViews>
    <sheetView topLeftCell="BZ1" zoomScale="85" zoomScaleNormal="85" workbookViewId="0">
      <selection activeCell="C29" sqref="C29"/>
    </sheetView>
  </sheetViews>
  <sheetFormatPr defaultColWidth="9" defaultRowHeight="13.5" outlineLevelCol="1"/>
  <cols>
    <col min="1" max="1" width="5" style="78" customWidth="1"/>
    <col min="2" max="2" width="20.625" style="79" customWidth="1"/>
    <col min="3" max="3" width="19.75" style="1" customWidth="1"/>
    <col min="4" max="4" width="15.25" style="80" customWidth="1"/>
    <col min="5" max="5" width="10.5" style="81" customWidth="1" outlineLevel="1"/>
    <col min="6" max="6" width="10.75" style="82" customWidth="1"/>
    <col min="7" max="7" width="10.625" style="83" customWidth="1"/>
    <col min="8" max="8" width="13.375" style="30" customWidth="1"/>
    <col min="9" max="9" width="12.375" style="82" customWidth="1"/>
    <col min="10" max="10" width="13.75" style="41" customWidth="1"/>
    <col min="11" max="11" width="13.75" style="30" customWidth="1"/>
    <col min="12" max="12" width="12.875" style="30" customWidth="1"/>
    <col min="13" max="16" width="13.75" style="30" bestFit="1" customWidth="1"/>
    <col min="17" max="93" width="11.625" style="30" customWidth="1"/>
    <col min="94" max="94" width="15" style="30" customWidth="1"/>
    <col min="95" max="144" width="11.625" style="30" customWidth="1"/>
    <col min="145" max="145" width="14.625" style="30" customWidth="1"/>
    <col min="146" max="149" width="11.625" style="30" customWidth="1"/>
    <col min="150" max="150" width="18" style="53" customWidth="1"/>
    <col min="151" max="151" width="22.75" style="47" customWidth="1"/>
    <col min="152" max="152" width="9" style="47" customWidth="1"/>
    <col min="153" max="153" width="11.75" style="47" customWidth="1"/>
    <col min="154" max="154" width="8.875" style="47" customWidth="1"/>
    <col min="155" max="155" width="12.375" style="47" customWidth="1"/>
    <col min="156" max="156" width="13" style="47" customWidth="1"/>
    <col min="157" max="157" width="12.375" style="47" customWidth="1"/>
    <col min="158" max="158" width="12.25" style="47" customWidth="1"/>
    <col min="159" max="159" width="12.125" style="47" customWidth="1"/>
    <col min="160" max="160" width="11.625" style="47" customWidth="1"/>
    <col min="161" max="161" width="12" style="47" customWidth="1"/>
    <col min="162" max="162" width="13" style="47" customWidth="1"/>
    <col min="163" max="163" width="11.625" style="47" customWidth="1"/>
    <col min="164" max="165" width="12" style="47" customWidth="1"/>
    <col min="166" max="168" width="11.625" style="47" customWidth="1"/>
    <col min="169" max="169" width="11.125" style="47" customWidth="1"/>
    <col min="170" max="170" width="12" style="47" customWidth="1"/>
    <col min="171" max="171" width="13" style="47" customWidth="1"/>
    <col min="172" max="172" width="13.625" style="47" customWidth="1"/>
    <col min="173" max="173" width="11.875" style="47" customWidth="1"/>
    <col min="174" max="175" width="11.625" style="47" customWidth="1"/>
    <col min="176" max="176" width="12" style="47" customWidth="1"/>
    <col min="177" max="177" width="12.75" style="47" customWidth="1"/>
    <col min="178" max="178" width="11.625" style="47" customWidth="1"/>
    <col min="179" max="179" width="12.125" style="47" customWidth="1"/>
    <col min="180" max="181" width="11.625" style="47" customWidth="1"/>
    <col min="182" max="182" width="12.5" style="47" customWidth="1"/>
    <col min="183" max="357" width="11.625" style="47" customWidth="1"/>
    <col min="358" max="358" width="17.75" style="47" customWidth="1"/>
    <col min="359" max="360" width="9" style="47" customWidth="1"/>
    <col min="361" max="361" width="16.25" style="47" customWidth="1"/>
    <col min="362" max="362" width="24" style="47" customWidth="1"/>
    <col min="363" max="363" width="9" style="47"/>
    <col min="364" max="364" width="11.75" style="47" customWidth="1"/>
    <col min="365" max="365" width="8.875" style="47" customWidth="1"/>
    <col min="366" max="366" width="17.375" style="47" customWidth="1"/>
    <col min="367" max="367" width="13.25" style="47" customWidth="1"/>
    <col min="368" max="368" width="25.75" style="47" customWidth="1"/>
    <col min="369" max="369" width="11.125" style="47" customWidth="1"/>
    <col min="370" max="370" width="10.75" style="47" customWidth="1"/>
    <col min="371" max="371" width="9" style="47" customWidth="1"/>
    <col min="372" max="372" width="9.75" style="47" customWidth="1"/>
    <col min="373" max="373" width="7.5" style="47" customWidth="1"/>
    <col min="374" max="374" width="13.25" style="47" customWidth="1"/>
    <col min="375" max="375" width="11.75" style="47" customWidth="1"/>
    <col min="376" max="376" width="8.875" style="47" customWidth="1"/>
    <col min="377" max="377" width="9.625" style="47" customWidth="1"/>
    <col min="378" max="379" width="11.875" style="47" customWidth="1"/>
    <col min="380" max="380" width="11.5" style="47" customWidth="1"/>
    <col min="381" max="396" width="12.25" style="47" customWidth="1"/>
    <col min="397" max="397" width="13" style="47" customWidth="1"/>
    <col min="398" max="402" width="12.375" style="47" customWidth="1"/>
    <col min="403" max="403" width="13" style="47" customWidth="1"/>
    <col min="404" max="405" width="12.375" style="47" customWidth="1"/>
    <col min="406" max="406" width="13" style="47" customWidth="1"/>
    <col min="407" max="407" width="13.125" style="47" customWidth="1"/>
    <col min="408" max="408" width="13" style="47" customWidth="1"/>
    <col min="409" max="409" width="13.125" style="47" customWidth="1"/>
    <col min="410" max="411" width="12.375" style="47" customWidth="1"/>
    <col min="412" max="412" width="13" style="47" customWidth="1"/>
    <col min="413" max="413" width="12.375" style="47" customWidth="1"/>
    <col min="414" max="414" width="12.25" style="47" customWidth="1"/>
    <col min="415" max="415" width="12.125" style="47" customWidth="1"/>
    <col min="416" max="416" width="11.625" style="47" customWidth="1"/>
    <col min="417" max="417" width="12" style="47" customWidth="1"/>
    <col min="418" max="418" width="13" style="47" customWidth="1"/>
    <col min="419" max="419" width="11.625" style="47" customWidth="1"/>
    <col min="420" max="421" width="12" style="47" customWidth="1"/>
    <col min="422" max="424" width="11.625" style="47" customWidth="1"/>
    <col min="425" max="425" width="11.125" style="47" customWidth="1"/>
    <col min="426" max="426" width="12" style="47" customWidth="1"/>
    <col min="427" max="427" width="13" style="47" customWidth="1"/>
    <col min="428" max="428" width="13.625" style="47" customWidth="1"/>
    <col min="429" max="429" width="11.875" style="47" customWidth="1"/>
    <col min="430" max="431" width="11.625" style="47" customWidth="1"/>
    <col min="432" max="432" width="12" style="47" customWidth="1"/>
    <col min="433" max="433" width="12.75" style="47" customWidth="1"/>
    <col min="434" max="434" width="11.625" style="47" customWidth="1"/>
    <col min="435" max="435" width="12.125" style="47" customWidth="1"/>
    <col min="436" max="437" width="11.625" style="47" customWidth="1"/>
    <col min="438" max="438" width="12.5" style="47" customWidth="1"/>
    <col min="439" max="613" width="11.625" style="47" customWidth="1"/>
    <col min="614" max="614" width="17.75" style="47" customWidth="1"/>
    <col min="615" max="616" width="9" style="47" customWidth="1"/>
    <col min="617" max="617" width="16.25" style="47" customWidth="1"/>
    <col min="618" max="618" width="24" style="47" customWidth="1"/>
    <col min="619" max="619" width="9" style="47"/>
    <col min="620" max="620" width="11.75" style="47" customWidth="1"/>
    <col min="621" max="621" width="8.875" style="47" customWidth="1"/>
    <col min="622" max="622" width="17.375" style="47" customWidth="1"/>
    <col min="623" max="623" width="13.25" style="47" customWidth="1"/>
    <col min="624" max="624" width="25.75" style="47" customWidth="1"/>
    <col min="625" max="625" width="11.125" style="47" customWidth="1"/>
    <col min="626" max="626" width="10.75" style="47" customWidth="1"/>
    <col min="627" max="627" width="9" style="47" customWidth="1"/>
    <col min="628" max="628" width="9.75" style="47" customWidth="1"/>
    <col min="629" max="629" width="7.5" style="47" customWidth="1"/>
    <col min="630" max="630" width="13.25" style="47" customWidth="1"/>
    <col min="631" max="631" width="11.75" style="47" customWidth="1"/>
    <col min="632" max="632" width="8.875" style="47" customWidth="1"/>
    <col min="633" max="633" width="9.625" style="47" customWidth="1"/>
    <col min="634" max="635" width="11.875" style="47" customWidth="1"/>
    <col min="636" max="636" width="11.5" style="47" customWidth="1"/>
    <col min="637" max="652" width="12.25" style="47" customWidth="1"/>
    <col min="653" max="653" width="13" style="47" customWidth="1"/>
    <col min="654" max="658" width="12.375" style="47" customWidth="1"/>
    <col min="659" max="659" width="13" style="47" customWidth="1"/>
    <col min="660" max="661" width="12.375" style="47" customWidth="1"/>
    <col min="662" max="662" width="13" style="47" customWidth="1"/>
    <col min="663" max="663" width="13.125" style="47" customWidth="1"/>
    <col min="664" max="664" width="13" style="47" customWidth="1"/>
    <col min="665" max="665" width="13.125" style="47" customWidth="1"/>
    <col min="666" max="667" width="12.375" style="47" customWidth="1"/>
    <col min="668" max="668" width="13" style="47" customWidth="1"/>
    <col min="669" max="669" width="12.375" style="47" customWidth="1"/>
    <col min="670" max="670" width="12.25" style="47" customWidth="1"/>
    <col min="671" max="671" width="12.125" style="47" customWidth="1"/>
    <col min="672" max="672" width="11.625" style="47" customWidth="1"/>
    <col min="673" max="673" width="12" style="47" customWidth="1"/>
    <col min="674" max="674" width="13" style="47" customWidth="1"/>
    <col min="675" max="675" width="11.625" style="47" customWidth="1"/>
    <col min="676" max="677" width="12" style="47" customWidth="1"/>
    <col min="678" max="680" width="11.625" style="47" customWidth="1"/>
    <col min="681" max="681" width="11.125" style="47" customWidth="1"/>
    <col min="682" max="682" width="12" style="47" customWidth="1"/>
    <col min="683" max="683" width="13" style="47" customWidth="1"/>
    <col min="684" max="684" width="13.625" style="47" customWidth="1"/>
    <col min="685" max="685" width="11.875" style="47" customWidth="1"/>
    <col min="686" max="687" width="11.625" style="47" customWidth="1"/>
    <col min="688" max="688" width="12" style="47" customWidth="1"/>
    <col min="689" max="689" width="12.75" style="47" customWidth="1"/>
    <col min="690" max="690" width="11.625" style="47" customWidth="1"/>
    <col min="691" max="691" width="12.125" style="47" customWidth="1"/>
    <col min="692" max="693" width="11.625" style="47" customWidth="1"/>
    <col min="694" max="694" width="12.5" style="47" customWidth="1"/>
    <col min="695" max="869" width="11.625" style="47" customWidth="1"/>
    <col min="870" max="870" width="17.75" style="47" customWidth="1"/>
    <col min="871" max="872" width="9" style="47" customWidth="1"/>
    <col min="873" max="873" width="16.25" style="47" customWidth="1"/>
    <col min="874" max="874" width="24" style="47" customWidth="1"/>
    <col min="875" max="875" width="9" style="47"/>
    <col min="876" max="876" width="11.75" style="47" customWidth="1"/>
    <col min="877" max="877" width="8.875" style="47" customWidth="1"/>
    <col min="878" max="878" width="17.375" style="47" customWidth="1"/>
    <col min="879" max="879" width="13.25" style="47" customWidth="1"/>
    <col min="880" max="880" width="25.75" style="47" customWidth="1"/>
    <col min="881" max="881" width="11.125" style="47" customWidth="1"/>
    <col min="882" max="882" width="10.75" style="47" customWidth="1"/>
    <col min="883" max="883" width="9" style="47" customWidth="1"/>
    <col min="884" max="884" width="9.75" style="47" customWidth="1"/>
    <col min="885" max="885" width="7.5" style="47" customWidth="1"/>
    <col min="886" max="886" width="13.25" style="47" customWidth="1"/>
    <col min="887" max="887" width="11.75" style="47" customWidth="1"/>
    <col min="888" max="888" width="8.875" style="47" customWidth="1"/>
    <col min="889" max="889" width="9.625" style="47" customWidth="1"/>
    <col min="890" max="891" width="11.875" style="47" customWidth="1"/>
    <col min="892" max="892" width="11.5" style="47" customWidth="1"/>
    <col min="893" max="908" width="12.25" style="47" customWidth="1"/>
    <col min="909" max="909" width="13" style="47" customWidth="1"/>
    <col min="910" max="914" width="12.375" style="47" customWidth="1"/>
    <col min="915" max="915" width="13" style="47" customWidth="1"/>
    <col min="916" max="917" width="12.375" style="47" customWidth="1"/>
    <col min="918" max="918" width="13" style="47" customWidth="1"/>
    <col min="919" max="919" width="13.125" style="47" customWidth="1"/>
    <col min="920" max="920" width="13" style="47" customWidth="1"/>
    <col min="921" max="921" width="13.125" style="47" customWidth="1"/>
    <col min="922" max="923" width="12.375" style="47" customWidth="1"/>
    <col min="924" max="924" width="13" style="47" customWidth="1"/>
    <col min="925" max="925" width="12.375" style="47" customWidth="1"/>
    <col min="926" max="926" width="12.25" style="47" customWidth="1"/>
    <col min="927" max="927" width="12.125" style="47" customWidth="1"/>
    <col min="928" max="928" width="11.625" style="47" customWidth="1"/>
    <col min="929" max="929" width="12" style="47" customWidth="1"/>
    <col min="930" max="930" width="13" style="47" customWidth="1"/>
    <col min="931" max="931" width="11.625" style="47" customWidth="1"/>
    <col min="932" max="933" width="12" style="47" customWidth="1"/>
    <col min="934" max="936" width="11.625" style="47" customWidth="1"/>
    <col min="937" max="937" width="11.125" style="47" customWidth="1"/>
    <col min="938" max="938" width="12" style="47" customWidth="1"/>
    <col min="939" max="939" width="13" style="47" customWidth="1"/>
    <col min="940" max="940" width="13.625" style="47" customWidth="1"/>
    <col min="941" max="941" width="11.875" style="47" customWidth="1"/>
    <col min="942" max="943" width="11.625" style="47" customWidth="1"/>
    <col min="944" max="944" width="12" style="47" customWidth="1"/>
    <col min="945" max="945" width="12.75" style="47" customWidth="1"/>
    <col min="946" max="946" width="11.625" style="47" customWidth="1"/>
    <col min="947" max="947" width="12.125" style="47" customWidth="1"/>
    <col min="948" max="949" width="11.625" style="47" customWidth="1"/>
    <col min="950" max="950" width="12.5" style="47" customWidth="1"/>
    <col min="951" max="1125" width="11.625" style="47" customWidth="1"/>
    <col min="1126" max="1126" width="17.75" style="47" customWidth="1"/>
    <col min="1127" max="1128" width="9" style="47" customWidth="1"/>
    <col min="1129" max="1129" width="16.25" style="47" customWidth="1"/>
    <col min="1130" max="1130" width="24" style="47" customWidth="1"/>
    <col min="1131" max="1131" width="9" style="47"/>
    <col min="1132" max="1132" width="11.75" style="47" customWidth="1"/>
    <col min="1133" max="1133" width="8.875" style="47" customWidth="1"/>
    <col min="1134" max="1134" width="17.375" style="47" customWidth="1"/>
    <col min="1135" max="1135" width="13.25" style="47" customWidth="1"/>
    <col min="1136" max="1136" width="25.75" style="47" customWidth="1"/>
    <col min="1137" max="1137" width="11.125" style="47" customWidth="1"/>
    <col min="1138" max="1138" width="10.75" style="47" customWidth="1"/>
    <col min="1139" max="1139" width="9" style="47" customWidth="1"/>
    <col min="1140" max="1140" width="9.75" style="47" customWidth="1"/>
    <col min="1141" max="1141" width="7.5" style="47" customWidth="1"/>
    <col min="1142" max="1142" width="13.25" style="47" customWidth="1"/>
    <col min="1143" max="1143" width="11.75" style="47" customWidth="1"/>
    <col min="1144" max="1144" width="8.875" style="47" customWidth="1"/>
    <col min="1145" max="1145" width="9.625" style="47" customWidth="1"/>
    <col min="1146" max="1147" width="11.875" style="47" customWidth="1"/>
    <col min="1148" max="1148" width="11.5" style="47" customWidth="1"/>
    <col min="1149" max="1164" width="12.25" style="47" customWidth="1"/>
    <col min="1165" max="1165" width="13" style="47" customWidth="1"/>
    <col min="1166" max="1170" width="12.375" style="47" customWidth="1"/>
    <col min="1171" max="1171" width="13" style="47" customWidth="1"/>
    <col min="1172" max="1173" width="12.375" style="47" customWidth="1"/>
    <col min="1174" max="1174" width="13" style="47" customWidth="1"/>
    <col min="1175" max="1175" width="13.125" style="47" customWidth="1"/>
    <col min="1176" max="1176" width="13" style="47" customWidth="1"/>
    <col min="1177" max="1177" width="13.125" style="47" customWidth="1"/>
    <col min="1178" max="1179" width="12.375" style="47" customWidth="1"/>
    <col min="1180" max="1180" width="13" style="47" customWidth="1"/>
    <col min="1181" max="1181" width="12.375" style="47" customWidth="1"/>
    <col min="1182" max="1182" width="12.25" style="47" customWidth="1"/>
    <col min="1183" max="1183" width="12.125" style="47" customWidth="1"/>
    <col min="1184" max="1184" width="11.625" style="47" customWidth="1"/>
    <col min="1185" max="1185" width="12" style="47" customWidth="1"/>
    <col min="1186" max="1186" width="13" style="47" customWidth="1"/>
    <col min="1187" max="1187" width="11.625" style="47" customWidth="1"/>
    <col min="1188" max="1189" width="12" style="47" customWidth="1"/>
    <col min="1190" max="1192" width="11.625" style="47" customWidth="1"/>
    <col min="1193" max="1193" width="11.125" style="47" customWidth="1"/>
    <col min="1194" max="1194" width="12" style="47" customWidth="1"/>
    <col min="1195" max="1195" width="13" style="47" customWidth="1"/>
    <col min="1196" max="1196" width="13.625" style="47" customWidth="1"/>
    <col min="1197" max="1197" width="11.875" style="47" customWidth="1"/>
    <col min="1198" max="1199" width="11.625" style="47" customWidth="1"/>
    <col min="1200" max="1200" width="12" style="47" customWidth="1"/>
    <col min="1201" max="1201" width="12.75" style="47" customWidth="1"/>
    <col min="1202" max="1202" width="11.625" style="47" customWidth="1"/>
    <col min="1203" max="1203" width="12.125" style="47" customWidth="1"/>
    <col min="1204" max="1205" width="11.625" style="47" customWidth="1"/>
    <col min="1206" max="1206" width="12.5" style="47" customWidth="1"/>
    <col min="1207" max="1381" width="11.625" style="47" customWidth="1"/>
    <col min="1382" max="1382" width="17.75" style="47" customWidth="1"/>
    <col min="1383" max="1384" width="9" style="47" customWidth="1"/>
    <col min="1385" max="1385" width="16.25" style="47" customWidth="1"/>
    <col min="1386" max="1386" width="24" style="47" customWidth="1"/>
    <col min="1387" max="1387" width="9" style="47"/>
    <col min="1388" max="1388" width="11.75" style="47" customWidth="1"/>
    <col min="1389" max="1389" width="8.875" style="47" customWidth="1"/>
    <col min="1390" max="1390" width="17.375" style="47" customWidth="1"/>
    <col min="1391" max="1391" width="13.25" style="47" customWidth="1"/>
    <col min="1392" max="1392" width="25.75" style="47" customWidth="1"/>
    <col min="1393" max="1393" width="11.125" style="47" customWidth="1"/>
    <col min="1394" max="1394" width="10.75" style="47" customWidth="1"/>
    <col min="1395" max="1395" width="9" style="47" customWidth="1"/>
    <col min="1396" max="1396" width="9.75" style="47" customWidth="1"/>
    <col min="1397" max="1397" width="7.5" style="47" customWidth="1"/>
    <col min="1398" max="1398" width="13.25" style="47" customWidth="1"/>
    <col min="1399" max="1399" width="11.75" style="47" customWidth="1"/>
    <col min="1400" max="1400" width="8.875" style="47" customWidth="1"/>
    <col min="1401" max="1401" width="9.625" style="47" customWidth="1"/>
    <col min="1402" max="1403" width="11.875" style="47" customWidth="1"/>
    <col min="1404" max="1404" width="11.5" style="47" customWidth="1"/>
    <col min="1405" max="1420" width="12.25" style="47" customWidth="1"/>
    <col min="1421" max="1421" width="13" style="47" customWidth="1"/>
    <col min="1422" max="1426" width="12.375" style="47" customWidth="1"/>
    <col min="1427" max="1427" width="13" style="47" customWidth="1"/>
    <col min="1428" max="1429" width="12.375" style="47" customWidth="1"/>
    <col min="1430" max="1430" width="13" style="47" customWidth="1"/>
    <col min="1431" max="1431" width="13.125" style="47" customWidth="1"/>
    <col min="1432" max="1432" width="13" style="47" customWidth="1"/>
    <col min="1433" max="1433" width="13.125" style="47" customWidth="1"/>
    <col min="1434" max="1435" width="12.375" style="47" customWidth="1"/>
    <col min="1436" max="1436" width="13" style="47" customWidth="1"/>
    <col min="1437" max="1437" width="12.375" style="47" customWidth="1"/>
    <col min="1438" max="1438" width="12.25" style="47" customWidth="1"/>
    <col min="1439" max="1439" width="12.125" style="47" customWidth="1"/>
    <col min="1440" max="1440" width="11.625" style="47" customWidth="1"/>
    <col min="1441" max="1441" width="12" style="47" customWidth="1"/>
    <col min="1442" max="1442" width="13" style="47" customWidth="1"/>
    <col min="1443" max="1443" width="11.625" style="47" customWidth="1"/>
    <col min="1444" max="1445" width="12" style="47" customWidth="1"/>
    <col min="1446" max="1448" width="11.625" style="47" customWidth="1"/>
    <col min="1449" max="1449" width="11.125" style="47" customWidth="1"/>
    <col min="1450" max="1450" width="12" style="47" customWidth="1"/>
    <col min="1451" max="1451" width="13" style="47" customWidth="1"/>
    <col min="1452" max="1452" width="13.625" style="47" customWidth="1"/>
    <col min="1453" max="1453" width="11.875" style="47" customWidth="1"/>
    <col min="1454" max="1455" width="11.625" style="47" customWidth="1"/>
    <col min="1456" max="1456" width="12" style="47" customWidth="1"/>
    <col min="1457" max="1457" width="12.75" style="47" customWidth="1"/>
    <col min="1458" max="1458" width="11.625" style="47" customWidth="1"/>
    <col min="1459" max="1459" width="12.125" style="47" customWidth="1"/>
    <col min="1460" max="1461" width="11.625" style="47" customWidth="1"/>
    <col min="1462" max="1462" width="12.5" style="47" customWidth="1"/>
    <col min="1463" max="1637" width="11.625" style="47" customWidth="1"/>
    <col min="1638" max="1638" width="17.75" style="47" customWidth="1"/>
    <col min="1639" max="1640" width="9" style="47" customWidth="1"/>
    <col min="1641" max="1641" width="16.25" style="47" customWidth="1"/>
    <col min="1642" max="1642" width="24" style="47" customWidth="1"/>
    <col min="1643" max="1643" width="9" style="47"/>
    <col min="1644" max="1644" width="11.75" style="47" customWidth="1"/>
    <col min="1645" max="1645" width="8.875" style="47" customWidth="1"/>
    <col min="1646" max="1646" width="17.375" style="47" customWidth="1"/>
    <col min="1647" max="1647" width="13.25" style="47" customWidth="1"/>
    <col min="1648" max="1648" width="25.75" style="47" customWidth="1"/>
    <col min="1649" max="1649" width="11.125" style="47" customWidth="1"/>
    <col min="1650" max="1650" width="10.75" style="47" customWidth="1"/>
    <col min="1651" max="1651" width="9" style="47" customWidth="1"/>
    <col min="1652" max="1652" width="9.75" style="47" customWidth="1"/>
    <col min="1653" max="1653" width="7.5" style="47" customWidth="1"/>
    <col min="1654" max="1654" width="13.25" style="47" customWidth="1"/>
    <col min="1655" max="1655" width="11.75" style="47" customWidth="1"/>
    <col min="1656" max="1656" width="8.875" style="47" customWidth="1"/>
    <col min="1657" max="1657" width="9.625" style="47" customWidth="1"/>
    <col min="1658" max="1659" width="11.875" style="47" customWidth="1"/>
    <col min="1660" max="1660" width="11.5" style="47" customWidth="1"/>
    <col min="1661" max="1676" width="12.25" style="47" customWidth="1"/>
    <col min="1677" max="1677" width="13" style="47" customWidth="1"/>
    <col min="1678" max="1682" width="12.375" style="47" customWidth="1"/>
    <col min="1683" max="1683" width="13" style="47" customWidth="1"/>
    <col min="1684" max="1685" width="12.375" style="47" customWidth="1"/>
    <col min="1686" max="1686" width="13" style="47" customWidth="1"/>
    <col min="1687" max="1687" width="13.125" style="47" customWidth="1"/>
    <col min="1688" max="1688" width="13" style="47" customWidth="1"/>
    <col min="1689" max="1689" width="13.125" style="47" customWidth="1"/>
    <col min="1690" max="1691" width="12.375" style="47" customWidth="1"/>
    <col min="1692" max="1692" width="13" style="47" customWidth="1"/>
    <col min="1693" max="1693" width="12.375" style="47" customWidth="1"/>
    <col min="1694" max="1694" width="12.25" style="47" customWidth="1"/>
    <col min="1695" max="1695" width="12.125" style="47" customWidth="1"/>
    <col min="1696" max="1696" width="11.625" style="47" customWidth="1"/>
    <col min="1697" max="1697" width="12" style="47" customWidth="1"/>
    <col min="1698" max="1698" width="13" style="47" customWidth="1"/>
    <col min="1699" max="1699" width="11.625" style="47" customWidth="1"/>
    <col min="1700" max="1701" width="12" style="47" customWidth="1"/>
    <col min="1702" max="1704" width="11.625" style="47" customWidth="1"/>
    <col min="1705" max="1705" width="11.125" style="47" customWidth="1"/>
    <col min="1706" max="1706" width="12" style="47" customWidth="1"/>
    <col min="1707" max="1707" width="13" style="47" customWidth="1"/>
    <col min="1708" max="1708" width="13.625" style="47" customWidth="1"/>
    <col min="1709" max="1709" width="11.875" style="47" customWidth="1"/>
    <col min="1710" max="1711" width="11.625" style="47" customWidth="1"/>
    <col min="1712" max="1712" width="12" style="47" customWidth="1"/>
    <col min="1713" max="1713" width="12.75" style="47" customWidth="1"/>
    <col min="1714" max="1714" width="11.625" style="47" customWidth="1"/>
    <col min="1715" max="1715" width="12.125" style="47" customWidth="1"/>
    <col min="1716" max="1717" width="11.625" style="47" customWidth="1"/>
    <col min="1718" max="1718" width="12.5" style="47" customWidth="1"/>
    <col min="1719" max="1893" width="11.625" style="47" customWidth="1"/>
    <col min="1894" max="1894" width="17.75" style="47" customWidth="1"/>
    <col min="1895" max="1896" width="9" style="47" customWidth="1"/>
    <col min="1897" max="1897" width="16.25" style="47" customWidth="1"/>
    <col min="1898" max="1898" width="24" style="47" customWidth="1"/>
    <col min="1899" max="1899" width="9" style="47"/>
    <col min="1900" max="1900" width="11.75" style="47" customWidth="1"/>
    <col min="1901" max="1901" width="8.875" style="47" customWidth="1"/>
    <col min="1902" max="1902" width="17.375" style="47" customWidth="1"/>
    <col min="1903" max="1903" width="13.25" style="47" customWidth="1"/>
    <col min="1904" max="1904" width="25.75" style="47" customWidth="1"/>
    <col min="1905" max="1905" width="11.125" style="47" customWidth="1"/>
    <col min="1906" max="1906" width="10.75" style="47" customWidth="1"/>
    <col min="1907" max="1907" width="9" style="47" customWidth="1"/>
    <col min="1908" max="1908" width="9.75" style="47" customWidth="1"/>
    <col min="1909" max="1909" width="7.5" style="47" customWidth="1"/>
    <col min="1910" max="1910" width="13.25" style="47" customWidth="1"/>
    <col min="1911" max="1911" width="11.75" style="47" customWidth="1"/>
    <col min="1912" max="1912" width="8.875" style="47" customWidth="1"/>
    <col min="1913" max="1913" width="9.625" style="47" customWidth="1"/>
    <col min="1914" max="1915" width="11.875" style="47" customWidth="1"/>
    <col min="1916" max="1916" width="11.5" style="47" customWidth="1"/>
    <col min="1917" max="1932" width="12.25" style="47" customWidth="1"/>
    <col min="1933" max="1933" width="13" style="47" customWidth="1"/>
    <col min="1934" max="1938" width="12.375" style="47" customWidth="1"/>
    <col min="1939" max="1939" width="13" style="47" customWidth="1"/>
    <col min="1940" max="1941" width="12.375" style="47" customWidth="1"/>
    <col min="1942" max="1942" width="13" style="47" customWidth="1"/>
    <col min="1943" max="1943" width="13.125" style="47" customWidth="1"/>
    <col min="1944" max="1944" width="13" style="47" customWidth="1"/>
    <col min="1945" max="1945" width="13.125" style="47" customWidth="1"/>
    <col min="1946" max="1947" width="12.375" style="47" customWidth="1"/>
    <col min="1948" max="1948" width="13" style="47" customWidth="1"/>
    <col min="1949" max="1949" width="12.375" style="47" customWidth="1"/>
    <col min="1950" max="1950" width="12.25" style="47" customWidth="1"/>
    <col min="1951" max="1951" width="12.125" style="47" customWidth="1"/>
    <col min="1952" max="1952" width="11.625" style="47" customWidth="1"/>
    <col min="1953" max="1953" width="12" style="47" customWidth="1"/>
    <col min="1954" max="1954" width="13" style="47" customWidth="1"/>
    <col min="1955" max="1955" width="11.625" style="47" customWidth="1"/>
    <col min="1956" max="1957" width="12" style="47" customWidth="1"/>
    <col min="1958" max="1960" width="11.625" style="47" customWidth="1"/>
    <col min="1961" max="1961" width="11.125" style="47" customWidth="1"/>
    <col min="1962" max="1962" width="12" style="47" customWidth="1"/>
    <col min="1963" max="1963" width="13" style="47" customWidth="1"/>
    <col min="1964" max="1964" width="13.625" style="47" customWidth="1"/>
    <col min="1965" max="1965" width="11.875" style="47" customWidth="1"/>
    <col min="1966" max="1967" width="11.625" style="47" customWidth="1"/>
    <col min="1968" max="1968" width="12" style="47" customWidth="1"/>
    <col min="1969" max="1969" width="12.75" style="47" customWidth="1"/>
    <col min="1970" max="1970" width="11.625" style="47" customWidth="1"/>
    <col min="1971" max="1971" width="12.125" style="47" customWidth="1"/>
    <col min="1972" max="1973" width="11.625" style="47" customWidth="1"/>
    <col min="1974" max="1974" width="12.5" style="47" customWidth="1"/>
    <col min="1975" max="2149" width="11.625" style="47" customWidth="1"/>
    <col min="2150" max="2150" width="17.75" style="47" customWidth="1"/>
    <col min="2151" max="2152" width="9" style="47" customWidth="1"/>
    <col min="2153" max="2153" width="16.25" style="47" customWidth="1"/>
    <col min="2154" max="2154" width="24" style="47" customWidth="1"/>
    <col min="2155" max="2155" width="9" style="47"/>
    <col min="2156" max="2156" width="11.75" style="47" customWidth="1"/>
    <col min="2157" max="2157" width="8.875" style="47" customWidth="1"/>
    <col min="2158" max="2158" width="17.375" style="47" customWidth="1"/>
    <col min="2159" max="2159" width="13.25" style="47" customWidth="1"/>
    <col min="2160" max="2160" width="25.75" style="47" customWidth="1"/>
    <col min="2161" max="2161" width="11.125" style="47" customWidth="1"/>
    <col min="2162" max="2162" width="10.75" style="47" customWidth="1"/>
    <col min="2163" max="2163" width="9" style="47" customWidth="1"/>
    <col min="2164" max="2164" width="9.75" style="47" customWidth="1"/>
    <col min="2165" max="2165" width="7.5" style="47" customWidth="1"/>
    <col min="2166" max="2166" width="13.25" style="47" customWidth="1"/>
    <col min="2167" max="2167" width="11.75" style="47" customWidth="1"/>
    <col min="2168" max="2168" width="8.875" style="47" customWidth="1"/>
    <col min="2169" max="2169" width="9.625" style="47" customWidth="1"/>
    <col min="2170" max="2171" width="11.875" style="47" customWidth="1"/>
    <col min="2172" max="2172" width="11.5" style="47" customWidth="1"/>
    <col min="2173" max="2188" width="12.25" style="47" customWidth="1"/>
    <col min="2189" max="2189" width="13" style="47" customWidth="1"/>
    <col min="2190" max="2194" width="12.375" style="47" customWidth="1"/>
    <col min="2195" max="2195" width="13" style="47" customWidth="1"/>
    <col min="2196" max="2197" width="12.375" style="47" customWidth="1"/>
    <col min="2198" max="2198" width="13" style="47" customWidth="1"/>
    <col min="2199" max="2199" width="13.125" style="47" customWidth="1"/>
    <col min="2200" max="2200" width="13" style="47" customWidth="1"/>
    <col min="2201" max="2201" width="13.125" style="47" customWidth="1"/>
    <col min="2202" max="2203" width="12.375" style="47" customWidth="1"/>
    <col min="2204" max="2204" width="13" style="47" customWidth="1"/>
    <col min="2205" max="2205" width="12.375" style="47" customWidth="1"/>
    <col min="2206" max="2206" width="12.25" style="47" customWidth="1"/>
    <col min="2207" max="2207" width="12.125" style="47" customWidth="1"/>
    <col min="2208" max="2208" width="11.625" style="47" customWidth="1"/>
    <col min="2209" max="2209" width="12" style="47" customWidth="1"/>
    <col min="2210" max="2210" width="13" style="47" customWidth="1"/>
    <col min="2211" max="2211" width="11.625" style="47" customWidth="1"/>
    <col min="2212" max="2213" width="12" style="47" customWidth="1"/>
    <col min="2214" max="2216" width="11.625" style="47" customWidth="1"/>
    <col min="2217" max="2217" width="11.125" style="47" customWidth="1"/>
    <col min="2218" max="2218" width="12" style="47" customWidth="1"/>
    <col min="2219" max="2219" width="13" style="47" customWidth="1"/>
    <col min="2220" max="2220" width="13.625" style="47" customWidth="1"/>
    <col min="2221" max="2221" width="11.875" style="47" customWidth="1"/>
    <col min="2222" max="2223" width="11.625" style="47" customWidth="1"/>
    <col min="2224" max="2224" width="12" style="47" customWidth="1"/>
    <col min="2225" max="2225" width="12.75" style="47" customWidth="1"/>
    <col min="2226" max="2226" width="11.625" style="47" customWidth="1"/>
    <col min="2227" max="2227" width="12.125" style="47" customWidth="1"/>
    <col min="2228" max="2229" width="11.625" style="47" customWidth="1"/>
    <col min="2230" max="2230" width="12.5" style="47" customWidth="1"/>
    <col min="2231" max="2405" width="11.625" style="47" customWidth="1"/>
    <col min="2406" max="2406" width="17.75" style="47" customWidth="1"/>
    <col min="2407" max="2408" width="9" style="47" customWidth="1"/>
    <col min="2409" max="2409" width="16.25" style="47" customWidth="1"/>
    <col min="2410" max="2410" width="24" style="47" customWidth="1"/>
    <col min="2411" max="2411" width="9" style="47"/>
    <col min="2412" max="2412" width="11.75" style="47" customWidth="1"/>
    <col min="2413" max="2413" width="8.875" style="47" customWidth="1"/>
    <col min="2414" max="2414" width="17.375" style="47" customWidth="1"/>
    <col min="2415" max="2415" width="13.25" style="47" customWidth="1"/>
    <col min="2416" max="2416" width="25.75" style="47" customWidth="1"/>
    <col min="2417" max="2417" width="11.125" style="47" customWidth="1"/>
    <col min="2418" max="2418" width="10.75" style="47" customWidth="1"/>
    <col min="2419" max="2419" width="9" style="47" customWidth="1"/>
    <col min="2420" max="2420" width="9.75" style="47" customWidth="1"/>
    <col min="2421" max="2421" width="7.5" style="47" customWidth="1"/>
    <col min="2422" max="2422" width="13.25" style="47" customWidth="1"/>
    <col min="2423" max="2423" width="11.75" style="47" customWidth="1"/>
    <col min="2424" max="2424" width="8.875" style="47" customWidth="1"/>
    <col min="2425" max="2425" width="9.625" style="47" customWidth="1"/>
    <col min="2426" max="2427" width="11.875" style="47" customWidth="1"/>
    <col min="2428" max="2428" width="11.5" style="47" customWidth="1"/>
    <col min="2429" max="2444" width="12.25" style="47" customWidth="1"/>
    <col min="2445" max="2445" width="13" style="47" customWidth="1"/>
    <col min="2446" max="2450" width="12.375" style="47" customWidth="1"/>
    <col min="2451" max="2451" width="13" style="47" customWidth="1"/>
    <col min="2452" max="2453" width="12.375" style="47" customWidth="1"/>
    <col min="2454" max="2454" width="13" style="47" customWidth="1"/>
    <col min="2455" max="2455" width="13.125" style="47" customWidth="1"/>
    <col min="2456" max="2456" width="13" style="47" customWidth="1"/>
    <col min="2457" max="2457" width="13.125" style="47" customWidth="1"/>
    <col min="2458" max="2459" width="12.375" style="47" customWidth="1"/>
    <col min="2460" max="2460" width="13" style="47" customWidth="1"/>
    <col min="2461" max="2461" width="12.375" style="47" customWidth="1"/>
    <col min="2462" max="2462" width="12.25" style="47" customWidth="1"/>
    <col min="2463" max="2463" width="12.125" style="47" customWidth="1"/>
    <col min="2464" max="2464" width="11.625" style="47" customWidth="1"/>
    <col min="2465" max="2465" width="12" style="47" customWidth="1"/>
    <col min="2466" max="2466" width="13" style="47" customWidth="1"/>
    <col min="2467" max="2467" width="11.625" style="47" customWidth="1"/>
    <col min="2468" max="2469" width="12" style="47" customWidth="1"/>
    <col min="2470" max="2472" width="11.625" style="47" customWidth="1"/>
    <col min="2473" max="2473" width="11.125" style="47" customWidth="1"/>
    <col min="2474" max="2474" width="12" style="47" customWidth="1"/>
    <col min="2475" max="2475" width="13" style="47" customWidth="1"/>
    <col min="2476" max="2476" width="13.625" style="47" customWidth="1"/>
    <col min="2477" max="2477" width="11.875" style="47" customWidth="1"/>
    <col min="2478" max="2479" width="11.625" style="47" customWidth="1"/>
    <col min="2480" max="2480" width="12" style="47" customWidth="1"/>
    <col min="2481" max="2481" width="12.75" style="47" customWidth="1"/>
    <col min="2482" max="2482" width="11.625" style="47" customWidth="1"/>
    <col min="2483" max="2483" width="12.125" style="47" customWidth="1"/>
    <col min="2484" max="2485" width="11.625" style="47" customWidth="1"/>
    <col min="2486" max="2486" width="12.5" style="47" customWidth="1"/>
    <col min="2487" max="2661" width="11.625" style="47" customWidth="1"/>
    <col min="2662" max="2662" width="17.75" style="47" customWidth="1"/>
    <col min="2663" max="2664" width="9" style="47" customWidth="1"/>
    <col min="2665" max="2665" width="16.25" style="47" customWidth="1"/>
    <col min="2666" max="2666" width="24" style="47" customWidth="1"/>
    <col min="2667" max="2667" width="9" style="47"/>
    <col min="2668" max="2668" width="11.75" style="47" customWidth="1"/>
    <col min="2669" max="2669" width="8.875" style="47" customWidth="1"/>
    <col min="2670" max="2670" width="17.375" style="47" customWidth="1"/>
    <col min="2671" max="2671" width="13.25" style="47" customWidth="1"/>
    <col min="2672" max="2672" width="25.75" style="47" customWidth="1"/>
    <col min="2673" max="2673" width="11.125" style="47" customWidth="1"/>
    <col min="2674" max="2674" width="10.75" style="47" customWidth="1"/>
    <col min="2675" max="2675" width="9" style="47" customWidth="1"/>
    <col min="2676" max="2676" width="9.75" style="47" customWidth="1"/>
    <col min="2677" max="2677" width="7.5" style="47" customWidth="1"/>
    <col min="2678" max="2678" width="13.25" style="47" customWidth="1"/>
    <col min="2679" max="2679" width="11.75" style="47" customWidth="1"/>
    <col min="2680" max="2680" width="8.875" style="47" customWidth="1"/>
    <col min="2681" max="2681" width="9.625" style="47" customWidth="1"/>
    <col min="2682" max="2683" width="11.875" style="47" customWidth="1"/>
    <col min="2684" max="2684" width="11.5" style="47" customWidth="1"/>
    <col min="2685" max="2700" width="12.25" style="47" customWidth="1"/>
    <col min="2701" max="2701" width="13" style="47" customWidth="1"/>
    <col min="2702" max="2706" width="12.375" style="47" customWidth="1"/>
    <col min="2707" max="2707" width="13" style="47" customWidth="1"/>
    <col min="2708" max="2709" width="12.375" style="47" customWidth="1"/>
    <col min="2710" max="2710" width="13" style="47" customWidth="1"/>
    <col min="2711" max="2711" width="13.125" style="47" customWidth="1"/>
    <col min="2712" max="2712" width="13" style="47" customWidth="1"/>
    <col min="2713" max="2713" width="13.125" style="47" customWidth="1"/>
    <col min="2714" max="2715" width="12.375" style="47" customWidth="1"/>
    <col min="2716" max="2716" width="13" style="47" customWidth="1"/>
    <col min="2717" max="2717" width="12.375" style="47" customWidth="1"/>
    <col min="2718" max="2718" width="12.25" style="47" customWidth="1"/>
    <col min="2719" max="2719" width="12.125" style="47" customWidth="1"/>
    <col min="2720" max="2720" width="11.625" style="47" customWidth="1"/>
    <col min="2721" max="2721" width="12" style="47" customWidth="1"/>
    <col min="2722" max="2722" width="13" style="47" customWidth="1"/>
    <col min="2723" max="2723" width="11.625" style="47" customWidth="1"/>
    <col min="2724" max="2725" width="12" style="47" customWidth="1"/>
    <col min="2726" max="2728" width="11.625" style="47" customWidth="1"/>
    <col min="2729" max="2729" width="11.125" style="47" customWidth="1"/>
    <col min="2730" max="2730" width="12" style="47" customWidth="1"/>
    <col min="2731" max="2731" width="13" style="47" customWidth="1"/>
    <col min="2732" max="2732" width="13.625" style="47" customWidth="1"/>
    <col min="2733" max="2733" width="11.875" style="47" customWidth="1"/>
    <col min="2734" max="2735" width="11.625" style="47" customWidth="1"/>
    <col min="2736" max="2736" width="12" style="47" customWidth="1"/>
    <col min="2737" max="2737" width="12.75" style="47" customWidth="1"/>
    <col min="2738" max="2738" width="11.625" style="47" customWidth="1"/>
    <col min="2739" max="2739" width="12.125" style="47" customWidth="1"/>
    <col min="2740" max="2741" width="11.625" style="47" customWidth="1"/>
    <col min="2742" max="2742" width="12.5" style="47" customWidth="1"/>
    <col min="2743" max="2917" width="11.625" style="47" customWidth="1"/>
    <col min="2918" max="2918" width="17.75" style="47" customWidth="1"/>
    <col min="2919" max="2920" width="9" style="47" customWidth="1"/>
    <col min="2921" max="2921" width="16.25" style="47" customWidth="1"/>
    <col min="2922" max="2922" width="24" style="47" customWidth="1"/>
    <col min="2923" max="2923" width="9" style="47"/>
    <col min="2924" max="2924" width="11.75" style="47" customWidth="1"/>
    <col min="2925" max="2925" width="8.875" style="47" customWidth="1"/>
    <col min="2926" max="2926" width="17.375" style="47" customWidth="1"/>
    <col min="2927" max="2927" width="13.25" style="47" customWidth="1"/>
    <col min="2928" max="2928" width="25.75" style="47" customWidth="1"/>
    <col min="2929" max="2929" width="11.125" style="47" customWidth="1"/>
    <col min="2930" max="2930" width="10.75" style="47" customWidth="1"/>
    <col min="2931" max="2931" width="9" style="47" customWidth="1"/>
    <col min="2932" max="2932" width="9.75" style="47" customWidth="1"/>
    <col min="2933" max="2933" width="7.5" style="47" customWidth="1"/>
    <col min="2934" max="2934" width="13.25" style="47" customWidth="1"/>
    <col min="2935" max="2935" width="11.75" style="47" customWidth="1"/>
    <col min="2936" max="2936" width="8.875" style="47" customWidth="1"/>
    <col min="2937" max="2937" width="9.625" style="47" customWidth="1"/>
    <col min="2938" max="2939" width="11.875" style="47" customWidth="1"/>
    <col min="2940" max="2940" width="11.5" style="47" customWidth="1"/>
    <col min="2941" max="2956" width="12.25" style="47" customWidth="1"/>
    <col min="2957" max="2957" width="13" style="47" customWidth="1"/>
    <col min="2958" max="2962" width="12.375" style="47" customWidth="1"/>
    <col min="2963" max="2963" width="13" style="47" customWidth="1"/>
    <col min="2964" max="2965" width="12.375" style="47" customWidth="1"/>
    <col min="2966" max="2966" width="13" style="47" customWidth="1"/>
    <col min="2967" max="2967" width="13.125" style="47" customWidth="1"/>
    <col min="2968" max="2968" width="13" style="47" customWidth="1"/>
    <col min="2969" max="2969" width="13.125" style="47" customWidth="1"/>
    <col min="2970" max="2971" width="12.375" style="47" customWidth="1"/>
    <col min="2972" max="2972" width="13" style="47" customWidth="1"/>
    <col min="2973" max="2973" width="12.375" style="47" customWidth="1"/>
    <col min="2974" max="2974" width="12.25" style="47" customWidth="1"/>
    <col min="2975" max="2975" width="12.125" style="47" customWidth="1"/>
    <col min="2976" max="2976" width="11.625" style="47" customWidth="1"/>
    <col min="2977" max="2977" width="12" style="47" customWidth="1"/>
    <col min="2978" max="2978" width="13" style="47" customWidth="1"/>
    <col min="2979" max="2979" width="11.625" style="47" customWidth="1"/>
    <col min="2980" max="2981" width="12" style="47" customWidth="1"/>
    <col min="2982" max="2984" width="11.625" style="47" customWidth="1"/>
    <col min="2985" max="2985" width="11.125" style="47" customWidth="1"/>
    <col min="2986" max="2986" width="12" style="47" customWidth="1"/>
    <col min="2987" max="2987" width="13" style="47" customWidth="1"/>
    <col min="2988" max="2988" width="13.625" style="47" customWidth="1"/>
    <col min="2989" max="2989" width="11.875" style="47" customWidth="1"/>
    <col min="2990" max="2991" width="11.625" style="47" customWidth="1"/>
    <col min="2992" max="2992" width="12" style="47" customWidth="1"/>
    <col min="2993" max="2993" width="12.75" style="47" customWidth="1"/>
    <col min="2994" max="2994" width="11.625" style="47" customWidth="1"/>
    <col min="2995" max="2995" width="12.125" style="47" customWidth="1"/>
    <col min="2996" max="2997" width="11.625" style="47" customWidth="1"/>
    <col min="2998" max="2998" width="12.5" style="47" customWidth="1"/>
    <col min="2999" max="3173" width="11.625" style="47" customWidth="1"/>
    <col min="3174" max="3174" width="17.75" style="47" customWidth="1"/>
    <col min="3175" max="3176" width="9" style="47" customWidth="1"/>
    <col min="3177" max="3177" width="16.25" style="47" customWidth="1"/>
    <col min="3178" max="3178" width="24" style="47" customWidth="1"/>
    <col min="3179" max="3179" width="9" style="47"/>
    <col min="3180" max="3180" width="11.75" style="47" customWidth="1"/>
    <col min="3181" max="3181" width="8.875" style="47" customWidth="1"/>
    <col min="3182" max="3182" width="17.375" style="47" customWidth="1"/>
    <col min="3183" max="3183" width="13.25" style="47" customWidth="1"/>
    <col min="3184" max="3184" width="25.75" style="47" customWidth="1"/>
    <col min="3185" max="3185" width="11.125" style="47" customWidth="1"/>
    <col min="3186" max="3186" width="10.75" style="47" customWidth="1"/>
    <col min="3187" max="3187" width="9" style="47" customWidth="1"/>
    <col min="3188" max="3188" width="9.75" style="47" customWidth="1"/>
    <col min="3189" max="3189" width="7.5" style="47" customWidth="1"/>
    <col min="3190" max="3190" width="13.25" style="47" customWidth="1"/>
    <col min="3191" max="3191" width="11.75" style="47" customWidth="1"/>
    <col min="3192" max="3192" width="8.875" style="47" customWidth="1"/>
    <col min="3193" max="3193" width="9.625" style="47" customWidth="1"/>
    <col min="3194" max="3195" width="11.875" style="47" customWidth="1"/>
    <col min="3196" max="3196" width="11.5" style="47" customWidth="1"/>
    <col min="3197" max="3212" width="12.25" style="47" customWidth="1"/>
    <col min="3213" max="3213" width="13" style="47" customWidth="1"/>
    <col min="3214" max="3218" width="12.375" style="47" customWidth="1"/>
    <col min="3219" max="3219" width="13" style="47" customWidth="1"/>
    <col min="3220" max="3221" width="12.375" style="47" customWidth="1"/>
    <col min="3222" max="3222" width="13" style="47" customWidth="1"/>
    <col min="3223" max="3223" width="13.125" style="47" customWidth="1"/>
    <col min="3224" max="3224" width="13" style="47" customWidth="1"/>
    <col min="3225" max="3225" width="13.125" style="47" customWidth="1"/>
    <col min="3226" max="3227" width="12.375" style="47" customWidth="1"/>
    <col min="3228" max="3228" width="13" style="47" customWidth="1"/>
    <col min="3229" max="3229" width="12.375" style="47" customWidth="1"/>
    <col min="3230" max="3230" width="12.25" style="47" customWidth="1"/>
    <col min="3231" max="3231" width="12.125" style="47" customWidth="1"/>
    <col min="3232" max="3232" width="11.625" style="47" customWidth="1"/>
    <col min="3233" max="3233" width="12" style="47" customWidth="1"/>
    <col min="3234" max="3234" width="13" style="47" customWidth="1"/>
    <col min="3235" max="3235" width="11.625" style="47" customWidth="1"/>
    <col min="3236" max="3237" width="12" style="47" customWidth="1"/>
    <col min="3238" max="3240" width="11.625" style="47" customWidth="1"/>
    <col min="3241" max="3241" width="11.125" style="47" customWidth="1"/>
    <col min="3242" max="3242" width="12" style="47" customWidth="1"/>
    <col min="3243" max="3243" width="13" style="47" customWidth="1"/>
    <col min="3244" max="3244" width="13.625" style="47" customWidth="1"/>
    <col min="3245" max="3245" width="11.875" style="47" customWidth="1"/>
    <col min="3246" max="3247" width="11.625" style="47" customWidth="1"/>
    <col min="3248" max="3248" width="12" style="47" customWidth="1"/>
    <col min="3249" max="3249" width="12.75" style="47" customWidth="1"/>
    <col min="3250" max="3250" width="11.625" style="47" customWidth="1"/>
    <col min="3251" max="3251" width="12.125" style="47" customWidth="1"/>
    <col min="3252" max="3253" width="11.625" style="47" customWidth="1"/>
    <col min="3254" max="3254" width="12.5" style="47" customWidth="1"/>
    <col min="3255" max="3429" width="11.625" style="47" customWidth="1"/>
    <col min="3430" max="3430" width="17.75" style="47" customWidth="1"/>
    <col min="3431" max="3432" width="9" style="47" customWidth="1"/>
    <col min="3433" max="3433" width="16.25" style="47" customWidth="1"/>
    <col min="3434" max="3434" width="24" style="47" customWidth="1"/>
    <col min="3435" max="3435" width="9" style="47"/>
    <col min="3436" max="3436" width="11.75" style="47" customWidth="1"/>
    <col min="3437" max="3437" width="8.875" style="47" customWidth="1"/>
    <col min="3438" max="3438" width="17.375" style="47" customWidth="1"/>
    <col min="3439" max="3439" width="13.25" style="47" customWidth="1"/>
    <col min="3440" max="3440" width="25.75" style="47" customWidth="1"/>
    <col min="3441" max="3441" width="11.125" style="47" customWidth="1"/>
    <col min="3442" max="3442" width="10.75" style="47" customWidth="1"/>
    <col min="3443" max="3443" width="9" style="47" customWidth="1"/>
    <col min="3444" max="3444" width="9.75" style="47" customWidth="1"/>
    <col min="3445" max="3445" width="7.5" style="47" customWidth="1"/>
    <col min="3446" max="3446" width="13.25" style="47" customWidth="1"/>
    <col min="3447" max="3447" width="11.75" style="47" customWidth="1"/>
    <col min="3448" max="3448" width="8.875" style="47" customWidth="1"/>
    <col min="3449" max="3449" width="9.625" style="47" customWidth="1"/>
    <col min="3450" max="3451" width="11.875" style="47" customWidth="1"/>
    <col min="3452" max="3452" width="11.5" style="47" customWidth="1"/>
    <col min="3453" max="3468" width="12.25" style="47" customWidth="1"/>
    <col min="3469" max="3469" width="13" style="47" customWidth="1"/>
    <col min="3470" max="3474" width="12.375" style="47" customWidth="1"/>
    <col min="3475" max="3475" width="13" style="47" customWidth="1"/>
    <col min="3476" max="3477" width="12.375" style="47" customWidth="1"/>
    <col min="3478" max="3478" width="13" style="47" customWidth="1"/>
    <col min="3479" max="3479" width="13.125" style="47" customWidth="1"/>
    <col min="3480" max="3480" width="13" style="47" customWidth="1"/>
    <col min="3481" max="3481" width="13.125" style="47" customWidth="1"/>
    <col min="3482" max="3483" width="12.375" style="47" customWidth="1"/>
    <col min="3484" max="3484" width="13" style="47" customWidth="1"/>
    <col min="3485" max="3485" width="12.375" style="47" customWidth="1"/>
    <col min="3486" max="3486" width="12.25" style="47" customWidth="1"/>
    <col min="3487" max="3487" width="12.125" style="47" customWidth="1"/>
    <col min="3488" max="3488" width="11.625" style="47" customWidth="1"/>
    <col min="3489" max="3489" width="12" style="47" customWidth="1"/>
    <col min="3490" max="3490" width="13" style="47" customWidth="1"/>
    <col min="3491" max="3491" width="11.625" style="47" customWidth="1"/>
    <col min="3492" max="3493" width="12" style="47" customWidth="1"/>
    <col min="3494" max="3496" width="11.625" style="47" customWidth="1"/>
    <col min="3497" max="3497" width="11.125" style="47" customWidth="1"/>
    <col min="3498" max="3498" width="12" style="47" customWidth="1"/>
    <col min="3499" max="3499" width="13" style="47" customWidth="1"/>
    <col min="3500" max="3500" width="13.625" style="47" customWidth="1"/>
    <col min="3501" max="3501" width="11.875" style="47" customWidth="1"/>
    <col min="3502" max="3503" width="11.625" style="47" customWidth="1"/>
    <col min="3504" max="3504" width="12" style="47" customWidth="1"/>
    <col min="3505" max="3505" width="12.75" style="47" customWidth="1"/>
    <col min="3506" max="3506" width="11.625" style="47" customWidth="1"/>
    <col min="3507" max="3507" width="12.125" style="47" customWidth="1"/>
    <col min="3508" max="3509" width="11.625" style="47" customWidth="1"/>
    <col min="3510" max="3510" width="12.5" style="47" customWidth="1"/>
    <col min="3511" max="3685" width="11.625" style="47" customWidth="1"/>
    <col min="3686" max="3686" width="17.75" style="47" customWidth="1"/>
    <col min="3687" max="3688" width="9" style="47" customWidth="1"/>
    <col min="3689" max="3689" width="16.25" style="47" customWidth="1"/>
    <col min="3690" max="3690" width="24" style="47" customWidth="1"/>
    <col min="3691" max="3691" width="9" style="47"/>
    <col min="3692" max="3692" width="11.75" style="47" customWidth="1"/>
    <col min="3693" max="3693" width="8.875" style="47" customWidth="1"/>
    <col min="3694" max="3694" width="17.375" style="47" customWidth="1"/>
    <col min="3695" max="3695" width="13.25" style="47" customWidth="1"/>
    <col min="3696" max="3696" width="25.75" style="47" customWidth="1"/>
    <col min="3697" max="3697" width="11.125" style="47" customWidth="1"/>
    <col min="3698" max="3698" width="10.75" style="47" customWidth="1"/>
    <col min="3699" max="3699" width="9" style="47" customWidth="1"/>
    <col min="3700" max="3700" width="9.75" style="47" customWidth="1"/>
    <col min="3701" max="3701" width="7.5" style="47" customWidth="1"/>
    <col min="3702" max="3702" width="13.25" style="47" customWidth="1"/>
    <col min="3703" max="3703" width="11.75" style="47" customWidth="1"/>
    <col min="3704" max="3704" width="8.875" style="47" customWidth="1"/>
    <col min="3705" max="3705" width="9.625" style="47" customWidth="1"/>
    <col min="3706" max="3707" width="11.875" style="47" customWidth="1"/>
    <col min="3708" max="3708" width="11.5" style="47" customWidth="1"/>
    <col min="3709" max="3724" width="12.25" style="47" customWidth="1"/>
    <col min="3725" max="3725" width="13" style="47" customWidth="1"/>
    <col min="3726" max="3730" width="12.375" style="47" customWidth="1"/>
    <col min="3731" max="3731" width="13" style="47" customWidth="1"/>
    <col min="3732" max="3733" width="12.375" style="47" customWidth="1"/>
    <col min="3734" max="3734" width="13" style="47" customWidth="1"/>
    <col min="3735" max="3735" width="13.125" style="47" customWidth="1"/>
    <col min="3736" max="3736" width="13" style="47" customWidth="1"/>
    <col min="3737" max="3737" width="13.125" style="47" customWidth="1"/>
    <col min="3738" max="3739" width="12.375" style="47" customWidth="1"/>
    <col min="3740" max="3740" width="13" style="47" customWidth="1"/>
    <col min="3741" max="3741" width="12.375" style="47" customWidth="1"/>
    <col min="3742" max="3742" width="12.25" style="47" customWidth="1"/>
    <col min="3743" max="3743" width="12.125" style="47" customWidth="1"/>
    <col min="3744" max="3744" width="11.625" style="47" customWidth="1"/>
    <col min="3745" max="3745" width="12" style="47" customWidth="1"/>
    <col min="3746" max="3746" width="13" style="47" customWidth="1"/>
    <col min="3747" max="3747" width="11.625" style="47" customWidth="1"/>
    <col min="3748" max="3749" width="12" style="47" customWidth="1"/>
    <col min="3750" max="3752" width="11.625" style="47" customWidth="1"/>
    <col min="3753" max="3753" width="11.125" style="47" customWidth="1"/>
    <col min="3754" max="3754" width="12" style="47" customWidth="1"/>
    <col min="3755" max="3755" width="13" style="47" customWidth="1"/>
    <col min="3756" max="3756" width="13.625" style="47" customWidth="1"/>
    <col min="3757" max="3757" width="11.875" style="47" customWidth="1"/>
    <col min="3758" max="3759" width="11.625" style="47" customWidth="1"/>
    <col min="3760" max="3760" width="12" style="47" customWidth="1"/>
    <col min="3761" max="3761" width="12.75" style="47" customWidth="1"/>
    <col min="3762" max="3762" width="11.625" style="47" customWidth="1"/>
    <col min="3763" max="3763" width="12.125" style="47" customWidth="1"/>
    <col min="3764" max="3765" width="11.625" style="47" customWidth="1"/>
    <col min="3766" max="3766" width="12.5" style="47" customWidth="1"/>
    <col min="3767" max="3941" width="11.625" style="47" customWidth="1"/>
    <col min="3942" max="3942" width="17.75" style="47" customWidth="1"/>
    <col min="3943" max="3944" width="9" style="47" customWidth="1"/>
    <col min="3945" max="3945" width="16.25" style="47" customWidth="1"/>
    <col min="3946" max="3946" width="24" style="47" customWidth="1"/>
    <col min="3947" max="3947" width="9" style="47"/>
    <col min="3948" max="3948" width="11.75" style="47" customWidth="1"/>
    <col min="3949" max="3949" width="8.875" style="47" customWidth="1"/>
    <col min="3950" max="3950" width="17.375" style="47" customWidth="1"/>
    <col min="3951" max="3951" width="13.25" style="47" customWidth="1"/>
    <col min="3952" max="3952" width="25.75" style="47" customWidth="1"/>
    <col min="3953" max="3953" width="11.125" style="47" customWidth="1"/>
    <col min="3954" max="3954" width="10.75" style="47" customWidth="1"/>
    <col min="3955" max="3955" width="9" style="47" customWidth="1"/>
    <col min="3956" max="3956" width="9.75" style="47" customWidth="1"/>
    <col min="3957" max="3957" width="7.5" style="47" customWidth="1"/>
    <col min="3958" max="3958" width="13.25" style="47" customWidth="1"/>
    <col min="3959" max="3959" width="11.75" style="47" customWidth="1"/>
    <col min="3960" max="3960" width="8.875" style="47" customWidth="1"/>
    <col min="3961" max="3961" width="9.625" style="47" customWidth="1"/>
    <col min="3962" max="3963" width="11.875" style="47" customWidth="1"/>
    <col min="3964" max="3964" width="11.5" style="47" customWidth="1"/>
    <col min="3965" max="3980" width="12.25" style="47" customWidth="1"/>
    <col min="3981" max="3981" width="13" style="47" customWidth="1"/>
    <col min="3982" max="3986" width="12.375" style="47" customWidth="1"/>
    <col min="3987" max="3987" width="13" style="47" customWidth="1"/>
    <col min="3988" max="3989" width="12.375" style="47" customWidth="1"/>
    <col min="3990" max="3990" width="13" style="47" customWidth="1"/>
    <col min="3991" max="3991" width="13.125" style="47" customWidth="1"/>
    <col min="3992" max="3992" width="13" style="47" customWidth="1"/>
    <col min="3993" max="3993" width="13.125" style="47" customWidth="1"/>
    <col min="3994" max="3995" width="12.375" style="47" customWidth="1"/>
    <col min="3996" max="3996" width="13" style="47" customWidth="1"/>
    <col min="3997" max="3997" width="12.375" style="47" customWidth="1"/>
    <col min="3998" max="3998" width="12.25" style="47" customWidth="1"/>
    <col min="3999" max="3999" width="12.125" style="47" customWidth="1"/>
    <col min="4000" max="4000" width="11.625" style="47" customWidth="1"/>
    <col min="4001" max="4001" width="12" style="47" customWidth="1"/>
    <col min="4002" max="4002" width="13" style="47" customWidth="1"/>
    <col min="4003" max="4003" width="11.625" style="47" customWidth="1"/>
    <col min="4004" max="4005" width="12" style="47" customWidth="1"/>
    <col min="4006" max="4008" width="11.625" style="47" customWidth="1"/>
    <col min="4009" max="4009" width="11.125" style="47" customWidth="1"/>
    <col min="4010" max="4010" width="12" style="47" customWidth="1"/>
    <col min="4011" max="4011" width="13" style="47" customWidth="1"/>
    <col min="4012" max="4012" width="13.625" style="47" customWidth="1"/>
    <col min="4013" max="4013" width="11.875" style="47" customWidth="1"/>
    <col min="4014" max="4015" width="11.625" style="47" customWidth="1"/>
    <col min="4016" max="4016" width="12" style="47" customWidth="1"/>
    <col min="4017" max="4017" width="12.75" style="47" customWidth="1"/>
    <col min="4018" max="4018" width="11.625" style="47" customWidth="1"/>
    <col min="4019" max="4019" width="12.125" style="47" customWidth="1"/>
    <col min="4020" max="4021" width="11.625" style="47" customWidth="1"/>
    <col min="4022" max="4022" width="12.5" style="47" customWidth="1"/>
    <col min="4023" max="4197" width="11.625" style="47" customWidth="1"/>
    <col min="4198" max="4198" width="17.75" style="47" customWidth="1"/>
    <col min="4199" max="4200" width="9" style="47" customWidth="1"/>
    <col min="4201" max="4201" width="16.25" style="47" customWidth="1"/>
    <col min="4202" max="4202" width="24" style="47" customWidth="1"/>
    <col min="4203" max="4203" width="9" style="47"/>
    <col min="4204" max="4204" width="11.75" style="47" customWidth="1"/>
    <col min="4205" max="4205" width="8.875" style="47" customWidth="1"/>
    <col min="4206" max="4206" width="17.375" style="47" customWidth="1"/>
    <col min="4207" max="4207" width="13.25" style="47" customWidth="1"/>
    <col min="4208" max="4208" width="25.75" style="47" customWidth="1"/>
    <col min="4209" max="4209" width="11.125" style="47" customWidth="1"/>
    <col min="4210" max="4210" width="10.75" style="47" customWidth="1"/>
    <col min="4211" max="4211" width="9" style="47" customWidth="1"/>
    <col min="4212" max="4212" width="9.75" style="47" customWidth="1"/>
    <col min="4213" max="4213" width="7.5" style="47" customWidth="1"/>
    <col min="4214" max="4214" width="13.25" style="47" customWidth="1"/>
    <col min="4215" max="4215" width="11.75" style="47" customWidth="1"/>
    <col min="4216" max="4216" width="8.875" style="47" customWidth="1"/>
    <col min="4217" max="4217" width="9.625" style="47" customWidth="1"/>
    <col min="4218" max="4219" width="11.875" style="47" customWidth="1"/>
    <col min="4220" max="4220" width="11.5" style="47" customWidth="1"/>
    <col min="4221" max="4236" width="12.25" style="47" customWidth="1"/>
    <col min="4237" max="4237" width="13" style="47" customWidth="1"/>
    <col min="4238" max="4242" width="12.375" style="47" customWidth="1"/>
    <col min="4243" max="4243" width="13" style="47" customWidth="1"/>
    <col min="4244" max="4245" width="12.375" style="47" customWidth="1"/>
    <col min="4246" max="4246" width="13" style="47" customWidth="1"/>
    <col min="4247" max="4247" width="13.125" style="47" customWidth="1"/>
    <col min="4248" max="4248" width="13" style="47" customWidth="1"/>
    <col min="4249" max="4249" width="13.125" style="47" customWidth="1"/>
    <col min="4250" max="4251" width="12.375" style="47" customWidth="1"/>
    <col min="4252" max="4252" width="13" style="47" customWidth="1"/>
    <col min="4253" max="4253" width="12.375" style="47" customWidth="1"/>
    <col min="4254" max="4254" width="12.25" style="47" customWidth="1"/>
    <col min="4255" max="4255" width="12.125" style="47" customWidth="1"/>
    <col min="4256" max="4256" width="11.625" style="47" customWidth="1"/>
    <col min="4257" max="4257" width="12" style="47" customWidth="1"/>
    <col min="4258" max="4258" width="13" style="47" customWidth="1"/>
    <col min="4259" max="4259" width="11.625" style="47" customWidth="1"/>
    <col min="4260" max="4261" width="12" style="47" customWidth="1"/>
    <col min="4262" max="4264" width="11.625" style="47" customWidth="1"/>
    <col min="4265" max="4265" width="11.125" style="47" customWidth="1"/>
    <col min="4266" max="4266" width="12" style="47" customWidth="1"/>
    <col min="4267" max="4267" width="13" style="47" customWidth="1"/>
    <col min="4268" max="4268" width="13.625" style="47" customWidth="1"/>
    <col min="4269" max="4269" width="11.875" style="47" customWidth="1"/>
    <col min="4270" max="4271" width="11.625" style="47" customWidth="1"/>
    <col min="4272" max="4272" width="12" style="47" customWidth="1"/>
    <col min="4273" max="4273" width="12.75" style="47" customWidth="1"/>
    <col min="4274" max="4274" width="11.625" style="47" customWidth="1"/>
    <col min="4275" max="4275" width="12.125" style="47" customWidth="1"/>
    <col min="4276" max="4277" width="11.625" style="47" customWidth="1"/>
    <col min="4278" max="4278" width="12.5" style="47" customWidth="1"/>
    <col min="4279" max="4453" width="11.625" style="47" customWidth="1"/>
    <col min="4454" max="4454" width="17.75" style="47" customWidth="1"/>
    <col min="4455" max="4456" width="9" style="47" customWidth="1"/>
    <col min="4457" max="4457" width="16.25" style="47" customWidth="1"/>
    <col min="4458" max="4458" width="24" style="47" customWidth="1"/>
    <col min="4459" max="4459" width="9" style="47"/>
    <col min="4460" max="4460" width="11.75" style="47" customWidth="1"/>
    <col min="4461" max="4461" width="8.875" style="47" customWidth="1"/>
    <col min="4462" max="4462" width="17.375" style="47" customWidth="1"/>
    <col min="4463" max="4463" width="13.25" style="47" customWidth="1"/>
    <col min="4464" max="4464" width="25.75" style="47" customWidth="1"/>
    <col min="4465" max="4465" width="11.125" style="47" customWidth="1"/>
    <col min="4466" max="4466" width="10.75" style="47" customWidth="1"/>
    <col min="4467" max="4467" width="9" style="47" customWidth="1"/>
    <col min="4468" max="4468" width="9.75" style="47" customWidth="1"/>
    <col min="4469" max="4469" width="7.5" style="47" customWidth="1"/>
    <col min="4470" max="4470" width="13.25" style="47" customWidth="1"/>
    <col min="4471" max="4471" width="11.75" style="47" customWidth="1"/>
    <col min="4472" max="4472" width="8.875" style="47" customWidth="1"/>
    <col min="4473" max="4473" width="9.625" style="47" customWidth="1"/>
    <col min="4474" max="4475" width="11.875" style="47" customWidth="1"/>
    <col min="4476" max="4476" width="11.5" style="47" customWidth="1"/>
    <col min="4477" max="4492" width="12.25" style="47" customWidth="1"/>
    <col min="4493" max="4493" width="13" style="47" customWidth="1"/>
    <col min="4494" max="4498" width="12.375" style="47" customWidth="1"/>
    <col min="4499" max="4499" width="13" style="47" customWidth="1"/>
    <col min="4500" max="4501" width="12.375" style="47" customWidth="1"/>
    <col min="4502" max="4502" width="13" style="47" customWidth="1"/>
    <col min="4503" max="4503" width="13.125" style="47" customWidth="1"/>
    <col min="4504" max="4504" width="13" style="47" customWidth="1"/>
    <col min="4505" max="4505" width="13.125" style="47" customWidth="1"/>
    <col min="4506" max="4507" width="12.375" style="47" customWidth="1"/>
    <col min="4508" max="4508" width="13" style="47" customWidth="1"/>
    <col min="4509" max="4509" width="12.375" style="47" customWidth="1"/>
    <col min="4510" max="4510" width="12.25" style="47" customWidth="1"/>
    <col min="4511" max="4511" width="12.125" style="47" customWidth="1"/>
    <col min="4512" max="4512" width="11.625" style="47" customWidth="1"/>
    <col min="4513" max="4513" width="12" style="47" customWidth="1"/>
    <col min="4514" max="4514" width="13" style="47" customWidth="1"/>
    <col min="4515" max="4515" width="11.625" style="47" customWidth="1"/>
    <col min="4516" max="4517" width="12" style="47" customWidth="1"/>
    <col min="4518" max="4520" width="11.625" style="47" customWidth="1"/>
    <col min="4521" max="4521" width="11.125" style="47" customWidth="1"/>
    <col min="4522" max="4522" width="12" style="47" customWidth="1"/>
    <col min="4523" max="4523" width="13" style="47" customWidth="1"/>
    <col min="4524" max="4524" width="13.625" style="47" customWidth="1"/>
    <col min="4525" max="4525" width="11.875" style="47" customWidth="1"/>
    <col min="4526" max="4527" width="11.625" style="47" customWidth="1"/>
    <col min="4528" max="4528" width="12" style="47" customWidth="1"/>
    <col min="4529" max="4529" width="12.75" style="47" customWidth="1"/>
    <col min="4530" max="4530" width="11.625" style="47" customWidth="1"/>
    <col min="4531" max="4531" width="12.125" style="47" customWidth="1"/>
    <col min="4532" max="4533" width="11.625" style="47" customWidth="1"/>
    <col min="4534" max="4534" width="12.5" style="47" customWidth="1"/>
    <col min="4535" max="4709" width="11.625" style="47" customWidth="1"/>
    <col min="4710" max="4710" width="17.75" style="47" customWidth="1"/>
    <col min="4711" max="4712" width="9" style="47" customWidth="1"/>
    <col min="4713" max="4713" width="16.25" style="47" customWidth="1"/>
    <col min="4714" max="4714" width="24" style="47" customWidth="1"/>
    <col min="4715" max="4715" width="9" style="47"/>
    <col min="4716" max="4716" width="11.75" style="47" customWidth="1"/>
    <col min="4717" max="4717" width="8.875" style="47" customWidth="1"/>
    <col min="4718" max="4718" width="17.375" style="47" customWidth="1"/>
    <col min="4719" max="4719" width="13.25" style="47" customWidth="1"/>
    <col min="4720" max="4720" width="25.75" style="47" customWidth="1"/>
    <col min="4721" max="4721" width="11.125" style="47" customWidth="1"/>
    <col min="4722" max="4722" width="10.75" style="47" customWidth="1"/>
    <col min="4723" max="4723" width="9" style="47" customWidth="1"/>
    <col min="4724" max="4724" width="9.75" style="47" customWidth="1"/>
    <col min="4725" max="4725" width="7.5" style="47" customWidth="1"/>
    <col min="4726" max="4726" width="13.25" style="47" customWidth="1"/>
    <col min="4727" max="4727" width="11.75" style="47" customWidth="1"/>
    <col min="4728" max="4728" width="8.875" style="47" customWidth="1"/>
    <col min="4729" max="4729" width="9.625" style="47" customWidth="1"/>
    <col min="4730" max="4731" width="11.875" style="47" customWidth="1"/>
    <col min="4732" max="4732" width="11.5" style="47" customWidth="1"/>
    <col min="4733" max="4748" width="12.25" style="47" customWidth="1"/>
    <col min="4749" max="4749" width="13" style="47" customWidth="1"/>
    <col min="4750" max="4754" width="12.375" style="47" customWidth="1"/>
    <col min="4755" max="4755" width="13" style="47" customWidth="1"/>
    <col min="4756" max="4757" width="12.375" style="47" customWidth="1"/>
    <col min="4758" max="4758" width="13" style="47" customWidth="1"/>
    <col min="4759" max="4759" width="13.125" style="47" customWidth="1"/>
    <col min="4760" max="4760" width="13" style="47" customWidth="1"/>
    <col min="4761" max="4761" width="13.125" style="47" customWidth="1"/>
    <col min="4762" max="4763" width="12.375" style="47" customWidth="1"/>
    <col min="4764" max="4764" width="13" style="47" customWidth="1"/>
    <col min="4765" max="4765" width="12.375" style="47" customWidth="1"/>
    <col min="4766" max="4766" width="12.25" style="47" customWidth="1"/>
    <col min="4767" max="4767" width="12.125" style="47" customWidth="1"/>
    <col min="4768" max="4768" width="11.625" style="47" customWidth="1"/>
    <col min="4769" max="4769" width="12" style="47" customWidth="1"/>
    <col min="4770" max="4770" width="13" style="47" customWidth="1"/>
    <col min="4771" max="4771" width="11.625" style="47" customWidth="1"/>
    <col min="4772" max="4773" width="12" style="47" customWidth="1"/>
    <col min="4774" max="4776" width="11.625" style="47" customWidth="1"/>
    <col min="4777" max="4777" width="11.125" style="47" customWidth="1"/>
    <col min="4778" max="4778" width="12" style="47" customWidth="1"/>
    <col min="4779" max="4779" width="13" style="47" customWidth="1"/>
    <col min="4780" max="4780" width="13.625" style="47" customWidth="1"/>
    <col min="4781" max="4781" width="11.875" style="47" customWidth="1"/>
    <col min="4782" max="4783" width="11.625" style="47" customWidth="1"/>
    <col min="4784" max="4784" width="12" style="47" customWidth="1"/>
    <col min="4785" max="4785" width="12.75" style="47" customWidth="1"/>
    <col min="4786" max="4786" width="11.625" style="47" customWidth="1"/>
    <col min="4787" max="4787" width="12.125" style="47" customWidth="1"/>
    <col min="4788" max="4789" width="11.625" style="47" customWidth="1"/>
    <col min="4790" max="4790" width="12.5" style="47" customWidth="1"/>
    <col min="4791" max="4965" width="11.625" style="47" customWidth="1"/>
    <col min="4966" max="4966" width="17.75" style="47" customWidth="1"/>
    <col min="4967" max="4968" width="9" style="47" customWidth="1"/>
    <col min="4969" max="4969" width="16.25" style="47" customWidth="1"/>
    <col min="4970" max="4970" width="24" style="47" customWidth="1"/>
    <col min="4971" max="4971" width="9" style="47"/>
    <col min="4972" max="4972" width="11.75" style="47" customWidth="1"/>
    <col min="4973" max="4973" width="8.875" style="47" customWidth="1"/>
    <col min="4974" max="4974" width="17.375" style="47" customWidth="1"/>
    <col min="4975" max="4975" width="13.25" style="47" customWidth="1"/>
    <col min="4976" max="4976" width="25.75" style="47" customWidth="1"/>
    <col min="4977" max="4977" width="11.125" style="47" customWidth="1"/>
    <col min="4978" max="4978" width="10.75" style="47" customWidth="1"/>
    <col min="4979" max="4979" width="9" style="47" customWidth="1"/>
    <col min="4980" max="4980" width="9.75" style="47" customWidth="1"/>
    <col min="4981" max="4981" width="7.5" style="47" customWidth="1"/>
    <col min="4982" max="4982" width="13.25" style="47" customWidth="1"/>
    <col min="4983" max="4983" width="11.75" style="47" customWidth="1"/>
    <col min="4984" max="4984" width="8.875" style="47" customWidth="1"/>
    <col min="4985" max="4985" width="9.625" style="47" customWidth="1"/>
    <col min="4986" max="4987" width="11.875" style="47" customWidth="1"/>
    <col min="4988" max="4988" width="11.5" style="47" customWidth="1"/>
    <col min="4989" max="5004" width="12.25" style="47" customWidth="1"/>
    <col min="5005" max="5005" width="13" style="47" customWidth="1"/>
    <col min="5006" max="5010" width="12.375" style="47" customWidth="1"/>
    <col min="5011" max="5011" width="13" style="47" customWidth="1"/>
    <col min="5012" max="5013" width="12.375" style="47" customWidth="1"/>
    <col min="5014" max="5014" width="13" style="47" customWidth="1"/>
    <col min="5015" max="5015" width="13.125" style="47" customWidth="1"/>
    <col min="5016" max="5016" width="13" style="47" customWidth="1"/>
    <col min="5017" max="5017" width="13.125" style="47" customWidth="1"/>
    <col min="5018" max="5019" width="12.375" style="47" customWidth="1"/>
    <col min="5020" max="5020" width="13" style="47" customWidth="1"/>
    <col min="5021" max="5021" width="12.375" style="47" customWidth="1"/>
    <col min="5022" max="5022" width="12.25" style="47" customWidth="1"/>
    <col min="5023" max="5023" width="12.125" style="47" customWidth="1"/>
    <col min="5024" max="5024" width="11.625" style="47" customWidth="1"/>
    <col min="5025" max="5025" width="12" style="47" customWidth="1"/>
    <col min="5026" max="5026" width="13" style="47" customWidth="1"/>
    <col min="5027" max="5027" width="11.625" style="47" customWidth="1"/>
    <col min="5028" max="5029" width="12" style="47" customWidth="1"/>
    <col min="5030" max="5032" width="11.625" style="47" customWidth="1"/>
    <col min="5033" max="5033" width="11.125" style="47" customWidth="1"/>
    <col min="5034" max="5034" width="12" style="47" customWidth="1"/>
    <col min="5035" max="5035" width="13" style="47" customWidth="1"/>
    <col min="5036" max="5036" width="13.625" style="47" customWidth="1"/>
    <col min="5037" max="5037" width="11.875" style="47" customWidth="1"/>
    <col min="5038" max="5039" width="11.625" style="47" customWidth="1"/>
    <col min="5040" max="5040" width="12" style="47" customWidth="1"/>
    <col min="5041" max="5041" width="12.75" style="47" customWidth="1"/>
    <col min="5042" max="5042" width="11.625" style="47" customWidth="1"/>
    <col min="5043" max="5043" width="12.125" style="47" customWidth="1"/>
    <col min="5044" max="5045" width="11.625" style="47" customWidth="1"/>
    <col min="5046" max="5046" width="12.5" style="47" customWidth="1"/>
    <col min="5047" max="5221" width="11.625" style="47" customWidth="1"/>
    <col min="5222" max="5222" width="17.75" style="47" customWidth="1"/>
    <col min="5223" max="5224" width="9" style="47" customWidth="1"/>
    <col min="5225" max="5225" width="16.25" style="47" customWidth="1"/>
    <col min="5226" max="5226" width="24" style="47" customWidth="1"/>
    <col min="5227" max="5227" width="9" style="47"/>
    <col min="5228" max="5228" width="11.75" style="47" customWidth="1"/>
    <col min="5229" max="5229" width="8.875" style="47" customWidth="1"/>
    <col min="5230" max="5230" width="17.375" style="47" customWidth="1"/>
    <col min="5231" max="5231" width="13.25" style="47" customWidth="1"/>
    <col min="5232" max="5232" width="25.75" style="47" customWidth="1"/>
    <col min="5233" max="5233" width="11.125" style="47" customWidth="1"/>
    <col min="5234" max="5234" width="10.75" style="47" customWidth="1"/>
    <col min="5235" max="5235" width="9" style="47" customWidth="1"/>
    <col min="5236" max="5236" width="9.75" style="47" customWidth="1"/>
    <col min="5237" max="5237" width="7.5" style="47" customWidth="1"/>
    <col min="5238" max="5238" width="13.25" style="47" customWidth="1"/>
    <col min="5239" max="5239" width="11.75" style="47" customWidth="1"/>
    <col min="5240" max="5240" width="8.875" style="47" customWidth="1"/>
    <col min="5241" max="5241" width="9.625" style="47" customWidth="1"/>
    <col min="5242" max="5243" width="11.875" style="47" customWidth="1"/>
    <col min="5244" max="5244" width="11.5" style="47" customWidth="1"/>
    <col min="5245" max="5260" width="12.25" style="47" customWidth="1"/>
    <col min="5261" max="5261" width="13" style="47" customWidth="1"/>
    <col min="5262" max="5266" width="12.375" style="47" customWidth="1"/>
    <col min="5267" max="5267" width="13" style="47" customWidth="1"/>
    <col min="5268" max="5269" width="12.375" style="47" customWidth="1"/>
    <col min="5270" max="5270" width="13" style="47" customWidth="1"/>
    <col min="5271" max="5271" width="13.125" style="47" customWidth="1"/>
    <col min="5272" max="5272" width="13" style="47" customWidth="1"/>
    <col min="5273" max="5273" width="13.125" style="47" customWidth="1"/>
    <col min="5274" max="5275" width="12.375" style="47" customWidth="1"/>
    <col min="5276" max="5276" width="13" style="47" customWidth="1"/>
    <col min="5277" max="5277" width="12.375" style="47" customWidth="1"/>
    <col min="5278" max="5278" width="12.25" style="47" customWidth="1"/>
    <col min="5279" max="5279" width="12.125" style="47" customWidth="1"/>
    <col min="5280" max="5280" width="11.625" style="47" customWidth="1"/>
    <col min="5281" max="5281" width="12" style="47" customWidth="1"/>
    <col min="5282" max="5282" width="13" style="47" customWidth="1"/>
    <col min="5283" max="5283" width="11.625" style="47" customWidth="1"/>
    <col min="5284" max="5285" width="12" style="47" customWidth="1"/>
    <col min="5286" max="5288" width="11.625" style="47" customWidth="1"/>
    <col min="5289" max="5289" width="11.125" style="47" customWidth="1"/>
    <col min="5290" max="5290" width="12" style="47" customWidth="1"/>
    <col min="5291" max="5291" width="13" style="47" customWidth="1"/>
    <col min="5292" max="5292" width="13.625" style="47" customWidth="1"/>
    <col min="5293" max="5293" width="11.875" style="47" customWidth="1"/>
    <col min="5294" max="5295" width="11.625" style="47" customWidth="1"/>
    <col min="5296" max="5296" width="12" style="47" customWidth="1"/>
    <col min="5297" max="5297" width="12.75" style="47" customWidth="1"/>
    <col min="5298" max="5298" width="11.625" style="47" customWidth="1"/>
    <col min="5299" max="5299" width="12.125" style="47" customWidth="1"/>
    <col min="5300" max="5301" width="11.625" style="47" customWidth="1"/>
    <col min="5302" max="5302" width="12.5" style="47" customWidth="1"/>
    <col min="5303" max="5477" width="11.625" style="47" customWidth="1"/>
    <col min="5478" max="5478" width="17.75" style="47" customWidth="1"/>
    <col min="5479" max="5480" width="9" style="47" customWidth="1"/>
    <col min="5481" max="5481" width="16.25" style="47" customWidth="1"/>
    <col min="5482" max="5482" width="24" style="47" customWidth="1"/>
    <col min="5483" max="5483" width="9" style="47"/>
    <col min="5484" max="5484" width="11.75" style="47" customWidth="1"/>
    <col min="5485" max="5485" width="8.875" style="47" customWidth="1"/>
    <col min="5486" max="5486" width="17.375" style="47" customWidth="1"/>
    <col min="5487" max="5487" width="13.25" style="47" customWidth="1"/>
    <col min="5488" max="5488" width="25.75" style="47" customWidth="1"/>
    <col min="5489" max="5489" width="11.125" style="47" customWidth="1"/>
    <col min="5490" max="5490" width="10.75" style="47" customWidth="1"/>
    <col min="5491" max="5491" width="9" style="47" customWidth="1"/>
    <col min="5492" max="5492" width="9.75" style="47" customWidth="1"/>
    <col min="5493" max="5493" width="7.5" style="47" customWidth="1"/>
    <col min="5494" max="5494" width="13.25" style="47" customWidth="1"/>
    <col min="5495" max="5495" width="11.75" style="47" customWidth="1"/>
    <col min="5496" max="5496" width="8.875" style="47" customWidth="1"/>
    <col min="5497" max="5497" width="9.625" style="47" customWidth="1"/>
    <col min="5498" max="5499" width="11.875" style="47" customWidth="1"/>
    <col min="5500" max="5500" width="11.5" style="47" customWidth="1"/>
    <col min="5501" max="5516" width="12.25" style="47" customWidth="1"/>
    <col min="5517" max="5517" width="13" style="47" customWidth="1"/>
    <col min="5518" max="5522" width="12.375" style="47" customWidth="1"/>
    <col min="5523" max="5523" width="13" style="47" customWidth="1"/>
    <col min="5524" max="5525" width="12.375" style="47" customWidth="1"/>
    <col min="5526" max="5526" width="13" style="47" customWidth="1"/>
    <col min="5527" max="5527" width="13.125" style="47" customWidth="1"/>
    <col min="5528" max="5528" width="13" style="47" customWidth="1"/>
    <col min="5529" max="5529" width="13.125" style="47" customWidth="1"/>
    <col min="5530" max="5531" width="12.375" style="47" customWidth="1"/>
    <col min="5532" max="5532" width="13" style="47" customWidth="1"/>
    <col min="5533" max="5533" width="12.375" style="47" customWidth="1"/>
    <col min="5534" max="5534" width="12.25" style="47" customWidth="1"/>
    <col min="5535" max="5535" width="12.125" style="47" customWidth="1"/>
    <col min="5536" max="5536" width="11.625" style="47" customWidth="1"/>
    <col min="5537" max="5537" width="12" style="47" customWidth="1"/>
    <col min="5538" max="5538" width="13" style="47" customWidth="1"/>
    <col min="5539" max="5539" width="11.625" style="47" customWidth="1"/>
    <col min="5540" max="5541" width="12" style="47" customWidth="1"/>
    <col min="5542" max="5544" width="11.625" style="47" customWidth="1"/>
    <col min="5545" max="5545" width="11.125" style="47" customWidth="1"/>
    <col min="5546" max="5546" width="12" style="47" customWidth="1"/>
    <col min="5547" max="5547" width="13" style="47" customWidth="1"/>
    <col min="5548" max="5548" width="13.625" style="47" customWidth="1"/>
    <col min="5549" max="5549" width="11.875" style="47" customWidth="1"/>
    <col min="5550" max="5551" width="11.625" style="47" customWidth="1"/>
    <col min="5552" max="5552" width="12" style="47" customWidth="1"/>
    <col min="5553" max="5553" width="12.75" style="47" customWidth="1"/>
    <col min="5554" max="5554" width="11.625" style="47" customWidth="1"/>
    <col min="5555" max="5555" width="12.125" style="47" customWidth="1"/>
    <col min="5556" max="5557" width="11.625" style="47" customWidth="1"/>
    <col min="5558" max="5558" width="12.5" style="47" customWidth="1"/>
    <col min="5559" max="5733" width="11.625" style="47" customWidth="1"/>
    <col min="5734" max="5734" width="17.75" style="47" customWidth="1"/>
    <col min="5735" max="5736" width="9" style="47" customWidth="1"/>
    <col min="5737" max="5737" width="16.25" style="47" customWidth="1"/>
    <col min="5738" max="5738" width="24" style="47" customWidth="1"/>
    <col min="5739" max="5739" width="9" style="47"/>
    <col min="5740" max="5740" width="11.75" style="47" customWidth="1"/>
    <col min="5741" max="5741" width="8.875" style="47" customWidth="1"/>
    <col min="5742" max="5742" width="17.375" style="47" customWidth="1"/>
    <col min="5743" max="5743" width="13.25" style="47" customWidth="1"/>
    <col min="5744" max="5744" width="25.75" style="47" customWidth="1"/>
    <col min="5745" max="5745" width="11.125" style="47" customWidth="1"/>
    <col min="5746" max="5746" width="10.75" style="47" customWidth="1"/>
    <col min="5747" max="5747" width="9" style="47" customWidth="1"/>
    <col min="5748" max="5748" width="9.75" style="47" customWidth="1"/>
    <col min="5749" max="5749" width="7.5" style="47" customWidth="1"/>
    <col min="5750" max="5750" width="13.25" style="47" customWidth="1"/>
    <col min="5751" max="5751" width="11.75" style="47" customWidth="1"/>
    <col min="5752" max="5752" width="8.875" style="47" customWidth="1"/>
    <col min="5753" max="5753" width="9.625" style="47" customWidth="1"/>
    <col min="5754" max="5755" width="11.875" style="47" customWidth="1"/>
    <col min="5756" max="5756" width="11.5" style="47" customWidth="1"/>
    <col min="5757" max="5772" width="12.25" style="47" customWidth="1"/>
    <col min="5773" max="5773" width="13" style="47" customWidth="1"/>
    <col min="5774" max="5778" width="12.375" style="47" customWidth="1"/>
    <col min="5779" max="5779" width="13" style="47" customWidth="1"/>
    <col min="5780" max="5781" width="12.375" style="47" customWidth="1"/>
    <col min="5782" max="5782" width="13" style="47" customWidth="1"/>
    <col min="5783" max="5783" width="13.125" style="47" customWidth="1"/>
    <col min="5784" max="5784" width="13" style="47" customWidth="1"/>
    <col min="5785" max="5785" width="13.125" style="47" customWidth="1"/>
    <col min="5786" max="5787" width="12.375" style="47" customWidth="1"/>
    <col min="5788" max="5788" width="13" style="47" customWidth="1"/>
    <col min="5789" max="5789" width="12.375" style="47" customWidth="1"/>
    <col min="5790" max="5790" width="12.25" style="47" customWidth="1"/>
    <col min="5791" max="5791" width="12.125" style="47" customWidth="1"/>
    <col min="5792" max="5792" width="11.625" style="47" customWidth="1"/>
    <col min="5793" max="5793" width="12" style="47" customWidth="1"/>
    <col min="5794" max="5794" width="13" style="47" customWidth="1"/>
    <col min="5795" max="5795" width="11.625" style="47" customWidth="1"/>
    <col min="5796" max="5797" width="12" style="47" customWidth="1"/>
    <col min="5798" max="5800" width="11.625" style="47" customWidth="1"/>
    <col min="5801" max="5801" width="11.125" style="47" customWidth="1"/>
    <col min="5802" max="5802" width="12" style="47" customWidth="1"/>
    <col min="5803" max="5803" width="13" style="47" customWidth="1"/>
    <col min="5804" max="5804" width="13.625" style="47" customWidth="1"/>
    <col min="5805" max="5805" width="11.875" style="47" customWidth="1"/>
    <col min="5806" max="5807" width="11.625" style="47" customWidth="1"/>
    <col min="5808" max="5808" width="12" style="47" customWidth="1"/>
    <col min="5809" max="5809" width="12.75" style="47" customWidth="1"/>
    <col min="5810" max="5810" width="11.625" style="47" customWidth="1"/>
    <col min="5811" max="5811" width="12.125" style="47" customWidth="1"/>
    <col min="5812" max="5813" width="11.625" style="47" customWidth="1"/>
    <col min="5814" max="5814" width="12.5" style="47" customWidth="1"/>
    <col min="5815" max="5989" width="11.625" style="47" customWidth="1"/>
    <col min="5990" max="5990" width="17.75" style="47" customWidth="1"/>
    <col min="5991" max="5992" width="9" style="47" customWidth="1"/>
    <col min="5993" max="5993" width="16.25" style="47" customWidth="1"/>
    <col min="5994" max="5994" width="24" style="47" customWidth="1"/>
    <col min="5995" max="5995" width="9" style="47"/>
    <col min="5996" max="5996" width="11.75" style="47" customWidth="1"/>
    <col min="5997" max="5997" width="8.875" style="47" customWidth="1"/>
    <col min="5998" max="5998" width="17.375" style="47" customWidth="1"/>
    <col min="5999" max="5999" width="13.25" style="47" customWidth="1"/>
    <col min="6000" max="6000" width="25.75" style="47" customWidth="1"/>
    <col min="6001" max="6001" width="11.125" style="47" customWidth="1"/>
    <col min="6002" max="6002" width="10.75" style="47" customWidth="1"/>
    <col min="6003" max="6003" width="9" style="47" customWidth="1"/>
    <col min="6004" max="6004" width="9.75" style="47" customWidth="1"/>
    <col min="6005" max="6005" width="7.5" style="47" customWidth="1"/>
    <col min="6006" max="6006" width="13.25" style="47" customWidth="1"/>
    <col min="6007" max="6007" width="11.75" style="47" customWidth="1"/>
    <col min="6008" max="6008" width="8.875" style="47" customWidth="1"/>
    <col min="6009" max="6009" width="9.625" style="47" customWidth="1"/>
    <col min="6010" max="6011" width="11.875" style="47" customWidth="1"/>
    <col min="6012" max="6012" width="11.5" style="47" customWidth="1"/>
    <col min="6013" max="6028" width="12.25" style="47" customWidth="1"/>
    <col min="6029" max="6029" width="13" style="47" customWidth="1"/>
    <col min="6030" max="6034" width="12.375" style="47" customWidth="1"/>
    <col min="6035" max="6035" width="13" style="47" customWidth="1"/>
    <col min="6036" max="6037" width="12.375" style="47" customWidth="1"/>
    <col min="6038" max="6038" width="13" style="47" customWidth="1"/>
    <col min="6039" max="6039" width="13.125" style="47" customWidth="1"/>
    <col min="6040" max="6040" width="13" style="47" customWidth="1"/>
    <col min="6041" max="6041" width="13.125" style="47" customWidth="1"/>
    <col min="6042" max="6043" width="12.375" style="47" customWidth="1"/>
    <col min="6044" max="6044" width="13" style="47" customWidth="1"/>
    <col min="6045" max="6045" width="12.375" style="47" customWidth="1"/>
    <col min="6046" max="6046" width="12.25" style="47" customWidth="1"/>
    <col min="6047" max="6047" width="12.125" style="47" customWidth="1"/>
    <col min="6048" max="6048" width="11.625" style="47" customWidth="1"/>
    <col min="6049" max="6049" width="12" style="47" customWidth="1"/>
    <col min="6050" max="6050" width="13" style="47" customWidth="1"/>
    <col min="6051" max="6051" width="11.625" style="47" customWidth="1"/>
    <col min="6052" max="6053" width="12" style="47" customWidth="1"/>
    <col min="6054" max="6056" width="11.625" style="47" customWidth="1"/>
    <col min="6057" max="6057" width="11.125" style="47" customWidth="1"/>
    <col min="6058" max="6058" width="12" style="47" customWidth="1"/>
    <col min="6059" max="6059" width="13" style="47" customWidth="1"/>
    <col min="6060" max="6060" width="13.625" style="47" customWidth="1"/>
    <col min="6061" max="6061" width="11.875" style="47" customWidth="1"/>
    <col min="6062" max="6063" width="11.625" style="47" customWidth="1"/>
    <col min="6064" max="6064" width="12" style="47" customWidth="1"/>
    <col min="6065" max="6065" width="12.75" style="47" customWidth="1"/>
    <col min="6066" max="6066" width="11.625" style="47" customWidth="1"/>
    <col min="6067" max="6067" width="12.125" style="47" customWidth="1"/>
    <col min="6068" max="6069" width="11.625" style="47" customWidth="1"/>
    <col min="6070" max="6070" width="12.5" style="47" customWidth="1"/>
    <col min="6071" max="6245" width="11.625" style="47" customWidth="1"/>
    <col min="6246" max="6246" width="17.75" style="47" customWidth="1"/>
    <col min="6247" max="6248" width="9" style="47" customWidth="1"/>
    <col min="6249" max="6249" width="16.25" style="47" customWidth="1"/>
    <col min="6250" max="6250" width="24" style="47" customWidth="1"/>
    <col min="6251" max="6251" width="9" style="47"/>
    <col min="6252" max="6252" width="11.75" style="47" customWidth="1"/>
    <col min="6253" max="6253" width="8.875" style="47" customWidth="1"/>
    <col min="6254" max="6254" width="17.375" style="47" customWidth="1"/>
    <col min="6255" max="6255" width="13.25" style="47" customWidth="1"/>
    <col min="6256" max="6256" width="25.75" style="47" customWidth="1"/>
    <col min="6257" max="6257" width="11.125" style="47" customWidth="1"/>
    <col min="6258" max="6258" width="10.75" style="47" customWidth="1"/>
    <col min="6259" max="6259" width="9" style="47" customWidth="1"/>
    <col min="6260" max="6260" width="9.75" style="47" customWidth="1"/>
    <col min="6261" max="6261" width="7.5" style="47" customWidth="1"/>
    <col min="6262" max="6262" width="13.25" style="47" customWidth="1"/>
    <col min="6263" max="6263" width="11.75" style="47" customWidth="1"/>
    <col min="6264" max="6264" width="8.875" style="47" customWidth="1"/>
    <col min="6265" max="6265" width="9.625" style="47" customWidth="1"/>
    <col min="6266" max="6267" width="11.875" style="47" customWidth="1"/>
    <col min="6268" max="6268" width="11.5" style="47" customWidth="1"/>
    <col min="6269" max="6284" width="12.25" style="47" customWidth="1"/>
    <col min="6285" max="6285" width="13" style="47" customWidth="1"/>
    <col min="6286" max="6290" width="12.375" style="47" customWidth="1"/>
    <col min="6291" max="6291" width="13" style="47" customWidth="1"/>
    <col min="6292" max="6293" width="12.375" style="47" customWidth="1"/>
    <col min="6294" max="6294" width="13" style="47" customWidth="1"/>
    <col min="6295" max="6295" width="13.125" style="47" customWidth="1"/>
    <col min="6296" max="6296" width="13" style="47" customWidth="1"/>
    <col min="6297" max="6297" width="13.125" style="47" customWidth="1"/>
    <col min="6298" max="6299" width="12.375" style="47" customWidth="1"/>
    <col min="6300" max="6300" width="13" style="47" customWidth="1"/>
    <col min="6301" max="6301" width="12.375" style="47" customWidth="1"/>
    <col min="6302" max="6302" width="12.25" style="47" customWidth="1"/>
    <col min="6303" max="6303" width="12.125" style="47" customWidth="1"/>
    <col min="6304" max="6304" width="11.625" style="47" customWidth="1"/>
    <col min="6305" max="6305" width="12" style="47" customWidth="1"/>
    <col min="6306" max="6306" width="13" style="47" customWidth="1"/>
    <col min="6307" max="6307" width="11.625" style="47" customWidth="1"/>
    <col min="6308" max="6309" width="12" style="47" customWidth="1"/>
    <col min="6310" max="6312" width="11.625" style="47" customWidth="1"/>
    <col min="6313" max="6313" width="11.125" style="47" customWidth="1"/>
    <col min="6314" max="6314" width="12" style="47" customWidth="1"/>
    <col min="6315" max="6315" width="13" style="47" customWidth="1"/>
    <col min="6316" max="6316" width="13.625" style="47" customWidth="1"/>
    <col min="6317" max="6317" width="11.875" style="47" customWidth="1"/>
    <col min="6318" max="6319" width="11.625" style="47" customWidth="1"/>
    <col min="6320" max="6320" width="12" style="47" customWidth="1"/>
    <col min="6321" max="6321" width="12.75" style="47" customWidth="1"/>
    <col min="6322" max="6322" width="11.625" style="47" customWidth="1"/>
    <col min="6323" max="6323" width="12.125" style="47" customWidth="1"/>
    <col min="6324" max="6325" width="11.625" style="47" customWidth="1"/>
    <col min="6326" max="6326" width="12.5" style="47" customWidth="1"/>
    <col min="6327" max="6501" width="11.625" style="47" customWidth="1"/>
    <col min="6502" max="6502" width="17.75" style="47" customWidth="1"/>
    <col min="6503" max="6504" width="9" style="47" customWidth="1"/>
    <col min="6505" max="6505" width="16.25" style="47" customWidth="1"/>
    <col min="6506" max="6506" width="24" style="47" customWidth="1"/>
    <col min="6507" max="6507" width="9" style="47"/>
    <col min="6508" max="6508" width="11.75" style="47" customWidth="1"/>
    <col min="6509" max="6509" width="8.875" style="47" customWidth="1"/>
    <col min="6510" max="6510" width="17.375" style="47" customWidth="1"/>
    <col min="6511" max="6511" width="13.25" style="47" customWidth="1"/>
    <col min="6512" max="6512" width="25.75" style="47" customWidth="1"/>
    <col min="6513" max="6513" width="11.125" style="47" customWidth="1"/>
    <col min="6514" max="6514" width="10.75" style="47" customWidth="1"/>
    <col min="6515" max="6515" width="9" style="47" customWidth="1"/>
    <col min="6516" max="6516" width="9.75" style="47" customWidth="1"/>
    <col min="6517" max="6517" width="7.5" style="47" customWidth="1"/>
    <col min="6518" max="6518" width="13.25" style="47" customWidth="1"/>
    <col min="6519" max="6519" width="11.75" style="47" customWidth="1"/>
    <col min="6520" max="6520" width="8.875" style="47" customWidth="1"/>
    <col min="6521" max="6521" width="9.625" style="47" customWidth="1"/>
    <col min="6522" max="6523" width="11.875" style="47" customWidth="1"/>
    <col min="6524" max="6524" width="11.5" style="47" customWidth="1"/>
    <col min="6525" max="6540" width="12.25" style="47" customWidth="1"/>
    <col min="6541" max="6541" width="13" style="47" customWidth="1"/>
    <col min="6542" max="6546" width="12.375" style="47" customWidth="1"/>
    <col min="6547" max="6547" width="13" style="47" customWidth="1"/>
    <col min="6548" max="6549" width="12.375" style="47" customWidth="1"/>
    <col min="6550" max="6550" width="13" style="47" customWidth="1"/>
    <col min="6551" max="6551" width="13.125" style="47" customWidth="1"/>
    <col min="6552" max="6552" width="13" style="47" customWidth="1"/>
    <col min="6553" max="6553" width="13.125" style="47" customWidth="1"/>
    <col min="6554" max="6555" width="12.375" style="47" customWidth="1"/>
    <col min="6556" max="6556" width="13" style="47" customWidth="1"/>
    <col min="6557" max="6557" width="12.375" style="47" customWidth="1"/>
    <col min="6558" max="6558" width="12.25" style="47" customWidth="1"/>
    <col min="6559" max="6559" width="12.125" style="47" customWidth="1"/>
    <col min="6560" max="6560" width="11.625" style="47" customWidth="1"/>
    <col min="6561" max="6561" width="12" style="47" customWidth="1"/>
    <col min="6562" max="6562" width="13" style="47" customWidth="1"/>
    <col min="6563" max="6563" width="11.625" style="47" customWidth="1"/>
    <col min="6564" max="6565" width="12" style="47" customWidth="1"/>
    <col min="6566" max="6568" width="11.625" style="47" customWidth="1"/>
    <col min="6569" max="6569" width="11.125" style="47" customWidth="1"/>
    <col min="6570" max="6570" width="12" style="47" customWidth="1"/>
    <col min="6571" max="6571" width="13" style="47" customWidth="1"/>
    <col min="6572" max="6572" width="13.625" style="47" customWidth="1"/>
    <col min="6573" max="6573" width="11.875" style="47" customWidth="1"/>
    <col min="6574" max="6575" width="11.625" style="47" customWidth="1"/>
    <col min="6576" max="6576" width="12" style="47" customWidth="1"/>
    <col min="6577" max="6577" width="12.75" style="47" customWidth="1"/>
    <col min="6578" max="6578" width="11.625" style="47" customWidth="1"/>
    <col min="6579" max="6579" width="12.125" style="47" customWidth="1"/>
    <col min="6580" max="6581" width="11.625" style="47" customWidth="1"/>
    <col min="6582" max="6582" width="12.5" style="47" customWidth="1"/>
    <col min="6583" max="6757" width="11.625" style="47" customWidth="1"/>
    <col min="6758" max="6758" width="17.75" style="47" customWidth="1"/>
    <col min="6759" max="6760" width="9" style="47" customWidth="1"/>
    <col min="6761" max="6761" width="16.25" style="47" customWidth="1"/>
    <col min="6762" max="6762" width="24" style="47" customWidth="1"/>
    <col min="6763" max="6763" width="9" style="47"/>
    <col min="6764" max="6764" width="11.75" style="47" customWidth="1"/>
    <col min="6765" max="6765" width="8.875" style="47" customWidth="1"/>
    <col min="6766" max="6766" width="17.375" style="47" customWidth="1"/>
    <col min="6767" max="6767" width="13.25" style="47" customWidth="1"/>
    <col min="6768" max="6768" width="25.75" style="47" customWidth="1"/>
    <col min="6769" max="6769" width="11.125" style="47" customWidth="1"/>
    <col min="6770" max="6770" width="10.75" style="47" customWidth="1"/>
    <col min="6771" max="6771" width="9" style="47" customWidth="1"/>
    <col min="6772" max="6772" width="9.75" style="47" customWidth="1"/>
    <col min="6773" max="6773" width="7.5" style="47" customWidth="1"/>
    <col min="6774" max="6774" width="13.25" style="47" customWidth="1"/>
    <col min="6775" max="6775" width="11.75" style="47" customWidth="1"/>
    <col min="6776" max="6776" width="8.875" style="47" customWidth="1"/>
    <col min="6777" max="6777" width="9.625" style="47" customWidth="1"/>
    <col min="6778" max="6779" width="11.875" style="47" customWidth="1"/>
    <col min="6780" max="6780" width="11.5" style="47" customWidth="1"/>
    <col min="6781" max="6796" width="12.25" style="47" customWidth="1"/>
    <col min="6797" max="6797" width="13" style="47" customWidth="1"/>
    <col min="6798" max="6802" width="12.375" style="47" customWidth="1"/>
    <col min="6803" max="6803" width="13" style="47" customWidth="1"/>
    <col min="6804" max="6805" width="12.375" style="47" customWidth="1"/>
    <col min="6806" max="6806" width="13" style="47" customWidth="1"/>
    <col min="6807" max="6807" width="13.125" style="47" customWidth="1"/>
    <col min="6808" max="6808" width="13" style="47" customWidth="1"/>
    <col min="6809" max="6809" width="13.125" style="47" customWidth="1"/>
    <col min="6810" max="6811" width="12.375" style="47" customWidth="1"/>
    <col min="6812" max="6812" width="13" style="47" customWidth="1"/>
    <col min="6813" max="6813" width="12.375" style="47" customWidth="1"/>
    <col min="6814" max="6814" width="12.25" style="47" customWidth="1"/>
    <col min="6815" max="6815" width="12.125" style="47" customWidth="1"/>
    <col min="6816" max="6816" width="11.625" style="47" customWidth="1"/>
    <col min="6817" max="6817" width="12" style="47" customWidth="1"/>
    <col min="6818" max="6818" width="13" style="47" customWidth="1"/>
    <col min="6819" max="6819" width="11.625" style="47" customWidth="1"/>
    <col min="6820" max="6821" width="12" style="47" customWidth="1"/>
    <col min="6822" max="6824" width="11.625" style="47" customWidth="1"/>
    <col min="6825" max="6825" width="11.125" style="47" customWidth="1"/>
    <col min="6826" max="6826" width="12" style="47" customWidth="1"/>
    <col min="6827" max="6827" width="13" style="47" customWidth="1"/>
    <col min="6828" max="6828" width="13.625" style="47" customWidth="1"/>
    <col min="6829" max="6829" width="11.875" style="47" customWidth="1"/>
    <col min="6830" max="6831" width="11.625" style="47" customWidth="1"/>
    <col min="6832" max="6832" width="12" style="47" customWidth="1"/>
    <col min="6833" max="6833" width="12.75" style="47" customWidth="1"/>
    <col min="6834" max="6834" width="11.625" style="47" customWidth="1"/>
    <col min="6835" max="6835" width="12.125" style="47" customWidth="1"/>
    <col min="6836" max="6837" width="11.625" style="47" customWidth="1"/>
    <col min="6838" max="6838" width="12.5" style="47" customWidth="1"/>
    <col min="6839" max="7013" width="11.625" style="47" customWidth="1"/>
    <col min="7014" max="7014" width="17.75" style="47" customWidth="1"/>
    <col min="7015" max="7016" width="9" style="47" customWidth="1"/>
    <col min="7017" max="7017" width="16.25" style="47" customWidth="1"/>
    <col min="7018" max="7018" width="24" style="47" customWidth="1"/>
    <col min="7019" max="7019" width="9" style="47"/>
    <col min="7020" max="7020" width="11.75" style="47" customWidth="1"/>
    <col min="7021" max="7021" width="8.875" style="47" customWidth="1"/>
    <col min="7022" max="7022" width="17.375" style="47" customWidth="1"/>
    <col min="7023" max="7023" width="13.25" style="47" customWidth="1"/>
    <col min="7024" max="7024" width="25.75" style="47" customWidth="1"/>
    <col min="7025" max="7025" width="11.125" style="47" customWidth="1"/>
    <col min="7026" max="7026" width="10.75" style="47" customWidth="1"/>
    <col min="7027" max="7027" width="9" style="47" customWidth="1"/>
    <col min="7028" max="7028" width="9.75" style="47" customWidth="1"/>
    <col min="7029" max="7029" width="7.5" style="47" customWidth="1"/>
    <col min="7030" max="7030" width="13.25" style="47" customWidth="1"/>
    <col min="7031" max="7031" width="11.75" style="47" customWidth="1"/>
    <col min="7032" max="7032" width="8.875" style="47" customWidth="1"/>
    <col min="7033" max="7033" width="9.625" style="47" customWidth="1"/>
    <col min="7034" max="7035" width="11.875" style="47" customWidth="1"/>
    <col min="7036" max="7036" width="11.5" style="47" customWidth="1"/>
    <col min="7037" max="7052" width="12.25" style="47" customWidth="1"/>
    <col min="7053" max="7053" width="13" style="47" customWidth="1"/>
    <col min="7054" max="7058" width="12.375" style="47" customWidth="1"/>
    <col min="7059" max="7059" width="13" style="47" customWidth="1"/>
    <col min="7060" max="7061" width="12.375" style="47" customWidth="1"/>
    <col min="7062" max="7062" width="13" style="47" customWidth="1"/>
    <col min="7063" max="7063" width="13.125" style="47" customWidth="1"/>
    <col min="7064" max="7064" width="13" style="47" customWidth="1"/>
    <col min="7065" max="7065" width="13.125" style="47" customWidth="1"/>
    <col min="7066" max="7067" width="12.375" style="47" customWidth="1"/>
    <col min="7068" max="7068" width="13" style="47" customWidth="1"/>
    <col min="7069" max="7069" width="12.375" style="47" customWidth="1"/>
    <col min="7070" max="7070" width="12.25" style="47" customWidth="1"/>
    <col min="7071" max="7071" width="12.125" style="47" customWidth="1"/>
    <col min="7072" max="7072" width="11.625" style="47" customWidth="1"/>
    <col min="7073" max="7073" width="12" style="47" customWidth="1"/>
    <col min="7074" max="7074" width="13" style="47" customWidth="1"/>
    <col min="7075" max="7075" width="11.625" style="47" customWidth="1"/>
    <col min="7076" max="7077" width="12" style="47" customWidth="1"/>
    <col min="7078" max="7080" width="11.625" style="47" customWidth="1"/>
    <col min="7081" max="7081" width="11.125" style="47" customWidth="1"/>
    <col min="7082" max="7082" width="12" style="47" customWidth="1"/>
    <col min="7083" max="7083" width="13" style="47" customWidth="1"/>
    <col min="7084" max="7084" width="13.625" style="47" customWidth="1"/>
    <col min="7085" max="7085" width="11.875" style="47" customWidth="1"/>
    <col min="7086" max="7087" width="11.625" style="47" customWidth="1"/>
    <col min="7088" max="7088" width="12" style="47" customWidth="1"/>
    <col min="7089" max="7089" width="12.75" style="47" customWidth="1"/>
    <col min="7090" max="7090" width="11.625" style="47" customWidth="1"/>
    <col min="7091" max="7091" width="12.125" style="47" customWidth="1"/>
    <col min="7092" max="7093" width="11.625" style="47" customWidth="1"/>
    <col min="7094" max="7094" width="12.5" style="47" customWidth="1"/>
    <col min="7095" max="7269" width="11.625" style="47" customWidth="1"/>
    <col min="7270" max="7270" width="17.75" style="47" customWidth="1"/>
    <col min="7271" max="7272" width="9" style="47" customWidth="1"/>
    <col min="7273" max="7273" width="16.25" style="47" customWidth="1"/>
    <col min="7274" max="7274" width="24" style="47" customWidth="1"/>
    <col min="7275" max="7275" width="9" style="47"/>
    <col min="7276" max="7276" width="11.75" style="47" customWidth="1"/>
    <col min="7277" max="7277" width="8.875" style="47" customWidth="1"/>
    <col min="7278" max="7278" width="17.375" style="47" customWidth="1"/>
    <col min="7279" max="7279" width="13.25" style="47" customWidth="1"/>
    <col min="7280" max="7280" width="25.75" style="47" customWidth="1"/>
    <col min="7281" max="7281" width="11.125" style="47" customWidth="1"/>
    <col min="7282" max="7282" width="10.75" style="47" customWidth="1"/>
    <col min="7283" max="7283" width="9" style="47" customWidth="1"/>
    <col min="7284" max="7284" width="9.75" style="47" customWidth="1"/>
    <col min="7285" max="7285" width="7.5" style="47" customWidth="1"/>
    <col min="7286" max="7286" width="13.25" style="47" customWidth="1"/>
    <col min="7287" max="7287" width="11.75" style="47" customWidth="1"/>
    <col min="7288" max="7288" width="8.875" style="47" customWidth="1"/>
    <col min="7289" max="7289" width="9.625" style="47" customWidth="1"/>
    <col min="7290" max="7291" width="11.875" style="47" customWidth="1"/>
    <col min="7292" max="7292" width="11.5" style="47" customWidth="1"/>
    <col min="7293" max="7308" width="12.25" style="47" customWidth="1"/>
    <col min="7309" max="7309" width="13" style="47" customWidth="1"/>
    <col min="7310" max="7314" width="12.375" style="47" customWidth="1"/>
    <col min="7315" max="7315" width="13" style="47" customWidth="1"/>
    <col min="7316" max="7317" width="12.375" style="47" customWidth="1"/>
    <col min="7318" max="7318" width="13" style="47" customWidth="1"/>
    <col min="7319" max="7319" width="13.125" style="47" customWidth="1"/>
    <col min="7320" max="7320" width="13" style="47" customWidth="1"/>
    <col min="7321" max="7321" width="13.125" style="47" customWidth="1"/>
    <col min="7322" max="7323" width="12.375" style="47" customWidth="1"/>
    <col min="7324" max="7324" width="13" style="47" customWidth="1"/>
    <col min="7325" max="7325" width="12.375" style="47" customWidth="1"/>
    <col min="7326" max="7326" width="12.25" style="47" customWidth="1"/>
    <col min="7327" max="7327" width="12.125" style="47" customWidth="1"/>
    <col min="7328" max="7328" width="11.625" style="47" customWidth="1"/>
    <col min="7329" max="7329" width="12" style="47" customWidth="1"/>
    <col min="7330" max="7330" width="13" style="47" customWidth="1"/>
    <col min="7331" max="7331" width="11.625" style="47" customWidth="1"/>
    <col min="7332" max="7333" width="12" style="47" customWidth="1"/>
    <col min="7334" max="7336" width="11.625" style="47" customWidth="1"/>
    <col min="7337" max="7337" width="11.125" style="47" customWidth="1"/>
    <col min="7338" max="7338" width="12" style="47" customWidth="1"/>
    <col min="7339" max="7339" width="13" style="47" customWidth="1"/>
    <col min="7340" max="7340" width="13.625" style="47" customWidth="1"/>
    <col min="7341" max="7341" width="11.875" style="47" customWidth="1"/>
    <col min="7342" max="7343" width="11.625" style="47" customWidth="1"/>
    <col min="7344" max="7344" width="12" style="47" customWidth="1"/>
    <col min="7345" max="7345" width="12.75" style="47" customWidth="1"/>
    <col min="7346" max="7346" width="11.625" style="47" customWidth="1"/>
    <col min="7347" max="7347" width="12.125" style="47" customWidth="1"/>
    <col min="7348" max="7349" width="11.625" style="47" customWidth="1"/>
    <col min="7350" max="7350" width="12.5" style="47" customWidth="1"/>
    <col min="7351" max="7525" width="11.625" style="47" customWidth="1"/>
    <col min="7526" max="7526" width="17.75" style="47" customWidth="1"/>
    <col min="7527" max="7528" width="9" style="47" customWidth="1"/>
    <col min="7529" max="7529" width="16.25" style="47" customWidth="1"/>
    <col min="7530" max="7530" width="24" style="47" customWidth="1"/>
    <col min="7531" max="7531" width="9" style="47"/>
    <col min="7532" max="7532" width="11.75" style="47" customWidth="1"/>
    <col min="7533" max="7533" width="8.875" style="47" customWidth="1"/>
    <col min="7534" max="7534" width="17.375" style="47" customWidth="1"/>
    <col min="7535" max="7535" width="13.25" style="47" customWidth="1"/>
    <col min="7536" max="7536" width="25.75" style="47" customWidth="1"/>
    <col min="7537" max="7537" width="11.125" style="47" customWidth="1"/>
    <col min="7538" max="7538" width="10.75" style="47" customWidth="1"/>
    <col min="7539" max="7539" width="9" style="47" customWidth="1"/>
    <col min="7540" max="7540" width="9.75" style="47" customWidth="1"/>
    <col min="7541" max="7541" width="7.5" style="47" customWidth="1"/>
    <col min="7542" max="7542" width="13.25" style="47" customWidth="1"/>
    <col min="7543" max="7543" width="11.75" style="47" customWidth="1"/>
    <col min="7544" max="7544" width="8.875" style="47" customWidth="1"/>
    <col min="7545" max="7545" width="9.625" style="47" customWidth="1"/>
    <col min="7546" max="7547" width="11.875" style="47" customWidth="1"/>
    <col min="7548" max="7548" width="11.5" style="47" customWidth="1"/>
    <col min="7549" max="7564" width="12.25" style="47" customWidth="1"/>
    <col min="7565" max="7565" width="13" style="47" customWidth="1"/>
    <col min="7566" max="7570" width="12.375" style="47" customWidth="1"/>
    <col min="7571" max="7571" width="13" style="47" customWidth="1"/>
    <col min="7572" max="7573" width="12.375" style="47" customWidth="1"/>
    <col min="7574" max="7574" width="13" style="47" customWidth="1"/>
    <col min="7575" max="7575" width="13.125" style="47" customWidth="1"/>
    <col min="7576" max="7576" width="13" style="47" customWidth="1"/>
    <col min="7577" max="7577" width="13.125" style="47" customWidth="1"/>
    <col min="7578" max="7579" width="12.375" style="47" customWidth="1"/>
    <col min="7580" max="7580" width="13" style="47" customWidth="1"/>
    <col min="7581" max="7581" width="12.375" style="47" customWidth="1"/>
    <col min="7582" max="7582" width="12.25" style="47" customWidth="1"/>
    <col min="7583" max="7583" width="12.125" style="47" customWidth="1"/>
    <col min="7584" max="7584" width="11.625" style="47" customWidth="1"/>
    <col min="7585" max="7585" width="12" style="47" customWidth="1"/>
    <col min="7586" max="7586" width="13" style="47" customWidth="1"/>
    <col min="7587" max="7587" width="11.625" style="47" customWidth="1"/>
    <col min="7588" max="7589" width="12" style="47" customWidth="1"/>
    <col min="7590" max="7592" width="11.625" style="47" customWidth="1"/>
    <col min="7593" max="7593" width="11.125" style="47" customWidth="1"/>
    <col min="7594" max="7594" width="12" style="47" customWidth="1"/>
    <col min="7595" max="7595" width="13" style="47" customWidth="1"/>
    <col min="7596" max="7596" width="13.625" style="47" customWidth="1"/>
    <col min="7597" max="7597" width="11.875" style="47" customWidth="1"/>
    <col min="7598" max="7599" width="11.625" style="47" customWidth="1"/>
    <col min="7600" max="7600" width="12" style="47" customWidth="1"/>
    <col min="7601" max="7601" width="12.75" style="47" customWidth="1"/>
    <col min="7602" max="7602" width="11.625" style="47" customWidth="1"/>
    <col min="7603" max="7603" width="12.125" style="47" customWidth="1"/>
    <col min="7604" max="7605" width="11.625" style="47" customWidth="1"/>
    <col min="7606" max="7606" width="12.5" style="47" customWidth="1"/>
    <col min="7607" max="7781" width="11.625" style="47" customWidth="1"/>
    <col min="7782" max="7782" width="17.75" style="47" customWidth="1"/>
    <col min="7783" max="7784" width="9" style="47" customWidth="1"/>
    <col min="7785" max="7785" width="16.25" style="47" customWidth="1"/>
    <col min="7786" max="7786" width="24" style="47" customWidth="1"/>
    <col min="7787" max="7787" width="9" style="47"/>
    <col min="7788" max="7788" width="11.75" style="47" customWidth="1"/>
    <col min="7789" max="7789" width="8.875" style="47" customWidth="1"/>
    <col min="7790" max="7790" width="17.375" style="47" customWidth="1"/>
    <col min="7791" max="7791" width="13.25" style="47" customWidth="1"/>
    <col min="7792" max="7792" width="25.75" style="47" customWidth="1"/>
    <col min="7793" max="7793" width="11.125" style="47" customWidth="1"/>
    <col min="7794" max="7794" width="10.75" style="47" customWidth="1"/>
    <col min="7795" max="7795" width="9" style="47" customWidth="1"/>
    <col min="7796" max="7796" width="9.75" style="47" customWidth="1"/>
    <col min="7797" max="7797" width="7.5" style="47" customWidth="1"/>
    <col min="7798" max="7798" width="13.25" style="47" customWidth="1"/>
    <col min="7799" max="7799" width="11.75" style="47" customWidth="1"/>
    <col min="7800" max="7800" width="8.875" style="47" customWidth="1"/>
    <col min="7801" max="7801" width="9.625" style="47" customWidth="1"/>
    <col min="7802" max="7803" width="11.875" style="47" customWidth="1"/>
    <col min="7804" max="7804" width="11.5" style="47" customWidth="1"/>
    <col min="7805" max="7820" width="12.25" style="47" customWidth="1"/>
    <col min="7821" max="7821" width="13" style="47" customWidth="1"/>
    <col min="7822" max="7826" width="12.375" style="47" customWidth="1"/>
    <col min="7827" max="7827" width="13" style="47" customWidth="1"/>
    <col min="7828" max="7829" width="12.375" style="47" customWidth="1"/>
    <col min="7830" max="7830" width="13" style="47" customWidth="1"/>
    <col min="7831" max="7831" width="13.125" style="47" customWidth="1"/>
    <col min="7832" max="7832" width="13" style="47" customWidth="1"/>
    <col min="7833" max="7833" width="13.125" style="47" customWidth="1"/>
    <col min="7834" max="7835" width="12.375" style="47" customWidth="1"/>
    <col min="7836" max="7836" width="13" style="47" customWidth="1"/>
    <col min="7837" max="7837" width="12.375" style="47" customWidth="1"/>
    <col min="7838" max="7838" width="12.25" style="47" customWidth="1"/>
    <col min="7839" max="7839" width="12.125" style="47" customWidth="1"/>
    <col min="7840" max="7840" width="11.625" style="47" customWidth="1"/>
    <col min="7841" max="7841" width="12" style="47" customWidth="1"/>
    <col min="7842" max="7842" width="13" style="47" customWidth="1"/>
    <col min="7843" max="7843" width="11.625" style="47" customWidth="1"/>
    <col min="7844" max="7845" width="12" style="47" customWidth="1"/>
    <col min="7846" max="7848" width="11.625" style="47" customWidth="1"/>
    <col min="7849" max="7849" width="11.125" style="47" customWidth="1"/>
    <col min="7850" max="7850" width="12" style="47" customWidth="1"/>
    <col min="7851" max="7851" width="13" style="47" customWidth="1"/>
    <col min="7852" max="7852" width="13.625" style="47" customWidth="1"/>
    <col min="7853" max="7853" width="11.875" style="47" customWidth="1"/>
    <col min="7854" max="7855" width="11.625" style="47" customWidth="1"/>
    <col min="7856" max="7856" width="12" style="47" customWidth="1"/>
    <col min="7857" max="7857" width="12.75" style="47" customWidth="1"/>
    <col min="7858" max="7858" width="11.625" style="47" customWidth="1"/>
    <col min="7859" max="7859" width="12.125" style="47" customWidth="1"/>
    <col min="7860" max="7861" width="11.625" style="47" customWidth="1"/>
    <col min="7862" max="7862" width="12.5" style="47" customWidth="1"/>
    <col min="7863" max="8037" width="11.625" style="47" customWidth="1"/>
    <col min="8038" max="8038" width="17.75" style="47" customWidth="1"/>
    <col min="8039" max="8040" width="9" style="47" customWidth="1"/>
    <col min="8041" max="8041" width="16.25" style="47" customWidth="1"/>
    <col min="8042" max="8042" width="24" style="47" customWidth="1"/>
    <col min="8043" max="8043" width="9" style="47"/>
    <col min="8044" max="8044" width="11.75" style="47" customWidth="1"/>
    <col min="8045" max="8045" width="8.875" style="47" customWidth="1"/>
    <col min="8046" max="8046" width="17.375" style="47" customWidth="1"/>
    <col min="8047" max="8047" width="13.25" style="47" customWidth="1"/>
    <col min="8048" max="8048" width="25.75" style="47" customWidth="1"/>
    <col min="8049" max="8049" width="11.125" style="47" customWidth="1"/>
    <col min="8050" max="8050" width="10.75" style="47" customWidth="1"/>
    <col min="8051" max="8051" width="9" style="47" customWidth="1"/>
    <col min="8052" max="8052" width="9.75" style="47" customWidth="1"/>
    <col min="8053" max="8053" width="7.5" style="47" customWidth="1"/>
    <col min="8054" max="8054" width="13.25" style="47" customWidth="1"/>
    <col min="8055" max="8055" width="11.75" style="47" customWidth="1"/>
    <col min="8056" max="8056" width="8.875" style="47" customWidth="1"/>
    <col min="8057" max="8057" width="9.625" style="47" customWidth="1"/>
    <col min="8058" max="8059" width="11.875" style="47" customWidth="1"/>
    <col min="8060" max="8060" width="11.5" style="47" customWidth="1"/>
    <col min="8061" max="8076" width="12.25" style="47" customWidth="1"/>
    <col min="8077" max="8077" width="13" style="47" customWidth="1"/>
    <col min="8078" max="8082" width="12.375" style="47" customWidth="1"/>
    <col min="8083" max="8083" width="13" style="47" customWidth="1"/>
    <col min="8084" max="8085" width="12.375" style="47" customWidth="1"/>
    <col min="8086" max="8086" width="13" style="47" customWidth="1"/>
    <col min="8087" max="8087" width="13.125" style="47" customWidth="1"/>
    <col min="8088" max="8088" width="13" style="47" customWidth="1"/>
    <col min="8089" max="8089" width="13.125" style="47" customWidth="1"/>
    <col min="8090" max="8091" width="12.375" style="47" customWidth="1"/>
    <col min="8092" max="8092" width="13" style="47" customWidth="1"/>
    <col min="8093" max="8093" width="12.375" style="47" customWidth="1"/>
    <col min="8094" max="8094" width="12.25" style="47" customWidth="1"/>
    <col min="8095" max="8095" width="12.125" style="47" customWidth="1"/>
    <col min="8096" max="8096" width="11.625" style="47" customWidth="1"/>
    <col min="8097" max="8097" width="12" style="47" customWidth="1"/>
    <col min="8098" max="8098" width="13" style="47" customWidth="1"/>
    <col min="8099" max="8099" width="11.625" style="47" customWidth="1"/>
    <col min="8100" max="8101" width="12" style="47" customWidth="1"/>
    <col min="8102" max="8104" width="11.625" style="47" customWidth="1"/>
    <col min="8105" max="8105" width="11.125" style="47" customWidth="1"/>
    <col min="8106" max="8106" width="12" style="47" customWidth="1"/>
    <col min="8107" max="8107" width="13" style="47" customWidth="1"/>
    <col min="8108" max="8108" width="13.625" style="47" customWidth="1"/>
    <col min="8109" max="8109" width="11.875" style="47" customWidth="1"/>
    <col min="8110" max="8111" width="11.625" style="47" customWidth="1"/>
    <col min="8112" max="8112" width="12" style="47" customWidth="1"/>
    <col min="8113" max="8113" width="12.75" style="47" customWidth="1"/>
    <col min="8114" max="8114" width="11.625" style="47" customWidth="1"/>
    <col min="8115" max="8115" width="12.125" style="47" customWidth="1"/>
    <col min="8116" max="8117" width="11.625" style="47" customWidth="1"/>
    <col min="8118" max="8118" width="12.5" style="47" customWidth="1"/>
    <col min="8119" max="8293" width="11.625" style="47" customWidth="1"/>
    <col min="8294" max="8294" width="17.75" style="47" customWidth="1"/>
    <col min="8295" max="8296" width="9" style="47" customWidth="1"/>
    <col min="8297" max="8297" width="16.25" style="47" customWidth="1"/>
    <col min="8298" max="8298" width="24" style="47" customWidth="1"/>
    <col min="8299" max="8299" width="9" style="47"/>
    <col min="8300" max="8300" width="11.75" style="47" customWidth="1"/>
    <col min="8301" max="8301" width="8.875" style="47" customWidth="1"/>
    <col min="8302" max="8302" width="17.375" style="47" customWidth="1"/>
    <col min="8303" max="8303" width="13.25" style="47" customWidth="1"/>
    <col min="8304" max="8304" width="25.75" style="47" customWidth="1"/>
    <col min="8305" max="8305" width="11.125" style="47" customWidth="1"/>
    <col min="8306" max="8306" width="10.75" style="47" customWidth="1"/>
    <col min="8307" max="8307" width="9" style="47" customWidth="1"/>
    <col min="8308" max="8308" width="9.75" style="47" customWidth="1"/>
    <col min="8309" max="8309" width="7.5" style="47" customWidth="1"/>
    <col min="8310" max="8310" width="13.25" style="47" customWidth="1"/>
    <col min="8311" max="8311" width="11.75" style="47" customWidth="1"/>
    <col min="8312" max="8312" width="8.875" style="47" customWidth="1"/>
    <col min="8313" max="8313" width="9.625" style="47" customWidth="1"/>
    <col min="8314" max="8315" width="11.875" style="47" customWidth="1"/>
    <col min="8316" max="8316" width="11.5" style="47" customWidth="1"/>
    <col min="8317" max="8332" width="12.25" style="47" customWidth="1"/>
    <col min="8333" max="8333" width="13" style="47" customWidth="1"/>
    <col min="8334" max="8338" width="12.375" style="47" customWidth="1"/>
    <col min="8339" max="8339" width="13" style="47" customWidth="1"/>
    <col min="8340" max="8341" width="12.375" style="47" customWidth="1"/>
    <col min="8342" max="8342" width="13" style="47" customWidth="1"/>
    <col min="8343" max="8343" width="13.125" style="47" customWidth="1"/>
    <col min="8344" max="8344" width="13" style="47" customWidth="1"/>
    <col min="8345" max="8345" width="13.125" style="47" customWidth="1"/>
    <col min="8346" max="8347" width="12.375" style="47" customWidth="1"/>
    <col min="8348" max="8348" width="13" style="47" customWidth="1"/>
    <col min="8349" max="8349" width="12.375" style="47" customWidth="1"/>
    <col min="8350" max="8350" width="12.25" style="47" customWidth="1"/>
    <col min="8351" max="8351" width="12.125" style="47" customWidth="1"/>
    <col min="8352" max="8352" width="11.625" style="47" customWidth="1"/>
    <col min="8353" max="8353" width="12" style="47" customWidth="1"/>
    <col min="8354" max="8354" width="13" style="47" customWidth="1"/>
    <col min="8355" max="8355" width="11.625" style="47" customWidth="1"/>
    <col min="8356" max="8357" width="12" style="47" customWidth="1"/>
    <col min="8358" max="8360" width="11.625" style="47" customWidth="1"/>
    <col min="8361" max="8361" width="11.125" style="47" customWidth="1"/>
    <col min="8362" max="8362" width="12" style="47" customWidth="1"/>
    <col min="8363" max="8363" width="13" style="47" customWidth="1"/>
    <col min="8364" max="8364" width="13.625" style="47" customWidth="1"/>
    <col min="8365" max="8365" width="11.875" style="47" customWidth="1"/>
    <col min="8366" max="8367" width="11.625" style="47" customWidth="1"/>
    <col min="8368" max="8368" width="12" style="47" customWidth="1"/>
    <col min="8369" max="8369" width="12.75" style="47" customWidth="1"/>
    <col min="8370" max="8370" width="11.625" style="47" customWidth="1"/>
    <col min="8371" max="8371" width="12.125" style="47" customWidth="1"/>
    <col min="8372" max="8373" width="11.625" style="47" customWidth="1"/>
    <col min="8374" max="8374" width="12.5" style="47" customWidth="1"/>
    <col min="8375" max="8549" width="11.625" style="47" customWidth="1"/>
    <col min="8550" max="8550" width="17.75" style="47" customWidth="1"/>
    <col min="8551" max="8552" width="9" style="47" customWidth="1"/>
    <col min="8553" max="8553" width="16.25" style="47" customWidth="1"/>
    <col min="8554" max="8554" width="24" style="47" customWidth="1"/>
    <col min="8555" max="8555" width="9" style="47"/>
    <col min="8556" max="8556" width="11.75" style="47" customWidth="1"/>
    <col min="8557" max="8557" width="8.875" style="47" customWidth="1"/>
    <col min="8558" max="8558" width="17.375" style="47" customWidth="1"/>
    <col min="8559" max="8559" width="13.25" style="47" customWidth="1"/>
    <col min="8560" max="8560" width="25.75" style="47" customWidth="1"/>
    <col min="8561" max="8561" width="11.125" style="47" customWidth="1"/>
    <col min="8562" max="8562" width="10.75" style="47" customWidth="1"/>
    <col min="8563" max="8563" width="9" style="47" customWidth="1"/>
    <col min="8564" max="8564" width="9.75" style="47" customWidth="1"/>
    <col min="8565" max="8565" width="7.5" style="47" customWidth="1"/>
    <col min="8566" max="8566" width="13.25" style="47" customWidth="1"/>
    <col min="8567" max="8567" width="11.75" style="47" customWidth="1"/>
    <col min="8568" max="8568" width="8.875" style="47" customWidth="1"/>
    <col min="8569" max="8569" width="9.625" style="47" customWidth="1"/>
    <col min="8570" max="8571" width="11.875" style="47" customWidth="1"/>
    <col min="8572" max="8572" width="11.5" style="47" customWidth="1"/>
    <col min="8573" max="8588" width="12.25" style="47" customWidth="1"/>
    <col min="8589" max="8589" width="13" style="47" customWidth="1"/>
    <col min="8590" max="8594" width="12.375" style="47" customWidth="1"/>
    <col min="8595" max="8595" width="13" style="47" customWidth="1"/>
    <col min="8596" max="8597" width="12.375" style="47" customWidth="1"/>
    <col min="8598" max="8598" width="13" style="47" customWidth="1"/>
    <col min="8599" max="8599" width="13.125" style="47" customWidth="1"/>
    <col min="8600" max="8600" width="13" style="47" customWidth="1"/>
    <col min="8601" max="8601" width="13.125" style="47" customWidth="1"/>
    <col min="8602" max="8603" width="12.375" style="47" customWidth="1"/>
    <col min="8604" max="8604" width="13" style="47" customWidth="1"/>
    <col min="8605" max="8605" width="12.375" style="47" customWidth="1"/>
    <col min="8606" max="8606" width="12.25" style="47" customWidth="1"/>
    <col min="8607" max="8607" width="12.125" style="47" customWidth="1"/>
    <col min="8608" max="8608" width="11.625" style="47" customWidth="1"/>
    <col min="8609" max="8609" width="12" style="47" customWidth="1"/>
    <col min="8610" max="8610" width="13" style="47" customWidth="1"/>
    <col min="8611" max="8611" width="11.625" style="47" customWidth="1"/>
    <col min="8612" max="8613" width="12" style="47" customWidth="1"/>
    <col min="8614" max="8616" width="11.625" style="47" customWidth="1"/>
    <col min="8617" max="8617" width="11.125" style="47" customWidth="1"/>
    <col min="8618" max="8618" width="12" style="47" customWidth="1"/>
    <col min="8619" max="8619" width="13" style="47" customWidth="1"/>
    <col min="8620" max="8620" width="13.625" style="47" customWidth="1"/>
    <col min="8621" max="8621" width="11.875" style="47" customWidth="1"/>
    <col min="8622" max="8623" width="11.625" style="47" customWidth="1"/>
    <col min="8624" max="8624" width="12" style="47" customWidth="1"/>
    <col min="8625" max="8625" width="12.75" style="47" customWidth="1"/>
    <col min="8626" max="8626" width="11.625" style="47" customWidth="1"/>
    <col min="8627" max="8627" width="12.125" style="47" customWidth="1"/>
    <col min="8628" max="8629" width="11.625" style="47" customWidth="1"/>
    <col min="8630" max="8630" width="12.5" style="47" customWidth="1"/>
    <col min="8631" max="8805" width="11.625" style="47" customWidth="1"/>
    <col min="8806" max="8806" width="17.75" style="47" customWidth="1"/>
    <col min="8807" max="8808" width="9" style="47" customWidth="1"/>
    <col min="8809" max="8809" width="16.25" style="47" customWidth="1"/>
    <col min="8810" max="8810" width="24" style="47" customWidth="1"/>
    <col min="8811" max="8811" width="9" style="47"/>
    <col min="8812" max="8812" width="11.75" style="47" customWidth="1"/>
    <col min="8813" max="8813" width="8.875" style="47" customWidth="1"/>
    <col min="8814" max="8814" width="17.375" style="47" customWidth="1"/>
    <col min="8815" max="8815" width="13.25" style="47" customWidth="1"/>
    <col min="8816" max="8816" width="25.75" style="47" customWidth="1"/>
    <col min="8817" max="8817" width="11.125" style="47" customWidth="1"/>
    <col min="8818" max="8818" width="10.75" style="47" customWidth="1"/>
    <col min="8819" max="8819" width="9" style="47" customWidth="1"/>
    <col min="8820" max="8820" width="9.75" style="47" customWidth="1"/>
    <col min="8821" max="8821" width="7.5" style="47" customWidth="1"/>
    <col min="8822" max="8822" width="13.25" style="47" customWidth="1"/>
    <col min="8823" max="8823" width="11.75" style="47" customWidth="1"/>
    <col min="8824" max="8824" width="8.875" style="47" customWidth="1"/>
    <col min="8825" max="8825" width="9.625" style="47" customWidth="1"/>
    <col min="8826" max="8827" width="11.875" style="47" customWidth="1"/>
    <col min="8828" max="8828" width="11.5" style="47" customWidth="1"/>
    <col min="8829" max="8844" width="12.25" style="47" customWidth="1"/>
    <col min="8845" max="8845" width="13" style="47" customWidth="1"/>
    <col min="8846" max="8850" width="12.375" style="47" customWidth="1"/>
    <col min="8851" max="8851" width="13" style="47" customWidth="1"/>
    <col min="8852" max="8853" width="12.375" style="47" customWidth="1"/>
    <col min="8854" max="8854" width="13" style="47" customWidth="1"/>
    <col min="8855" max="8855" width="13.125" style="47" customWidth="1"/>
    <col min="8856" max="8856" width="13" style="47" customWidth="1"/>
    <col min="8857" max="8857" width="13.125" style="47" customWidth="1"/>
    <col min="8858" max="8859" width="12.375" style="47" customWidth="1"/>
    <col min="8860" max="8860" width="13" style="47" customWidth="1"/>
    <col min="8861" max="8861" width="12.375" style="47" customWidth="1"/>
    <col min="8862" max="8862" width="12.25" style="47" customWidth="1"/>
    <col min="8863" max="8863" width="12.125" style="47" customWidth="1"/>
    <col min="8864" max="8864" width="11.625" style="47" customWidth="1"/>
    <col min="8865" max="8865" width="12" style="47" customWidth="1"/>
    <col min="8866" max="8866" width="13" style="47" customWidth="1"/>
    <col min="8867" max="8867" width="11.625" style="47" customWidth="1"/>
    <col min="8868" max="8869" width="12" style="47" customWidth="1"/>
    <col min="8870" max="8872" width="11.625" style="47" customWidth="1"/>
    <col min="8873" max="8873" width="11.125" style="47" customWidth="1"/>
    <col min="8874" max="8874" width="12" style="47" customWidth="1"/>
    <col min="8875" max="8875" width="13" style="47" customWidth="1"/>
    <col min="8876" max="8876" width="13.625" style="47" customWidth="1"/>
    <col min="8877" max="8877" width="11.875" style="47" customWidth="1"/>
    <col min="8878" max="8879" width="11.625" style="47" customWidth="1"/>
    <col min="8880" max="8880" width="12" style="47" customWidth="1"/>
    <col min="8881" max="8881" width="12.75" style="47" customWidth="1"/>
    <col min="8882" max="8882" width="11.625" style="47" customWidth="1"/>
    <col min="8883" max="8883" width="12.125" style="47" customWidth="1"/>
    <col min="8884" max="8885" width="11.625" style="47" customWidth="1"/>
    <col min="8886" max="8886" width="12.5" style="47" customWidth="1"/>
    <col min="8887" max="9061" width="11.625" style="47" customWidth="1"/>
    <col min="9062" max="9062" width="17.75" style="47" customWidth="1"/>
    <col min="9063" max="9064" width="9" style="47" customWidth="1"/>
    <col min="9065" max="9065" width="16.25" style="47" customWidth="1"/>
    <col min="9066" max="9066" width="24" style="47" customWidth="1"/>
    <col min="9067" max="9067" width="9" style="47"/>
    <col min="9068" max="9068" width="11.75" style="47" customWidth="1"/>
    <col min="9069" max="9069" width="8.875" style="47" customWidth="1"/>
    <col min="9070" max="9070" width="17.375" style="47" customWidth="1"/>
    <col min="9071" max="9071" width="13.25" style="47" customWidth="1"/>
    <col min="9072" max="9072" width="25.75" style="47" customWidth="1"/>
    <col min="9073" max="9073" width="11.125" style="47" customWidth="1"/>
    <col min="9074" max="9074" width="10.75" style="47" customWidth="1"/>
    <col min="9075" max="9075" width="9" style="47" customWidth="1"/>
    <col min="9076" max="9076" width="9.75" style="47" customWidth="1"/>
    <col min="9077" max="9077" width="7.5" style="47" customWidth="1"/>
    <col min="9078" max="9078" width="13.25" style="47" customWidth="1"/>
    <col min="9079" max="9079" width="11.75" style="47" customWidth="1"/>
    <col min="9080" max="9080" width="8.875" style="47" customWidth="1"/>
    <col min="9081" max="9081" width="9.625" style="47" customWidth="1"/>
    <col min="9082" max="9083" width="11.875" style="47" customWidth="1"/>
    <col min="9084" max="9084" width="11.5" style="47" customWidth="1"/>
    <col min="9085" max="9100" width="12.25" style="47" customWidth="1"/>
    <col min="9101" max="9101" width="13" style="47" customWidth="1"/>
    <col min="9102" max="9106" width="12.375" style="47" customWidth="1"/>
    <col min="9107" max="9107" width="13" style="47" customWidth="1"/>
    <col min="9108" max="9109" width="12.375" style="47" customWidth="1"/>
    <col min="9110" max="9110" width="13" style="47" customWidth="1"/>
    <col min="9111" max="9111" width="13.125" style="47" customWidth="1"/>
    <col min="9112" max="9112" width="13" style="47" customWidth="1"/>
    <col min="9113" max="9113" width="13.125" style="47" customWidth="1"/>
    <col min="9114" max="9115" width="12.375" style="47" customWidth="1"/>
    <col min="9116" max="9116" width="13" style="47" customWidth="1"/>
    <col min="9117" max="9117" width="12.375" style="47" customWidth="1"/>
    <col min="9118" max="9118" width="12.25" style="47" customWidth="1"/>
    <col min="9119" max="9119" width="12.125" style="47" customWidth="1"/>
    <col min="9120" max="9120" width="11.625" style="47" customWidth="1"/>
    <col min="9121" max="9121" width="12" style="47" customWidth="1"/>
    <col min="9122" max="9122" width="13" style="47" customWidth="1"/>
    <col min="9123" max="9123" width="11.625" style="47" customWidth="1"/>
    <col min="9124" max="9125" width="12" style="47" customWidth="1"/>
    <col min="9126" max="9128" width="11.625" style="47" customWidth="1"/>
    <col min="9129" max="9129" width="11.125" style="47" customWidth="1"/>
    <col min="9130" max="9130" width="12" style="47" customWidth="1"/>
    <col min="9131" max="9131" width="13" style="47" customWidth="1"/>
    <col min="9132" max="9132" width="13.625" style="47" customWidth="1"/>
    <col min="9133" max="9133" width="11.875" style="47" customWidth="1"/>
    <col min="9134" max="9135" width="11.625" style="47" customWidth="1"/>
    <col min="9136" max="9136" width="12" style="47" customWidth="1"/>
    <col min="9137" max="9137" width="12.75" style="47" customWidth="1"/>
    <col min="9138" max="9138" width="11.625" style="47" customWidth="1"/>
    <col min="9139" max="9139" width="12.125" style="47" customWidth="1"/>
    <col min="9140" max="9141" width="11.625" style="47" customWidth="1"/>
    <col min="9142" max="9142" width="12.5" style="47" customWidth="1"/>
    <col min="9143" max="9317" width="11.625" style="47" customWidth="1"/>
    <col min="9318" max="9318" width="17.75" style="47" customWidth="1"/>
    <col min="9319" max="9320" width="9" style="47" customWidth="1"/>
    <col min="9321" max="9321" width="16.25" style="47" customWidth="1"/>
    <col min="9322" max="9322" width="24" style="47" customWidth="1"/>
    <col min="9323" max="9323" width="9" style="47"/>
    <col min="9324" max="9324" width="11.75" style="47" customWidth="1"/>
    <col min="9325" max="9325" width="8.875" style="47" customWidth="1"/>
    <col min="9326" max="9326" width="17.375" style="47" customWidth="1"/>
    <col min="9327" max="9327" width="13.25" style="47" customWidth="1"/>
    <col min="9328" max="9328" width="25.75" style="47" customWidth="1"/>
    <col min="9329" max="9329" width="11.125" style="47" customWidth="1"/>
    <col min="9330" max="9330" width="10.75" style="47" customWidth="1"/>
    <col min="9331" max="9331" width="9" style="47" customWidth="1"/>
    <col min="9332" max="9332" width="9.75" style="47" customWidth="1"/>
    <col min="9333" max="9333" width="7.5" style="47" customWidth="1"/>
    <col min="9334" max="9334" width="13.25" style="47" customWidth="1"/>
    <col min="9335" max="9335" width="11.75" style="47" customWidth="1"/>
    <col min="9336" max="9336" width="8.875" style="47" customWidth="1"/>
    <col min="9337" max="9337" width="9.625" style="47" customWidth="1"/>
    <col min="9338" max="9339" width="11.875" style="47" customWidth="1"/>
    <col min="9340" max="9340" width="11.5" style="47" customWidth="1"/>
    <col min="9341" max="9356" width="12.25" style="47" customWidth="1"/>
    <col min="9357" max="9357" width="13" style="47" customWidth="1"/>
    <col min="9358" max="9362" width="12.375" style="47" customWidth="1"/>
    <col min="9363" max="9363" width="13" style="47" customWidth="1"/>
    <col min="9364" max="9365" width="12.375" style="47" customWidth="1"/>
    <col min="9366" max="9366" width="13" style="47" customWidth="1"/>
    <col min="9367" max="9367" width="13.125" style="47" customWidth="1"/>
    <col min="9368" max="9368" width="13" style="47" customWidth="1"/>
    <col min="9369" max="9369" width="13.125" style="47" customWidth="1"/>
    <col min="9370" max="9371" width="12.375" style="47" customWidth="1"/>
    <col min="9372" max="9372" width="13" style="47" customWidth="1"/>
    <col min="9373" max="9373" width="12.375" style="47" customWidth="1"/>
    <col min="9374" max="9374" width="12.25" style="47" customWidth="1"/>
    <col min="9375" max="9375" width="12.125" style="47" customWidth="1"/>
    <col min="9376" max="9376" width="11.625" style="47" customWidth="1"/>
    <col min="9377" max="9377" width="12" style="47" customWidth="1"/>
    <col min="9378" max="9378" width="13" style="47" customWidth="1"/>
    <col min="9379" max="9379" width="11.625" style="47" customWidth="1"/>
    <col min="9380" max="9381" width="12" style="47" customWidth="1"/>
    <col min="9382" max="9384" width="11.625" style="47" customWidth="1"/>
    <col min="9385" max="9385" width="11.125" style="47" customWidth="1"/>
    <col min="9386" max="9386" width="12" style="47" customWidth="1"/>
    <col min="9387" max="9387" width="13" style="47" customWidth="1"/>
    <col min="9388" max="9388" width="13.625" style="47" customWidth="1"/>
    <col min="9389" max="9389" width="11.875" style="47" customWidth="1"/>
    <col min="9390" max="9391" width="11.625" style="47" customWidth="1"/>
    <col min="9392" max="9392" width="12" style="47" customWidth="1"/>
    <col min="9393" max="9393" width="12.75" style="47" customWidth="1"/>
    <col min="9394" max="9394" width="11.625" style="47" customWidth="1"/>
    <col min="9395" max="9395" width="12.125" style="47" customWidth="1"/>
    <col min="9396" max="9397" width="11.625" style="47" customWidth="1"/>
    <col min="9398" max="9398" width="12.5" style="47" customWidth="1"/>
    <col min="9399" max="9573" width="11.625" style="47" customWidth="1"/>
    <col min="9574" max="9574" width="17.75" style="47" customWidth="1"/>
    <col min="9575" max="9576" width="9" style="47" customWidth="1"/>
    <col min="9577" max="9577" width="16.25" style="47" customWidth="1"/>
    <col min="9578" max="9578" width="24" style="47" customWidth="1"/>
    <col min="9579" max="9579" width="9" style="47"/>
    <col min="9580" max="9580" width="11.75" style="47" customWidth="1"/>
    <col min="9581" max="9581" width="8.875" style="47" customWidth="1"/>
    <col min="9582" max="9582" width="17.375" style="47" customWidth="1"/>
    <col min="9583" max="9583" width="13.25" style="47" customWidth="1"/>
    <col min="9584" max="9584" width="25.75" style="47" customWidth="1"/>
    <col min="9585" max="9585" width="11.125" style="47" customWidth="1"/>
    <col min="9586" max="9586" width="10.75" style="47" customWidth="1"/>
    <col min="9587" max="9587" width="9" style="47" customWidth="1"/>
    <col min="9588" max="9588" width="9.75" style="47" customWidth="1"/>
    <col min="9589" max="9589" width="7.5" style="47" customWidth="1"/>
    <col min="9590" max="9590" width="13.25" style="47" customWidth="1"/>
    <col min="9591" max="9591" width="11.75" style="47" customWidth="1"/>
    <col min="9592" max="9592" width="8.875" style="47" customWidth="1"/>
    <col min="9593" max="9593" width="9.625" style="47" customWidth="1"/>
    <col min="9594" max="9595" width="11.875" style="47" customWidth="1"/>
    <col min="9596" max="9596" width="11.5" style="47" customWidth="1"/>
    <col min="9597" max="9612" width="12.25" style="47" customWidth="1"/>
    <col min="9613" max="9613" width="13" style="47" customWidth="1"/>
    <col min="9614" max="9618" width="12.375" style="47" customWidth="1"/>
    <col min="9619" max="9619" width="13" style="47" customWidth="1"/>
    <col min="9620" max="9621" width="12.375" style="47" customWidth="1"/>
    <col min="9622" max="9622" width="13" style="47" customWidth="1"/>
    <col min="9623" max="9623" width="13.125" style="47" customWidth="1"/>
    <col min="9624" max="9624" width="13" style="47" customWidth="1"/>
    <col min="9625" max="9625" width="13.125" style="47" customWidth="1"/>
    <col min="9626" max="9627" width="12.375" style="47" customWidth="1"/>
    <col min="9628" max="9628" width="13" style="47" customWidth="1"/>
    <col min="9629" max="9629" width="12.375" style="47" customWidth="1"/>
    <col min="9630" max="9630" width="12.25" style="47" customWidth="1"/>
    <col min="9631" max="9631" width="12.125" style="47" customWidth="1"/>
    <col min="9632" max="9632" width="11.625" style="47" customWidth="1"/>
    <col min="9633" max="9633" width="12" style="47" customWidth="1"/>
    <col min="9634" max="9634" width="13" style="47" customWidth="1"/>
    <col min="9635" max="9635" width="11.625" style="47" customWidth="1"/>
    <col min="9636" max="9637" width="12" style="47" customWidth="1"/>
    <col min="9638" max="9640" width="11.625" style="47" customWidth="1"/>
    <col min="9641" max="9641" width="11.125" style="47" customWidth="1"/>
    <col min="9642" max="9642" width="12" style="47" customWidth="1"/>
    <col min="9643" max="9643" width="13" style="47" customWidth="1"/>
    <col min="9644" max="9644" width="13.625" style="47" customWidth="1"/>
    <col min="9645" max="9645" width="11.875" style="47" customWidth="1"/>
    <col min="9646" max="9647" width="11.625" style="47" customWidth="1"/>
    <col min="9648" max="9648" width="12" style="47" customWidth="1"/>
    <col min="9649" max="9649" width="12.75" style="47" customWidth="1"/>
    <col min="9650" max="9650" width="11.625" style="47" customWidth="1"/>
    <col min="9651" max="9651" width="12.125" style="47" customWidth="1"/>
    <col min="9652" max="9653" width="11.625" style="47" customWidth="1"/>
    <col min="9654" max="9654" width="12.5" style="47" customWidth="1"/>
    <col min="9655" max="9829" width="11.625" style="47" customWidth="1"/>
    <col min="9830" max="9830" width="17.75" style="47" customWidth="1"/>
    <col min="9831" max="9832" width="9" style="47" customWidth="1"/>
    <col min="9833" max="9833" width="16.25" style="47" customWidth="1"/>
    <col min="9834" max="9834" width="24" style="47" customWidth="1"/>
    <col min="9835" max="9835" width="9" style="47"/>
    <col min="9836" max="9836" width="11.75" style="47" customWidth="1"/>
    <col min="9837" max="9837" width="8.875" style="47" customWidth="1"/>
    <col min="9838" max="9838" width="17.375" style="47" customWidth="1"/>
    <col min="9839" max="9839" width="13.25" style="47" customWidth="1"/>
    <col min="9840" max="9840" width="25.75" style="47" customWidth="1"/>
    <col min="9841" max="9841" width="11.125" style="47" customWidth="1"/>
    <col min="9842" max="9842" width="10.75" style="47" customWidth="1"/>
    <col min="9843" max="9843" width="9" style="47" customWidth="1"/>
    <col min="9844" max="9844" width="9.75" style="47" customWidth="1"/>
    <col min="9845" max="9845" width="7.5" style="47" customWidth="1"/>
    <col min="9846" max="9846" width="13.25" style="47" customWidth="1"/>
    <col min="9847" max="9847" width="11.75" style="47" customWidth="1"/>
    <col min="9848" max="9848" width="8.875" style="47" customWidth="1"/>
    <col min="9849" max="9849" width="9.625" style="47" customWidth="1"/>
    <col min="9850" max="9851" width="11.875" style="47" customWidth="1"/>
    <col min="9852" max="9852" width="11.5" style="47" customWidth="1"/>
    <col min="9853" max="9868" width="12.25" style="47" customWidth="1"/>
    <col min="9869" max="9869" width="13" style="47" customWidth="1"/>
    <col min="9870" max="9874" width="12.375" style="47" customWidth="1"/>
    <col min="9875" max="9875" width="13" style="47" customWidth="1"/>
    <col min="9876" max="9877" width="12.375" style="47" customWidth="1"/>
    <col min="9878" max="9878" width="13" style="47" customWidth="1"/>
    <col min="9879" max="9879" width="13.125" style="47" customWidth="1"/>
    <col min="9880" max="9880" width="13" style="47" customWidth="1"/>
    <col min="9881" max="9881" width="13.125" style="47" customWidth="1"/>
    <col min="9882" max="9883" width="12.375" style="47" customWidth="1"/>
    <col min="9884" max="9884" width="13" style="47" customWidth="1"/>
    <col min="9885" max="9885" width="12.375" style="47" customWidth="1"/>
    <col min="9886" max="9886" width="12.25" style="47" customWidth="1"/>
    <col min="9887" max="9887" width="12.125" style="47" customWidth="1"/>
    <col min="9888" max="9888" width="11.625" style="47" customWidth="1"/>
    <col min="9889" max="9889" width="12" style="47" customWidth="1"/>
    <col min="9890" max="9890" width="13" style="47" customWidth="1"/>
    <col min="9891" max="9891" width="11.625" style="47" customWidth="1"/>
    <col min="9892" max="9893" width="12" style="47" customWidth="1"/>
    <col min="9894" max="9896" width="11.625" style="47" customWidth="1"/>
    <col min="9897" max="9897" width="11.125" style="47" customWidth="1"/>
    <col min="9898" max="9898" width="12" style="47" customWidth="1"/>
    <col min="9899" max="9899" width="13" style="47" customWidth="1"/>
    <col min="9900" max="9900" width="13.625" style="47" customWidth="1"/>
    <col min="9901" max="9901" width="11.875" style="47" customWidth="1"/>
    <col min="9902" max="9903" width="11.625" style="47" customWidth="1"/>
    <col min="9904" max="9904" width="12" style="47" customWidth="1"/>
    <col min="9905" max="9905" width="12.75" style="47" customWidth="1"/>
    <col min="9906" max="9906" width="11.625" style="47" customWidth="1"/>
    <col min="9907" max="9907" width="12.125" style="47" customWidth="1"/>
    <col min="9908" max="9909" width="11.625" style="47" customWidth="1"/>
    <col min="9910" max="9910" width="12.5" style="47" customWidth="1"/>
    <col min="9911" max="10085" width="11.625" style="47" customWidth="1"/>
    <col min="10086" max="10086" width="17.75" style="47" customWidth="1"/>
    <col min="10087" max="10088" width="9" style="47" customWidth="1"/>
    <col min="10089" max="10089" width="16.25" style="47" customWidth="1"/>
    <col min="10090" max="10090" width="24" style="47" customWidth="1"/>
    <col min="10091" max="10091" width="9" style="47"/>
    <col min="10092" max="10092" width="11.75" style="47" customWidth="1"/>
    <col min="10093" max="10093" width="8.875" style="47" customWidth="1"/>
    <col min="10094" max="10094" width="17.375" style="47" customWidth="1"/>
    <col min="10095" max="10095" width="13.25" style="47" customWidth="1"/>
    <col min="10096" max="10096" width="25.75" style="47" customWidth="1"/>
    <col min="10097" max="10097" width="11.125" style="47" customWidth="1"/>
    <col min="10098" max="10098" width="10.75" style="47" customWidth="1"/>
    <col min="10099" max="10099" width="9" style="47" customWidth="1"/>
    <col min="10100" max="10100" width="9.75" style="47" customWidth="1"/>
    <col min="10101" max="10101" width="7.5" style="47" customWidth="1"/>
    <col min="10102" max="10102" width="13.25" style="47" customWidth="1"/>
    <col min="10103" max="10103" width="11.75" style="47" customWidth="1"/>
    <col min="10104" max="10104" width="8.875" style="47" customWidth="1"/>
    <col min="10105" max="10105" width="9.625" style="47" customWidth="1"/>
    <col min="10106" max="10107" width="11.875" style="47" customWidth="1"/>
    <col min="10108" max="10108" width="11.5" style="47" customWidth="1"/>
    <col min="10109" max="10124" width="12.25" style="47" customWidth="1"/>
    <col min="10125" max="10125" width="13" style="47" customWidth="1"/>
    <col min="10126" max="10130" width="12.375" style="47" customWidth="1"/>
    <col min="10131" max="10131" width="13" style="47" customWidth="1"/>
    <col min="10132" max="10133" width="12.375" style="47" customWidth="1"/>
    <col min="10134" max="10134" width="13" style="47" customWidth="1"/>
    <col min="10135" max="10135" width="13.125" style="47" customWidth="1"/>
    <col min="10136" max="10136" width="13" style="47" customWidth="1"/>
    <col min="10137" max="10137" width="13.125" style="47" customWidth="1"/>
    <col min="10138" max="10139" width="12.375" style="47" customWidth="1"/>
    <col min="10140" max="10140" width="13" style="47" customWidth="1"/>
    <col min="10141" max="10141" width="12.375" style="47" customWidth="1"/>
    <col min="10142" max="10142" width="12.25" style="47" customWidth="1"/>
    <col min="10143" max="10143" width="12.125" style="47" customWidth="1"/>
    <col min="10144" max="10144" width="11.625" style="47" customWidth="1"/>
    <col min="10145" max="10145" width="12" style="47" customWidth="1"/>
    <col min="10146" max="10146" width="13" style="47" customWidth="1"/>
    <col min="10147" max="10147" width="11.625" style="47" customWidth="1"/>
    <col min="10148" max="10149" width="12" style="47" customWidth="1"/>
    <col min="10150" max="10152" width="11.625" style="47" customWidth="1"/>
    <col min="10153" max="10153" width="11.125" style="47" customWidth="1"/>
    <col min="10154" max="10154" width="12" style="47" customWidth="1"/>
    <col min="10155" max="10155" width="13" style="47" customWidth="1"/>
    <col min="10156" max="10156" width="13.625" style="47" customWidth="1"/>
    <col min="10157" max="10157" width="11.875" style="47" customWidth="1"/>
    <col min="10158" max="10159" width="11.625" style="47" customWidth="1"/>
    <col min="10160" max="10160" width="12" style="47" customWidth="1"/>
    <col min="10161" max="10161" width="12.75" style="47" customWidth="1"/>
    <col min="10162" max="10162" width="11.625" style="47" customWidth="1"/>
    <col min="10163" max="10163" width="12.125" style="47" customWidth="1"/>
    <col min="10164" max="10165" width="11.625" style="47" customWidth="1"/>
    <col min="10166" max="10166" width="12.5" style="47" customWidth="1"/>
    <col min="10167" max="10341" width="11.625" style="47" customWidth="1"/>
    <col min="10342" max="10342" width="17.75" style="47" customWidth="1"/>
    <col min="10343" max="10344" width="9" style="47" customWidth="1"/>
    <col min="10345" max="10345" width="16.25" style="47" customWidth="1"/>
    <col min="10346" max="10346" width="24" style="47" customWidth="1"/>
    <col min="10347" max="10347" width="9" style="47"/>
    <col min="10348" max="10348" width="11.75" style="47" customWidth="1"/>
    <col min="10349" max="10349" width="8.875" style="47" customWidth="1"/>
    <col min="10350" max="10350" width="17.375" style="47" customWidth="1"/>
    <col min="10351" max="10351" width="13.25" style="47" customWidth="1"/>
    <col min="10352" max="10352" width="25.75" style="47" customWidth="1"/>
    <col min="10353" max="10353" width="11.125" style="47" customWidth="1"/>
    <col min="10354" max="10354" width="10.75" style="47" customWidth="1"/>
    <col min="10355" max="10355" width="9" style="47" customWidth="1"/>
    <col min="10356" max="10356" width="9.75" style="47" customWidth="1"/>
    <col min="10357" max="10357" width="7.5" style="47" customWidth="1"/>
    <col min="10358" max="10358" width="13.25" style="47" customWidth="1"/>
    <col min="10359" max="10359" width="11.75" style="47" customWidth="1"/>
    <col min="10360" max="10360" width="8.875" style="47" customWidth="1"/>
    <col min="10361" max="10361" width="9.625" style="47" customWidth="1"/>
    <col min="10362" max="10363" width="11.875" style="47" customWidth="1"/>
    <col min="10364" max="10364" width="11.5" style="47" customWidth="1"/>
    <col min="10365" max="10380" width="12.25" style="47" customWidth="1"/>
    <col min="10381" max="10381" width="13" style="47" customWidth="1"/>
    <col min="10382" max="10386" width="12.375" style="47" customWidth="1"/>
    <col min="10387" max="10387" width="13" style="47" customWidth="1"/>
    <col min="10388" max="10389" width="12.375" style="47" customWidth="1"/>
    <col min="10390" max="10390" width="13" style="47" customWidth="1"/>
    <col min="10391" max="10391" width="13.125" style="47" customWidth="1"/>
    <col min="10392" max="10392" width="13" style="47" customWidth="1"/>
    <col min="10393" max="10393" width="13.125" style="47" customWidth="1"/>
    <col min="10394" max="10395" width="12.375" style="47" customWidth="1"/>
    <col min="10396" max="10396" width="13" style="47" customWidth="1"/>
    <col min="10397" max="10397" width="12.375" style="47" customWidth="1"/>
    <col min="10398" max="10398" width="12.25" style="47" customWidth="1"/>
    <col min="10399" max="10399" width="12.125" style="47" customWidth="1"/>
    <col min="10400" max="10400" width="11.625" style="47" customWidth="1"/>
    <col min="10401" max="10401" width="12" style="47" customWidth="1"/>
    <col min="10402" max="10402" width="13" style="47" customWidth="1"/>
    <col min="10403" max="10403" width="11.625" style="47" customWidth="1"/>
    <col min="10404" max="10405" width="12" style="47" customWidth="1"/>
    <col min="10406" max="10408" width="11.625" style="47" customWidth="1"/>
    <col min="10409" max="10409" width="11.125" style="47" customWidth="1"/>
    <col min="10410" max="10410" width="12" style="47" customWidth="1"/>
    <col min="10411" max="10411" width="13" style="47" customWidth="1"/>
    <col min="10412" max="10412" width="13.625" style="47" customWidth="1"/>
    <col min="10413" max="10413" width="11.875" style="47" customWidth="1"/>
    <col min="10414" max="10415" width="11.625" style="47" customWidth="1"/>
    <col min="10416" max="10416" width="12" style="47" customWidth="1"/>
    <col min="10417" max="10417" width="12.75" style="47" customWidth="1"/>
    <col min="10418" max="10418" width="11.625" style="47" customWidth="1"/>
    <col min="10419" max="10419" width="12.125" style="47" customWidth="1"/>
    <col min="10420" max="10421" width="11.625" style="47" customWidth="1"/>
    <col min="10422" max="10422" width="12.5" style="47" customWidth="1"/>
    <col min="10423" max="10597" width="11.625" style="47" customWidth="1"/>
    <col min="10598" max="10598" width="17.75" style="47" customWidth="1"/>
    <col min="10599" max="10600" width="9" style="47" customWidth="1"/>
    <col min="10601" max="10601" width="16.25" style="47" customWidth="1"/>
    <col min="10602" max="10602" width="24" style="47" customWidth="1"/>
    <col min="10603" max="10603" width="9" style="47"/>
    <col min="10604" max="10604" width="11.75" style="47" customWidth="1"/>
    <col min="10605" max="10605" width="8.875" style="47" customWidth="1"/>
    <col min="10606" max="10606" width="17.375" style="47" customWidth="1"/>
    <col min="10607" max="10607" width="13.25" style="47" customWidth="1"/>
    <col min="10608" max="10608" width="25.75" style="47" customWidth="1"/>
    <col min="10609" max="10609" width="11.125" style="47" customWidth="1"/>
    <col min="10610" max="10610" width="10.75" style="47" customWidth="1"/>
    <col min="10611" max="10611" width="9" style="47" customWidth="1"/>
    <col min="10612" max="10612" width="9.75" style="47" customWidth="1"/>
    <col min="10613" max="10613" width="7.5" style="47" customWidth="1"/>
    <col min="10614" max="10614" width="13.25" style="47" customWidth="1"/>
    <col min="10615" max="10615" width="11.75" style="47" customWidth="1"/>
    <col min="10616" max="10616" width="8.875" style="47" customWidth="1"/>
    <col min="10617" max="10617" width="9.625" style="47" customWidth="1"/>
    <col min="10618" max="10619" width="11.875" style="47" customWidth="1"/>
    <col min="10620" max="10620" width="11.5" style="47" customWidth="1"/>
    <col min="10621" max="10636" width="12.25" style="47" customWidth="1"/>
    <col min="10637" max="10637" width="13" style="47" customWidth="1"/>
    <col min="10638" max="10642" width="12.375" style="47" customWidth="1"/>
    <col min="10643" max="10643" width="13" style="47" customWidth="1"/>
    <col min="10644" max="10645" width="12.375" style="47" customWidth="1"/>
    <col min="10646" max="10646" width="13" style="47" customWidth="1"/>
    <col min="10647" max="10647" width="13.125" style="47" customWidth="1"/>
    <col min="10648" max="10648" width="13" style="47" customWidth="1"/>
    <col min="10649" max="10649" width="13.125" style="47" customWidth="1"/>
    <col min="10650" max="10651" width="12.375" style="47" customWidth="1"/>
    <col min="10652" max="10652" width="13" style="47" customWidth="1"/>
    <col min="10653" max="10653" width="12.375" style="47" customWidth="1"/>
    <col min="10654" max="10654" width="12.25" style="47" customWidth="1"/>
    <col min="10655" max="10655" width="12.125" style="47" customWidth="1"/>
    <col min="10656" max="10656" width="11.625" style="47" customWidth="1"/>
    <col min="10657" max="10657" width="12" style="47" customWidth="1"/>
    <col min="10658" max="10658" width="13" style="47" customWidth="1"/>
    <col min="10659" max="10659" width="11.625" style="47" customWidth="1"/>
    <col min="10660" max="10661" width="12" style="47" customWidth="1"/>
    <col min="10662" max="10664" width="11.625" style="47" customWidth="1"/>
    <col min="10665" max="10665" width="11.125" style="47" customWidth="1"/>
    <col min="10666" max="10666" width="12" style="47" customWidth="1"/>
    <col min="10667" max="10667" width="13" style="47" customWidth="1"/>
    <col min="10668" max="10668" width="13.625" style="47" customWidth="1"/>
    <col min="10669" max="10669" width="11.875" style="47" customWidth="1"/>
    <col min="10670" max="10671" width="11.625" style="47" customWidth="1"/>
    <col min="10672" max="10672" width="12" style="47" customWidth="1"/>
    <col min="10673" max="10673" width="12.75" style="47" customWidth="1"/>
    <col min="10674" max="10674" width="11.625" style="47" customWidth="1"/>
    <col min="10675" max="10675" width="12.125" style="47" customWidth="1"/>
    <col min="10676" max="10677" width="11.625" style="47" customWidth="1"/>
    <col min="10678" max="10678" width="12.5" style="47" customWidth="1"/>
    <col min="10679" max="10853" width="11.625" style="47" customWidth="1"/>
    <col min="10854" max="10854" width="17.75" style="47" customWidth="1"/>
    <col min="10855" max="10856" width="9" style="47" customWidth="1"/>
    <col min="10857" max="10857" width="16.25" style="47" customWidth="1"/>
    <col min="10858" max="10858" width="24" style="47" customWidth="1"/>
    <col min="10859" max="10859" width="9" style="47"/>
    <col min="10860" max="10860" width="11.75" style="47" customWidth="1"/>
    <col min="10861" max="10861" width="8.875" style="47" customWidth="1"/>
    <col min="10862" max="10862" width="17.375" style="47" customWidth="1"/>
    <col min="10863" max="10863" width="13.25" style="47" customWidth="1"/>
    <col min="10864" max="10864" width="25.75" style="47" customWidth="1"/>
    <col min="10865" max="10865" width="11.125" style="47" customWidth="1"/>
    <col min="10866" max="10866" width="10.75" style="47" customWidth="1"/>
    <col min="10867" max="10867" width="9" style="47" customWidth="1"/>
    <col min="10868" max="10868" width="9.75" style="47" customWidth="1"/>
    <col min="10869" max="10869" width="7.5" style="47" customWidth="1"/>
    <col min="10870" max="10870" width="13.25" style="47" customWidth="1"/>
    <col min="10871" max="10871" width="11.75" style="47" customWidth="1"/>
    <col min="10872" max="10872" width="8.875" style="47" customWidth="1"/>
    <col min="10873" max="10873" width="9.625" style="47" customWidth="1"/>
    <col min="10874" max="10875" width="11.875" style="47" customWidth="1"/>
    <col min="10876" max="10876" width="11.5" style="47" customWidth="1"/>
    <col min="10877" max="10892" width="12.25" style="47" customWidth="1"/>
    <col min="10893" max="10893" width="13" style="47" customWidth="1"/>
    <col min="10894" max="10898" width="12.375" style="47" customWidth="1"/>
    <col min="10899" max="10899" width="13" style="47" customWidth="1"/>
    <col min="10900" max="10901" width="12.375" style="47" customWidth="1"/>
    <col min="10902" max="10902" width="13" style="47" customWidth="1"/>
    <col min="10903" max="10903" width="13.125" style="47" customWidth="1"/>
    <col min="10904" max="10904" width="13" style="47" customWidth="1"/>
    <col min="10905" max="10905" width="13.125" style="47" customWidth="1"/>
    <col min="10906" max="10907" width="12.375" style="47" customWidth="1"/>
    <col min="10908" max="10908" width="13" style="47" customWidth="1"/>
    <col min="10909" max="10909" width="12.375" style="47" customWidth="1"/>
    <col min="10910" max="10910" width="12.25" style="47" customWidth="1"/>
    <col min="10911" max="10911" width="12.125" style="47" customWidth="1"/>
    <col min="10912" max="10912" width="11.625" style="47" customWidth="1"/>
    <col min="10913" max="10913" width="12" style="47" customWidth="1"/>
    <col min="10914" max="10914" width="13" style="47" customWidth="1"/>
    <col min="10915" max="10915" width="11.625" style="47" customWidth="1"/>
    <col min="10916" max="10917" width="12" style="47" customWidth="1"/>
    <col min="10918" max="10920" width="11.625" style="47" customWidth="1"/>
    <col min="10921" max="10921" width="11.125" style="47" customWidth="1"/>
    <col min="10922" max="10922" width="12" style="47" customWidth="1"/>
    <col min="10923" max="10923" width="13" style="47" customWidth="1"/>
    <col min="10924" max="10924" width="13.625" style="47" customWidth="1"/>
    <col min="10925" max="10925" width="11.875" style="47" customWidth="1"/>
    <col min="10926" max="10927" width="11.625" style="47" customWidth="1"/>
    <col min="10928" max="10928" width="12" style="47" customWidth="1"/>
    <col min="10929" max="10929" width="12.75" style="47" customWidth="1"/>
    <col min="10930" max="10930" width="11.625" style="47" customWidth="1"/>
    <col min="10931" max="10931" width="12.125" style="47" customWidth="1"/>
    <col min="10932" max="10933" width="11.625" style="47" customWidth="1"/>
    <col min="10934" max="10934" width="12.5" style="47" customWidth="1"/>
    <col min="10935" max="11109" width="11.625" style="47" customWidth="1"/>
    <col min="11110" max="11110" width="17.75" style="47" customWidth="1"/>
    <col min="11111" max="11112" width="9" style="47" customWidth="1"/>
    <col min="11113" max="11113" width="16.25" style="47" customWidth="1"/>
    <col min="11114" max="11114" width="24" style="47" customWidth="1"/>
    <col min="11115" max="11115" width="9" style="47"/>
    <col min="11116" max="11116" width="11.75" style="47" customWidth="1"/>
    <col min="11117" max="11117" width="8.875" style="47" customWidth="1"/>
    <col min="11118" max="11118" width="17.375" style="47" customWidth="1"/>
    <col min="11119" max="11119" width="13.25" style="47" customWidth="1"/>
    <col min="11120" max="11120" width="25.75" style="47" customWidth="1"/>
    <col min="11121" max="11121" width="11.125" style="47" customWidth="1"/>
    <col min="11122" max="11122" width="10.75" style="47" customWidth="1"/>
    <col min="11123" max="11123" width="9" style="47" customWidth="1"/>
    <col min="11124" max="11124" width="9.75" style="47" customWidth="1"/>
    <col min="11125" max="11125" width="7.5" style="47" customWidth="1"/>
    <col min="11126" max="11126" width="13.25" style="47" customWidth="1"/>
    <col min="11127" max="11127" width="11.75" style="47" customWidth="1"/>
    <col min="11128" max="11128" width="8.875" style="47" customWidth="1"/>
    <col min="11129" max="11129" width="9.625" style="47" customWidth="1"/>
    <col min="11130" max="11131" width="11.875" style="47" customWidth="1"/>
    <col min="11132" max="11132" width="11.5" style="47" customWidth="1"/>
    <col min="11133" max="11148" width="12.25" style="47" customWidth="1"/>
    <col min="11149" max="11149" width="13" style="47" customWidth="1"/>
    <col min="11150" max="11154" width="12.375" style="47" customWidth="1"/>
    <col min="11155" max="11155" width="13" style="47" customWidth="1"/>
    <col min="11156" max="11157" width="12.375" style="47" customWidth="1"/>
    <col min="11158" max="11158" width="13" style="47" customWidth="1"/>
    <col min="11159" max="11159" width="13.125" style="47" customWidth="1"/>
    <col min="11160" max="11160" width="13" style="47" customWidth="1"/>
    <col min="11161" max="11161" width="13.125" style="47" customWidth="1"/>
    <col min="11162" max="11163" width="12.375" style="47" customWidth="1"/>
    <col min="11164" max="11164" width="13" style="47" customWidth="1"/>
    <col min="11165" max="11165" width="12.375" style="47" customWidth="1"/>
    <col min="11166" max="11166" width="12.25" style="47" customWidth="1"/>
    <col min="11167" max="11167" width="12.125" style="47" customWidth="1"/>
    <col min="11168" max="11168" width="11.625" style="47" customWidth="1"/>
    <col min="11169" max="11169" width="12" style="47" customWidth="1"/>
    <col min="11170" max="11170" width="13" style="47" customWidth="1"/>
    <col min="11171" max="11171" width="11.625" style="47" customWidth="1"/>
    <col min="11172" max="11173" width="12" style="47" customWidth="1"/>
    <col min="11174" max="11176" width="11.625" style="47" customWidth="1"/>
    <col min="11177" max="11177" width="11.125" style="47" customWidth="1"/>
    <col min="11178" max="11178" width="12" style="47" customWidth="1"/>
    <col min="11179" max="11179" width="13" style="47" customWidth="1"/>
    <col min="11180" max="11180" width="13.625" style="47" customWidth="1"/>
    <col min="11181" max="11181" width="11.875" style="47" customWidth="1"/>
    <col min="11182" max="11183" width="11.625" style="47" customWidth="1"/>
    <col min="11184" max="11184" width="12" style="47" customWidth="1"/>
    <col min="11185" max="11185" width="12.75" style="47" customWidth="1"/>
    <col min="11186" max="11186" width="11.625" style="47" customWidth="1"/>
    <col min="11187" max="11187" width="12.125" style="47" customWidth="1"/>
    <col min="11188" max="11189" width="11.625" style="47" customWidth="1"/>
    <col min="11190" max="11190" width="12.5" style="47" customWidth="1"/>
    <col min="11191" max="11365" width="11.625" style="47" customWidth="1"/>
    <col min="11366" max="11366" width="17.75" style="47" customWidth="1"/>
    <col min="11367" max="11368" width="9" style="47" customWidth="1"/>
    <col min="11369" max="11369" width="16.25" style="47" customWidth="1"/>
    <col min="11370" max="11370" width="24" style="47" customWidth="1"/>
    <col min="11371" max="11371" width="9" style="47"/>
    <col min="11372" max="11372" width="11.75" style="47" customWidth="1"/>
    <col min="11373" max="11373" width="8.875" style="47" customWidth="1"/>
    <col min="11374" max="11374" width="17.375" style="47" customWidth="1"/>
    <col min="11375" max="11375" width="13.25" style="47" customWidth="1"/>
    <col min="11376" max="11376" width="25.75" style="47" customWidth="1"/>
    <col min="11377" max="11377" width="11.125" style="47" customWidth="1"/>
    <col min="11378" max="11378" width="10.75" style="47" customWidth="1"/>
    <col min="11379" max="11379" width="9" style="47" customWidth="1"/>
    <col min="11380" max="11380" width="9.75" style="47" customWidth="1"/>
    <col min="11381" max="11381" width="7.5" style="47" customWidth="1"/>
    <col min="11382" max="11382" width="13.25" style="47" customWidth="1"/>
    <col min="11383" max="11383" width="11.75" style="47" customWidth="1"/>
    <col min="11384" max="11384" width="8.875" style="47" customWidth="1"/>
    <col min="11385" max="11385" width="9.625" style="47" customWidth="1"/>
    <col min="11386" max="11387" width="11.875" style="47" customWidth="1"/>
    <col min="11388" max="11388" width="11.5" style="47" customWidth="1"/>
    <col min="11389" max="11404" width="12.25" style="47" customWidth="1"/>
    <col min="11405" max="11405" width="13" style="47" customWidth="1"/>
    <col min="11406" max="11410" width="12.375" style="47" customWidth="1"/>
    <col min="11411" max="11411" width="13" style="47" customWidth="1"/>
    <col min="11412" max="11413" width="12.375" style="47" customWidth="1"/>
    <col min="11414" max="11414" width="13" style="47" customWidth="1"/>
    <col min="11415" max="11415" width="13.125" style="47" customWidth="1"/>
    <col min="11416" max="11416" width="13" style="47" customWidth="1"/>
    <col min="11417" max="11417" width="13.125" style="47" customWidth="1"/>
    <col min="11418" max="11419" width="12.375" style="47" customWidth="1"/>
    <col min="11420" max="11420" width="13" style="47" customWidth="1"/>
    <col min="11421" max="11421" width="12.375" style="47" customWidth="1"/>
    <col min="11422" max="11422" width="12.25" style="47" customWidth="1"/>
    <col min="11423" max="11423" width="12.125" style="47" customWidth="1"/>
    <col min="11424" max="11424" width="11.625" style="47" customWidth="1"/>
    <col min="11425" max="11425" width="12" style="47" customWidth="1"/>
    <col min="11426" max="11426" width="13" style="47" customWidth="1"/>
    <col min="11427" max="11427" width="11.625" style="47" customWidth="1"/>
    <col min="11428" max="11429" width="12" style="47" customWidth="1"/>
    <col min="11430" max="11432" width="11.625" style="47" customWidth="1"/>
    <col min="11433" max="11433" width="11.125" style="47" customWidth="1"/>
    <col min="11434" max="11434" width="12" style="47" customWidth="1"/>
    <col min="11435" max="11435" width="13" style="47" customWidth="1"/>
    <col min="11436" max="11436" width="13.625" style="47" customWidth="1"/>
    <col min="11437" max="11437" width="11.875" style="47" customWidth="1"/>
    <col min="11438" max="11439" width="11.625" style="47" customWidth="1"/>
    <col min="11440" max="11440" width="12" style="47" customWidth="1"/>
    <col min="11441" max="11441" width="12.75" style="47" customWidth="1"/>
    <col min="11442" max="11442" width="11.625" style="47" customWidth="1"/>
    <col min="11443" max="11443" width="12.125" style="47" customWidth="1"/>
    <col min="11444" max="11445" width="11.625" style="47" customWidth="1"/>
    <col min="11446" max="11446" width="12.5" style="47" customWidth="1"/>
    <col min="11447" max="11621" width="11.625" style="47" customWidth="1"/>
    <col min="11622" max="11622" width="17.75" style="47" customWidth="1"/>
    <col min="11623" max="11624" width="9" style="47" customWidth="1"/>
    <col min="11625" max="11625" width="16.25" style="47" customWidth="1"/>
    <col min="11626" max="11626" width="24" style="47" customWidth="1"/>
    <col min="11627" max="11627" width="9" style="47"/>
    <col min="11628" max="11628" width="11.75" style="47" customWidth="1"/>
    <col min="11629" max="11629" width="8.875" style="47" customWidth="1"/>
    <col min="11630" max="11630" width="17.375" style="47" customWidth="1"/>
    <col min="11631" max="11631" width="13.25" style="47" customWidth="1"/>
    <col min="11632" max="11632" width="25.75" style="47" customWidth="1"/>
    <col min="11633" max="11633" width="11.125" style="47" customWidth="1"/>
    <col min="11634" max="11634" width="10.75" style="47" customWidth="1"/>
    <col min="11635" max="11635" width="9" style="47" customWidth="1"/>
    <col min="11636" max="11636" width="9.75" style="47" customWidth="1"/>
    <col min="11637" max="11637" width="7.5" style="47" customWidth="1"/>
    <col min="11638" max="11638" width="13.25" style="47" customWidth="1"/>
    <col min="11639" max="11639" width="11.75" style="47" customWidth="1"/>
    <col min="11640" max="11640" width="8.875" style="47" customWidth="1"/>
    <col min="11641" max="11641" width="9.625" style="47" customWidth="1"/>
    <col min="11642" max="11643" width="11.875" style="47" customWidth="1"/>
    <col min="11644" max="11644" width="11.5" style="47" customWidth="1"/>
    <col min="11645" max="11660" width="12.25" style="47" customWidth="1"/>
    <col min="11661" max="11661" width="13" style="47" customWidth="1"/>
    <col min="11662" max="11666" width="12.375" style="47" customWidth="1"/>
    <col min="11667" max="11667" width="13" style="47" customWidth="1"/>
    <col min="11668" max="11669" width="12.375" style="47" customWidth="1"/>
    <col min="11670" max="11670" width="13" style="47" customWidth="1"/>
    <col min="11671" max="11671" width="13.125" style="47" customWidth="1"/>
    <col min="11672" max="11672" width="13" style="47" customWidth="1"/>
    <col min="11673" max="11673" width="13.125" style="47" customWidth="1"/>
    <col min="11674" max="11675" width="12.375" style="47" customWidth="1"/>
    <col min="11676" max="11676" width="13" style="47" customWidth="1"/>
    <col min="11677" max="11677" width="12.375" style="47" customWidth="1"/>
    <col min="11678" max="11678" width="12.25" style="47" customWidth="1"/>
    <col min="11679" max="11679" width="12.125" style="47" customWidth="1"/>
    <col min="11680" max="11680" width="11.625" style="47" customWidth="1"/>
    <col min="11681" max="11681" width="12" style="47" customWidth="1"/>
    <col min="11682" max="11682" width="13" style="47" customWidth="1"/>
    <col min="11683" max="11683" width="11.625" style="47" customWidth="1"/>
    <col min="11684" max="11685" width="12" style="47" customWidth="1"/>
    <col min="11686" max="11688" width="11.625" style="47" customWidth="1"/>
    <col min="11689" max="11689" width="11.125" style="47" customWidth="1"/>
    <col min="11690" max="11690" width="12" style="47" customWidth="1"/>
    <col min="11691" max="11691" width="13" style="47" customWidth="1"/>
    <col min="11692" max="11692" width="13.625" style="47" customWidth="1"/>
    <col min="11693" max="11693" width="11.875" style="47" customWidth="1"/>
    <col min="11694" max="11695" width="11.625" style="47" customWidth="1"/>
    <col min="11696" max="11696" width="12" style="47" customWidth="1"/>
    <col min="11697" max="11697" width="12.75" style="47" customWidth="1"/>
    <col min="11698" max="11698" width="11.625" style="47" customWidth="1"/>
    <col min="11699" max="11699" width="12.125" style="47" customWidth="1"/>
    <col min="11700" max="11701" width="11.625" style="47" customWidth="1"/>
    <col min="11702" max="11702" width="12.5" style="47" customWidth="1"/>
    <col min="11703" max="11877" width="11.625" style="47" customWidth="1"/>
    <col min="11878" max="11878" width="17.75" style="47" customWidth="1"/>
    <col min="11879" max="11880" width="9" style="47" customWidth="1"/>
    <col min="11881" max="11881" width="16.25" style="47" customWidth="1"/>
    <col min="11882" max="11882" width="24" style="47" customWidth="1"/>
    <col min="11883" max="11883" width="9" style="47"/>
    <col min="11884" max="11884" width="11.75" style="47" customWidth="1"/>
    <col min="11885" max="11885" width="8.875" style="47" customWidth="1"/>
    <col min="11886" max="11886" width="17.375" style="47" customWidth="1"/>
    <col min="11887" max="11887" width="13.25" style="47" customWidth="1"/>
    <col min="11888" max="11888" width="25.75" style="47" customWidth="1"/>
    <col min="11889" max="11889" width="11.125" style="47" customWidth="1"/>
    <col min="11890" max="11890" width="10.75" style="47" customWidth="1"/>
    <col min="11891" max="11891" width="9" style="47" customWidth="1"/>
    <col min="11892" max="11892" width="9.75" style="47" customWidth="1"/>
    <col min="11893" max="11893" width="7.5" style="47" customWidth="1"/>
    <col min="11894" max="11894" width="13.25" style="47" customWidth="1"/>
    <col min="11895" max="11895" width="11.75" style="47" customWidth="1"/>
    <col min="11896" max="11896" width="8.875" style="47" customWidth="1"/>
    <col min="11897" max="11897" width="9.625" style="47" customWidth="1"/>
    <col min="11898" max="11899" width="11.875" style="47" customWidth="1"/>
    <col min="11900" max="11900" width="11.5" style="47" customWidth="1"/>
    <col min="11901" max="11916" width="12.25" style="47" customWidth="1"/>
    <col min="11917" max="11917" width="13" style="47" customWidth="1"/>
    <col min="11918" max="11922" width="12.375" style="47" customWidth="1"/>
    <col min="11923" max="11923" width="13" style="47" customWidth="1"/>
    <col min="11924" max="11925" width="12.375" style="47" customWidth="1"/>
    <col min="11926" max="11926" width="13" style="47" customWidth="1"/>
    <col min="11927" max="11927" width="13.125" style="47" customWidth="1"/>
    <col min="11928" max="11928" width="13" style="47" customWidth="1"/>
    <col min="11929" max="11929" width="13.125" style="47" customWidth="1"/>
    <col min="11930" max="11931" width="12.375" style="47" customWidth="1"/>
    <col min="11932" max="11932" width="13" style="47" customWidth="1"/>
    <col min="11933" max="11933" width="12.375" style="47" customWidth="1"/>
    <col min="11934" max="11934" width="12.25" style="47" customWidth="1"/>
    <col min="11935" max="11935" width="12.125" style="47" customWidth="1"/>
    <col min="11936" max="11936" width="11.625" style="47" customWidth="1"/>
    <col min="11937" max="11937" width="12" style="47" customWidth="1"/>
    <col min="11938" max="11938" width="13" style="47" customWidth="1"/>
    <col min="11939" max="11939" width="11.625" style="47" customWidth="1"/>
    <col min="11940" max="11941" width="12" style="47" customWidth="1"/>
    <col min="11942" max="11944" width="11.625" style="47" customWidth="1"/>
    <col min="11945" max="11945" width="11.125" style="47" customWidth="1"/>
    <col min="11946" max="11946" width="12" style="47" customWidth="1"/>
    <col min="11947" max="11947" width="13" style="47" customWidth="1"/>
    <col min="11948" max="11948" width="13.625" style="47" customWidth="1"/>
    <col min="11949" max="11949" width="11.875" style="47" customWidth="1"/>
    <col min="11950" max="11951" width="11.625" style="47" customWidth="1"/>
    <col min="11952" max="11952" width="12" style="47" customWidth="1"/>
    <col min="11953" max="11953" width="12.75" style="47" customWidth="1"/>
    <col min="11954" max="11954" width="11.625" style="47" customWidth="1"/>
    <col min="11955" max="11955" width="12.125" style="47" customWidth="1"/>
    <col min="11956" max="11957" width="11.625" style="47" customWidth="1"/>
    <col min="11958" max="11958" width="12.5" style="47" customWidth="1"/>
    <col min="11959" max="12133" width="11.625" style="47" customWidth="1"/>
    <col min="12134" max="12134" width="17.75" style="47" customWidth="1"/>
    <col min="12135" max="12136" width="9" style="47" customWidth="1"/>
    <col min="12137" max="12137" width="16.25" style="47" customWidth="1"/>
    <col min="12138" max="12138" width="24" style="47" customWidth="1"/>
    <col min="12139" max="12139" width="9" style="47"/>
    <col min="12140" max="12140" width="11.75" style="47" customWidth="1"/>
    <col min="12141" max="12141" width="8.875" style="47" customWidth="1"/>
    <col min="12142" max="12142" width="17.375" style="47" customWidth="1"/>
    <col min="12143" max="12143" width="13.25" style="47" customWidth="1"/>
    <col min="12144" max="12144" width="25.75" style="47" customWidth="1"/>
    <col min="12145" max="12145" width="11.125" style="47" customWidth="1"/>
    <col min="12146" max="12146" width="10.75" style="47" customWidth="1"/>
    <col min="12147" max="12147" width="9" style="47" customWidth="1"/>
    <col min="12148" max="12148" width="9.75" style="47" customWidth="1"/>
    <col min="12149" max="12149" width="7.5" style="47" customWidth="1"/>
    <col min="12150" max="12150" width="13.25" style="47" customWidth="1"/>
    <col min="12151" max="12151" width="11.75" style="47" customWidth="1"/>
    <col min="12152" max="12152" width="8.875" style="47" customWidth="1"/>
    <col min="12153" max="12153" width="9.625" style="47" customWidth="1"/>
    <col min="12154" max="12155" width="11.875" style="47" customWidth="1"/>
    <col min="12156" max="12156" width="11.5" style="47" customWidth="1"/>
    <col min="12157" max="12172" width="12.25" style="47" customWidth="1"/>
    <col min="12173" max="12173" width="13" style="47" customWidth="1"/>
    <col min="12174" max="12178" width="12.375" style="47" customWidth="1"/>
    <col min="12179" max="12179" width="13" style="47" customWidth="1"/>
    <col min="12180" max="12181" width="12.375" style="47" customWidth="1"/>
    <col min="12182" max="12182" width="13" style="47" customWidth="1"/>
    <col min="12183" max="12183" width="13.125" style="47" customWidth="1"/>
    <col min="12184" max="12184" width="13" style="47" customWidth="1"/>
    <col min="12185" max="12185" width="13.125" style="47" customWidth="1"/>
    <col min="12186" max="12187" width="12.375" style="47" customWidth="1"/>
    <col min="12188" max="12188" width="13" style="47" customWidth="1"/>
    <col min="12189" max="12189" width="12.375" style="47" customWidth="1"/>
    <col min="12190" max="12190" width="12.25" style="47" customWidth="1"/>
    <col min="12191" max="12191" width="12.125" style="47" customWidth="1"/>
    <col min="12192" max="12192" width="11.625" style="47" customWidth="1"/>
    <col min="12193" max="12193" width="12" style="47" customWidth="1"/>
    <col min="12194" max="12194" width="13" style="47" customWidth="1"/>
    <col min="12195" max="12195" width="11.625" style="47" customWidth="1"/>
    <col min="12196" max="12197" width="12" style="47" customWidth="1"/>
    <col min="12198" max="12200" width="11.625" style="47" customWidth="1"/>
    <col min="12201" max="12201" width="11.125" style="47" customWidth="1"/>
    <col min="12202" max="12202" width="12" style="47" customWidth="1"/>
    <col min="12203" max="12203" width="13" style="47" customWidth="1"/>
    <col min="12204" max="12204" width="13.625" style="47" customWidth="1"/>
    <col min="12205" max="12205" width="11.875" style="47" customWidth="1"/>
    <col min="12206" max="12207" width="11.625" style="47" customWidth="1"/>
    <col min="12208" max="12208" width="12" style="47" customWidth="1"/>
    <col min="12209" max="12209" width="12.75" style="47" customWidth="1"/>
    <col min="12210" max="12210" width="11.625" style="47" customWidth="1"/>
    <col min="12211" max="12211" width="12.125" style="47" customWidth="1"/>
    <col min="12212" max="12213" width="11.625" style="47" customWidth="1"/>
    <col min="12214" max="12214" width="12.5" style="47" customWidth="1"/>
    <col min="12215" max="12389" width="11.625" style="47" customWidth="1"/>
    <col min="12390" max="12390" width="17.75" style="47" customWidth="1"/>
    <col min="12391" max="12392" width="9" style="47" customWidth="1"/>
    <col min="12393" max="12393" width="16.25" style="47" customWidth="1"/>
    <col min="12394" max="12394" width="24" style="47" customWidth="1"/>
    <col min="12395" max="12395" width="9" style="47"/>
    <col min="12396" max="12396" width="11.75" style="47" customWidth="1"/>
    <col min="12397" max="12397" width="8.875" style="47" customWidth="1"/>
    <col min="12398" max="12398" width="17.375" style="47" customWidth="1"/>
    <col min="12399" max="12399" width="13.25" style="47" customWidth="1"/>
    <col min="12400" max="12400" width="25.75" style="47" customWidth="1"/>
    <col min="12401" max="12401" width="11.125" style="47" customWidth="1"/>
    <col min="12402" max="12402" width="10.75" style="47" customWidth="1"/>
    <col min="12403" max="12403" width="9" style="47" customWidth="1"/>
    <col min="12404" max="12404" width="9.75" style="47" customWidth="1"/>
    <col min="12405" max="12405" width="7.5" style="47" customWidth="1"/>
    <col min="12406" max="12406" width="13.25" style="47" customWidth="1"/>
    <col min="12407" max="12407" width="11.75" style="47" customWidth="1"/>
    <col min="12408" max="12408" width="8.875" style="47" customWidth="1"/>
    <col min="12409" max="12409" width="9.625" style="47" customWidth="1"/>
    <col min="12410" max="12411" width="11.875" style="47" customWidth="1"/>
    <col min="12412" max="12412" width="11.5" style="47" customWidth="1"/>
    <col min="12413" max="12428" width="12.25" style="47" customWidth="1"/>
    <col min="12429" max="12429" width="13" style="47" customWidth="1"/>
    <col min="12430" max="12434" width="12.375" style="47" customWidth="1"/>
    <col min="12435" max="12435" width="13" style="47" customWidth="1"/>
    <col min="12436" max="12437" width="12.375" style="47" customWidth="1"/>
    <col min="12438" max="12438" width="13" style="47" customWidth="1"/>
    <col min="12439" max="12439" width="13.125" style="47" customWidth="1"/>
    <col min="12440" max="12440" width="13" style="47" customWidth="1"/>
    <col min="12441" max="12441" width="13.125" style="47" customWidth="1"/>
    <col min="12442" max="12443" width="12.375" style="47" customWidth="1"/>
    <col min="12444" max="12444" width="13" style="47" customWidth="1"/>
    <col min="12445" max="12445" width="12.375" style="47" customWidth="1"/>
    <col min="12446" max="12446" width="12.25" style="47" customWidth="1"/>
    <col min="12447" max="12447" width="12.125" style="47" customWidth="1"/>
    <col min="12448" max="12448" width="11.625" style="47" customWidth="1"/>
    <col min="12449" max="12449" width="12" style="47" customWidth="1"/>
    <col min="12450" max="12450" width="13" style="47" customWidth="1"/>
    <col min="12451" max="12451" width="11.625" style="47" customWidth="1"/>
    <col min="12452" max="12453" width="12" style="47" customWidth="1"/>
    <col min="12454" max="12456" width="11.625" style="47" customWidth="1"/>
    <col min="12457" max="12457" width="11.125" style="47" customWidth="1"/>
    <col min="12458" max="12458" width="12" style="47" customWidth="1"/>
    <col min="12459" max="12459" width="13" style="47" customWidth="1"/>
    <col min="12460" max="12460" width="13.625" style="47" customWidth="1"/>
    <col min="12461" max="12461" width="11.875" style="47" customWidth="1"/>
    <col min="12462" max="12463" width="11.625" style="47" customWidth="1"/>
    <col min="12464" max="12464" width="12" style="47" customWidth="1"/>
    <col min="12465" max="12465" width="12.75" style="47" customWidth="1"/>
    <col min="12466" max="12466" width="11.625" style="47" customWidth="1"/>
    <col min="12467" max="12467" width="12.125" style="47" customWidth="1"/>
    <col min="12468" max="12469" width="11.625" style="47" customWidth="1"/>
    <col min="12470" max="12470" width="12.5" style="47" customWidth="1"/>
    <col min="12471" max="12645" width="11.625" style="47" customWidth="1"/>
    <col min="12646" max="12646" width="17.75" style="47" customWidth="1"/>
    <col min="12647" max="12648" width="9" style="47" customWidth="1"/>
    <col min="12649" max="12649" width="16.25" style="47" customWidth="1"/>
    <col min="12650" max="12650" width="24" style="47" customWidth="1"/>
    <col min="12651" max="12651" width="9" style="47"/>
    <col min="12652" max="12652" width="11.75" style="47" customWidth="1"/>
    <col min="12653" max="12653" width="8.875" style="47" customWidth="1"/>
    <col min="12654" max="12654" width="17.375" style="47" customWidth="1"/>
    <col min="12655" max="12655" width="13.25" style="47" customWidth="1"/>
    <col min="12656" max="12656" width="25.75" style="47" customWidth="1"/>
    <col min="12657" max="12657" width="11.125" style="47" customWidth="1"/>
    <col min="12658" max="12658" width="10.75" style="47" customWidth="1"/>
    <col min="12659" max="12659" width="9" style="47" customWidth="1"/>
    <col min="12660" max="12660" width="9.75" style="47" customWidth="1"/>
    <col min="12661" max="12661" width="7.5" style="47" customWidth="1"/>
    <col min="12662" max="12662" width="13.25" style="47" customWidth="1"/>
    <col min="12663" max="12663" width="11.75" style="47" customWidth="1"/>
    <col min="12664" max="12664" width="8.875" style="47" customWidth="1"/>
    <col min="12665" max="12665" width="9.625" style="47" customWidth="1"/>
    <col min="12666" max="12667" width="11.875" style="47" customWidth="1"/>
    <col min="12668" max="12668" width="11.5" style="47" customWidth="1"/>
    <col min="12669" max="12684" width="12.25" style="47" customWidth="1"/>
    <col min="12685" max="12685" width="13" style="47" customWidth="1"/>
    <col min="12686" max="12690" width="12.375" style="47" customWidth="1"/>
    <col min="12691" max="12691" width="13" style="47" customWidth="1"/>
    <col min="12692" max="12693" width="12.375" style="47" customWidth="1"/>
    <col min="12694" max="12694" width="13" style="47" customWidth="1"/>
    <col min="12695" max="12695" width="13.125" style="47" customWidth="1"/>
    <col min="12696" max="12696" width="13" style="47" customWidth="1"/>
    <col min="12697" max="12697" width="13.125" style="47" customWidth="1"/>
    <col min="12698" max="12699" width="12.375" style="47" customWidth="1"/>
    <col min="12700" max="12700" width="13" style="47" customWidth="1"/>
    <col min="12701" max="12701" width="12.375" style="47" customWidth="1"/>
    <col min="12702" max="12702" width="12.25" style="47" customWidth="1"/>
    <col min="12703" max="12703" width="12.125" style="47" customWidth="1"/>
    <col min="12704" max="12704" width="11.625" style="47" customWidth="1"/>
    <col min="12705" max="12705" width="12" style="47" customWidth="1"/>
    <col min="12706" max="12706" width="13" style="47" customWidth="1"/>
    <col min="12707" max="12707" width="11.625" style="47" customWidth="1"/>
    <col min="12708" max="12709" width="12" style="47" customWidth="1"/>
    <col min="12710" max="12712" width="11.625" style="47" customWidth="1"/>
    <col min="12713" max="12713" width="11.125" style="47" customWidth="1"/>
    <col min="12714" max="12714" width="12" style="47" customWidth="1"/>
    <col min="12715" max="12715" width="13" style="47" customWidth="1"/>
    <col min="12716" max="12716" width="13.625" style="47" customWidth="1"/>
    <col min="12717" max="12717" width="11.875" style="47" customWidth="1"/>
    <col min="12718" max="12719" width="11.625" style="47" customWidth="1"/>
    <col min="12720" max="12720" width="12" style="47" customWidth="1"/>
    <col min="12721" max="12721" width="12.75" style="47" customWidth="1"/>
    <col min="12722" max="12722" width="11.625" style="47" customWidth="1"/>
    <col min="12723" max="12723" width="12.125" style="47" customWidth="1"/>
    <col min="12724" max="12725" width="11.625" style="47" customWidth="1"/>
    <col min="12726" max="12726" width="12.5" style="47" customWidth="1"/>
    <col min="12727" max="12901" width="11.625" style="47" customWidth="1"/>
    <col min="12902" max="12902" width="17.75" style="47" customWidth="1"/>
    <col min="12903" max="12904" width="9" style="47" customWidth="1"/>
    <col min="12905" max="12905" width="16.25" style="47" customWidth="1"/>
    <col min="12906" max="12906" width="24" style="47" customWidth="1"/>
    <col min="12907" max="12907" width="9" style="47"/>
    <col min="12908" max="12908" width="11.75" style="47" customWidth="1"/>
    <col min="12909" max="12909" width="8.875" style="47" customWidth="1"/>
    <col min="12910" max="12910" width="17.375" style="47" customWidth="1"/>
    <col min="12911" max="12911" width="13.25" style="47" customWidth="1"/>
    <col min="12912" max="12912" width="25.75" style="47" customWidth="1"/>
    <col min="12913" max="12913" width="11.125" style="47" customWidth="1"/>
    <col min="12914" max="12914" width="10.75" style="47" customWidth="1"/>
    <col min="12915" max="12915" width="9" style="47" customWidth="1"/>
    <col min="12916" max="12916" width="9.75" style="47" customWidth="1"/>
    <col min="12917" max="12917" width="7.5" style="47" customWidth="1"/>
    <col min="12918" max="12918" width="13.25" style="47" customWidth="1"/>
    <col min="12919" max="12919" width="11.75" style="47" customWidth="1"/>
    <col min="12920" max="12920" width="8.875" style="47" customWidth="1"/>
    <col min="12921" max="12921" width="9.625" style="47" customWidth="1"/>
    <col min="12922" max="12923" width="11.875" style="47" customWidth="1"/>
    <col min="12924" max="12924" width="11.5" style="47" customWidth="1"/>
    <col min="12925" max="12940" width="12.25" style="47" customWidth="1"/>
    <col min="12941" max="12941" width="13" style="47" customWidth="1"/>
    <col min="12942" max="12946" width="12.375" style="47" customWidth="1"/>
    <col min="12947" max="12947" width="13" style="47" customWidth="1"/>
    <col min="12948" max="12949" width="12.375" style="47" customWidth="1"/>
    <col min="12950" max="12950" width="13" style="47" customWidth="1"/>
    <col min="12951" max="12951" width="13.125" style="47" customWidth="1"/>
    <col min="12952" max="12952" width="13" style="47" customWidth="1"/>
    <col min="12953" max="12953" width="13.125" style="47" customWidth="1"/>
    <col min="12954" max="12955" width="12.375" style="47" customWidth="1"/>
    <col min="12956" max="12956" width="13" style="47" customWidth="1"/>
    <col min="12957" max="12957" width="12.375" style="47" customWidth="1"/>
    <col min="12958" max="12958" width="12.25" style="47" customWidth="1"/>
    <col min="12959" max="12959" width="12.125" style="47" customWidth="1"/>
    <col min="12960" max="12960" width="11.625" style="47" customWidth="1"/>
    <col min="12961" max="12961" width="12" style="47" customWidth="1"/>
    <col min="12962" max="12962" width="13" style="47" customWidth="1"/>
    <col min="12963" max="12963" width="11.625" style="47" customWidth="1"/>
    <col min="12964" max="12965" width="12" style="47" customWidth="1"/>
    <col min="12966" max="12968" width="11.625" style="47" customWidth="1"/>
    <col min="12969" max="12969" width="11.125" style="47" customWidth="1"/>
    <col min="12970" max="12970" width="12" style="47" customWidth="1"/>
    <col min="12971" max="12971" width="13" style="47" customWidth="1"/>
    <col min="12972" max="12972" width="13.625" style="47" customWidth="1"/>
    <col min="12973" max="12973" width="11.875" style="47" customWidth="1"/>
    <col min="12974" max="12975" width="11.625" style="47" customWidth="1"/>
    <col min="12976" max="12976" width="12" style="47" customWidth="1"/>
    <col min="12977" max="12977" width="12.75" style="47" customWidth="1"/>
    <col min="12978" max="12978" width="11.625" style="47" customWidth="1"/>
    <col min="12979" max="12979" width="12.125" style="47" customWidth="1"/>
    <col min="12980" max="12981" width="11.625" style="47" customWidth="1"/>
    <col min="12982" max="12982" width="12.5" style="47" customWidth="1"/>
    <col min="12983" max="13157" width="11.625" style="47" customWidth="1"/>
    <col min="13158" max="13158" width="17.75" style="47" customWidth="1"/>
    <col min="13159" max="13160" width="9" style="47" customWidth="1"/>
    <col min="13161" max="13161" width="16.25" style="47" customWidth="1"/>
    <col min="13162" max="13162" width="24" style="47" customWidth="1"/>
    <col min="13163" max="13163" width="9" style="47"/>
    <col min="13164" max="13164" width="11.75" style="47" customWidth="1"/>
    <col min="13165" max="13165" width="8.875" style="47" customWidth="1"/>
    <col min="13166" max="13166" width="17.375" style="47" customWidth="1"/>
    <col min="13167" max="13167" width="13.25" style="47" customWidth="1"/>
    <col min="13168" max="13168" width="25.75" style="47" customWidth="1"/>
    <col min="13169" max="13169" width="11.125" style="47" customWidth="1"/>
    <col min="13170" max="13170" width="10.75" style="47" customWidth="1"/>
    <col min="13171" max="13171" width="9" style="47" customWidth="1"/>
    <col min="13172" max="13172" width="9.75" style="47" customWidth="1"/>
    <col min="13173" max="13173" width="7.5" style="47" customWidth="1"/>
    <col min="13174" max="13174" width="13.25" style="47" customWidth="1"/>
    <col min="13175" max="13175" width="11.75" style="47" customWidth="1"/>
    <col min="13176" max="13176" width="8.875" style="47" customWidth="1"/>
    <col min="13177" max="13177" width="9.625" style="47" customWidth="1"/>
    <col min="13178" max="13179" width="11.875" style="47" customWidth="1"/>
    <col min="13180" max="13180" width="11.5" style="47" customWidth="1"/>
    <col min="13181" max="13196" width="12.25" style="47" customWidth="1"/>
    <col min="13197" max="13197" width="13" style="47" customWidth="1"/>
    <col min="13198" max="13202" width="12.375" style="47" customWidth="1"/>
    <col min="13203" max="13203" width="13" style="47" customWidth="1"/>
    <col min="13204" max="13205" width="12.375" style="47" customWidth="1"/>
    <col min="13206" max="13206" width="13" style="47" customWidth="1"/>
    <col min="13207" max="13207" width="13.125" style="47" customWidth="1"/>
    <col min="13208" max="13208" width="13" style="47" customWidth="1"/>
    <col min="13209" max="13209" width="13.125" style="47" customWidth="1"/>
    <col min="13210" max="13211" width="12.375" style="47" customWidth="1"/>
    <col min="13212" max="13212" width="13" style="47" customWidth="1"/>
    <col min="13213" max="13213" width="12.375" style="47" customWidth="1"/>
    <col min="13214" max="13214" width="12.25" style="47" customWidth="1"/>
    <col min="13215" max="13215" width="12.125" style="47" customWidth="1"/>
    <col min="13216" max="13216" width="11.625" style="47" customWidth="1"/>
    <col min="13217" max="13217" width="12" style="47" customWidth="1"/>
    <col min="13218" max="13218" width="13" style="47" customWidth="1"/>
    <col min="13219" max="13219" width="11.625" style="47" customWidth="1"/>
    <col min="13220" max="13221" width="12" style="47" customWidth="1"/>
    <col min="13222" max="13224" width="11.625" style="47" customWidth="1"/>
    <col min="13225" max="13225" width="11.125" style="47" customWidth="1"/>
    <col min="13226" max="13226" width="12" style="47" customWidth="1"/>
    <col min="13227" max="13227" width="13" style="47" customWidth="1"/>
    <col min="13228" max="13228" width="13.625" style="47" customWidth="1"/>
    <col min="13229" max="13229" width="11.875" style="47" customWidth="1"/>
    <col min="13230" max="13231" width="11.625" style="47" customWidth="1"/>
    <col min="13232" max="13232" width="12" style="47" customWidth="1"/>
    <col min="13233" max="13233" width="12.75" style="47" customWidth="1"/>
    <col min="13234" max="13234" width="11.625" style="47" customWidth="1"/>
    <col min="13235" max="13235" width="12.125" style="47" customWidth="1"/>
    <col min="13236" max="13237" width="11.625" style="47" customWidth="1"/>
    <col min="13238" max="13238" width="12.5" style="47" customWidth="1"/>
    <col min="13239" max="13413" width="11.625" style="47" customWidth="1"/>
    <col min="13414" max="13414" width="17.75" style="47" customWidth="1"/>
    <col min="13415" max="13416" width="9" style="47" customWidth="1"/>
    <col min="13417" max="13417" width="16.25" style="47" customWidth="1"/>
    <col min="13418" max="13418" width="24" style="47" customWidth="1"/>
    <col min="13419" max="13419" width="9" style="47"/>
    <col min="13420" max="13420" width="11.75" style="47" customWidth="1"/>
    <col min="13421" max="13421" width="8.875" style="47" customWidth="1"/>
    <col min="13422" max="13422" width="17.375" style="47" customWidth="1"/>
    <col min="13423" max="13423" width="13.25" style="47" customWidth="1"/>
    <col min="13424" max="13424" width="25.75" style="47" customWidth="1"/>
    <col min="13425" max="13425" width="11.125" style="47" customWidth="1"/>
    <col min="13426" max="13426" width="10.75" style="47" customWidth="1"/>
    <col min="13427" max="13427" width="9" style="47" customWidth="1"/>
    <col min="13428" max="13428" width="9.75" style="47" customWidth="1"/>
    <col min="13429" max="13429" width="7.5" style="47" customWidth="1"/>
    <col min="13430" max="13430" width="13.25" style="47" customWidth="1"/>
    <col min="13431" max="13431" width="11.75" style="47" customWidth="1"/>
    <col min="13432" max="13432" width="8.875" style="47" customWidth="1"/>
    <col min="13433" max="13433" width="9.625" style="47" customWidth="1"/>
    <col min="13434" max="13435" width="11.875" style="47" customWidth="1"/>
    <col min="13436" max="13436" width="11.5" style="47" customWidth="1"/>
    <col min="13437" max="13452" width="12.25" style="47" customWidth="1"/>
    <col min="13453" max="13453" width="13" style="47" customWidth="1"/>
    <col min="13454" max="13458" width="12.375" style="47" customWidth="1"/>
    <col min="13459" max="13459" width="13" style="47" customWidth="1"/>
    <col min="13460" max="13461" width="12.375" style="47" customWidth="1"/>
    <col min="13462" max="13462" width="13" style="47" customWidth="1"/>
    <col min="13463" max="13463" width="13.125" style="47" customWidth="1"/>
    <col min="13464" max="13464" width="13" style="47" customWidth="1"/>
    <col min="13465" max="13465" width="13.125" style="47" customWidth="1"/>
    <col min="13466" max="13467" width="12.375" style="47" customWidth="1"/>
    <col min="13468" max="13468" width="13" style="47" customWidth="1"/>
    <col min="13469" max="13469" width="12.375" style="47" customWidth="1"/>
    <col min="13470" max="13470" width="12.25" style="47" customWidth="1"/>
    <col min="13471" max="13471" width="12.125" style="47" customWidth="1"/>
    <col min="13472" max="13472" width="11.625" style="47" customWidth="1"/>
    <col min="13473" max="13473" width="12" style="47" customWidth="1"/>
    <col min="13474" max="13474" width="13" style="47" customWidth="1"/>
    <col min="13475" max="13475" width="11.625" style="47" customWidth="1"/>
    <col min="13476" max="13477" width="12" style="47" customWidth="1"/>
    <col min="13478" max="13480" width="11.625" style="47" customWidth="1"/>
    <col min="13481" max="13481" width="11.125" style="47" customWidth="1"/>
    <col min="13482" max="13482" width="12" style="47" customWidth="1"/>
    <col min="13483" max="13483" width="13" style="47" customWidth="1"/>
    <col min="13484" max="13484" width="13.625" style="47" customWidth="1"/>
    <col min="13485" max="13485" width="11.875" style="47" customWidth="1"/>
    <col min="13486" max="13487" width="11.625" style="47" customWidth="1"/>
    <col min="13488" max="13488" width="12" style="47" customWidth="1"/>
    <col min="13489" max="13489" width="12.75" style="47" customWidth="1"/>
    <col min="13490" max="13490" width="11.625" style="47" customWidth="1"/>
    <col min="13491" max="13491" width="12.125" style="47" customWidth="1"/>
    <col min="13492" max="13493" width="11.625" style="47" customWidth="1"/>
    <col min="13494" max="13494" width="12.5" style="47" customWidth="1"/>
    <col min="13495" max="13669" width="11.625" style="47" customWidth="1"/>
    <col min="13670" max="13670" width="17.75" style="47" customWidth="1"/>
    <col min="13671" max="13672" width="9" style="47" customWidth="1"/>
    <col min="13673" max="13673" width="16.25" style="47" customWidth="1"/>
    <col min="13674" max="13674" width="24" style="47" customWidth="1"/>
    <col min="13675" max="13675" width="9" style="47"/>
    <col min="13676" max="13676" width="11.75" style="47" customWidth="1"/>
    <col min="13677" max="13677" width="8.875" style="47" customWidth="1"/>
    <col min="13678" max="13678" width="17.375" style="47" customWidth="1"/>
    <col min="13679" max="13679" width="13.25" style="47" customWidth="1"/>
    <col min="13680" max="13680" width="25.75" style="47" customWidth="1"/>
    <col min="13681" max="13681" width="11.125" style="47" customWidth="1"/>
    <col min="13682" max="13682" width="10.75" style="47" customWidth="1"/>
    <col min="13683" max="13683" width="9" style="47" customWidth="1"/>
    <col min="13684" max="13684" width="9.75" style="47" customWidth="1"/>
    <col min="13685" max="13685" width="7.5" style="47" customWidth="1"/>
    <col min="13686" max="13686" width="13.25" style="47" customWidth="1"/>
    <col min="13687" max="13687" width="11.75" style="47" customWidth="1"/>
    <col min="13688" max="13688" width="8.875" style="47" customWidth="1"/>
    <col min="13689" max="13689" width="9.625" style="47" customWidth="1"/>
    <col min="13690" max="13691" width="11.875" style="47" customWidth="1"/>
    <col min="13692" max="13692" width="11.5" style="47" customWidth="1"/>
    <col min="13693" max="13708" width="12.25" style="47" customWidth="1"/>
    <col min="13709" max="13709" width="13" style="47" customWidth="1"/>
    <col min="13710" max="13714" width="12.375" style="47" customWidth="1"/>
    <col min="13715" max="13715" width="13" style="47" customWidth="1"/>
    <col min="13716" max="13717" width="12.375" style="47" customWidth="1"/>
    <col min="13718" max="13718" width="13" style="47" customWidth="1"/>
    <col min="13719" max="13719" width="13.125" style="47" customWidth="1"/>
    <col min="13720" max="13720" width="13" style="47" customWidth="1"/>
    <col min="13721" max="13721" width="13.125" style="47" customWidth="1"/>
    <col min="13722" max="13723" width="12.375" style="47" customWidth="1"/>
    <col min="13724" max="13724" width="13" style="47" customWidth="1"/>
    <col min="13725" max="13725" width="12.375" style="47" customWidth="1"/>
    <col min="13726" max="13726" width="12.25" style="47" customWidth="1"/>
    <col min="13727" max="13727" width="12.125" style="47" customWidth="1"/>
    <col min="13728" max="13728" width="11.625" style="47" customWidth="1"/>
    <col min="13729" max="13729" width="12" style="47" customWidth="1"/>
    <col min="13730" max="13730" width="13" style="47" customWidth="1"/>
    <col min="13731" max="13731" width="11.625" style="47" customWidth="1"/>
    <col min="13732" max="13733" width="12" style="47" customWidth="1"/>
    <col min="13734" max="13736" width="11.625" style="47" customWidth="1"/>
    <col min="13737" max="13737" width="11.125" style="47" customWidth="1"/>
    <col min="13738" max="13738" width="12" style="47" customWidth="1"/>
    <col min="13739" max="13739" width="13" style="47" customWidth="1"/>
    <col min="13740" max="13740" width="13.625" style="47" customWidth="1"/>
    <col min="13741" max="13741" width="11.875" style="47" customWidth="1"/>
    <col min="13742" max="13743" width="11.625" style="47" customWidth="1"/>
    <col min="13744" max="13744" width="12" style="47" customWidth="1"/>
    <col min="13745" max="13745" width="12.75" style="47" customWidth="1"/>
    <col min="13746" max="13746" width="11.625" style="47" customWidth="1"/>
    <col min="13747" max="13747" width="12.125" style="47" customWidth="1"/>
    <col min="13748" max="13749" width="11.625" style="47" customWidth="1"/>
    <col min="13750" max="13750" width="12.5" style="47" customWidth="1"/>
    <col min="13751" max="13925" width="11.625" style="47" customWidth="1"/>
    <col min="13926" max="13926" width="17.75" style="47" customWidth="1"/>
    <col min="13927" max="13928" width="9" style="47" customWidth="1"/>
    <col min="13929" max="13929" width="16.25" style="47" customWidth="1"/>
    <col min="13930" max="13930" width="24" style="47" customWidth="1"/>
    <col min="13931" max="13931" width="9" style="47"/>
    <col min="13932" max="13932" width="11.75" style="47" customWidth="1"/>
    <col min="13933" max="13933" width="8.875" style="47" customWidth="1"/>
    <col min="13934" max="13934" width="17.375" style="47" customWidth="1"/>
    <col min="13935" max="13935" width="13.25" style="47" customWidth="1"/>
    <col min="13936" max="13936" width="25.75" style="47" customWidth="1"/>
    <col min="13937" max="13937" width="11.125" style="47" customWidth="1"/>
    <col min="13938" max="13938" width="10.75" style="47" customWidth="1"/>
    <col min="13939" max="13939" width="9" style="47" customWidth="1"/>
    <col min="13940" max="13940" width="9.75" style="47" customWidth="1"/>
    <col min="13941" max="13941" width="7.5" style="47" customWidth="1"/>
    <col min="13942" max="13942" width="13.25" style="47" customWidth="1"/>
    <col min="13943" max="13943" width="11.75" style="47" customWidth="1"/>
    <col min="13944" max="13944" width="8.875" style="47" customWidth="1"/>
    <col min="13945" max="13945" width="9.625" style="47" customWidth="1"/>
    <col min="13946" max="13947" width="11.875" style="47" customWidth="1"/>
    <col min="13948" max="13948" width="11.5" style="47" customWidth="1"/>
    <col min="13949" max="13964" width="12.25" style="47" customWidth="1"/>
    <col min="13965" max="13965" width="13" style="47" customWidth="1"/>
    <col min="13966" max="13970" width="12.375" style="47" customWidth="1"/>
    <col min="13971" max="13971" width="13" style="47" customWidth="1"/>
    <col min="13972" max="13973" width="12.375" style="47" customWidth="1"/>
    <col min="13974" max="13974" width="13" style="47" customWidth="1"/>
    <col min="13975" max="13975" width="13.125" style="47" customWidth="1"/>
    <col min="13976" max="13976" width="13" style="47" customWidth="1"/>
    <col min="13977" max="13977" width="13.125" style="47" customWidth="1"/>
    <col min="13978" max="13979" width="12.375" style="47" customWidth="1"/>
    <col min="13980" max="13980" width="13" style="47" customWidth="1"/>
    <col min="13981" max="13981" width="12.375" style="47" customWidth="1"/>
    <col min="13982" max="13982" width="12.25" style="47" customWidth="1"/>
    <col min="13983" max="13983" width="12.125" style="47" customWidth="1"/>
    <col min="13984" max="13984" width="11.625" style="47" customWidth="1"/>
    <col min="13985" max="13985" width="12" style="47" customWidth="1"/>
    <col min="13986" max="13986" width="13" style="47" customWidth="1"/>
    <col min="13987" max="13987" width="11.625" style="47" customWidth="1"/>
    <col min="13988" max="13989" width="12" style="47" customWidth="1"/>
    <col min="13990" max="13992" width="11.625" style="47" customWidth="1"/>
    <col min="13993" max="13993" width="11.125" style="47" customWidth="1"/>
    <col min="13994" max="13994" width="12" style="47" customWidth="1"/>
    <col min="13995" max="13995" width="13" style="47" customWidth="1"/>
    <col min="13996" max="13996" width="13.625" style="47" customWidth="1"/>
    <col min="13997" max="13997" width="11.875" style="47" customWidth="1"/>
    <col min="13998" max="13999" width="11.625" style="47" customWidth="1"/>
    <col min="14000" max="14000" width="12" style="47" customWidth="1"/>
    <col min="14001" max="14001" width="12.75" style="47" customWidth="1"/>
    <col min="14002" max="14002" width="11.625" style="47" customWidth="1"/>
    <col min="14003" max="14003" width="12.125" style="47" customWidth="1"/>
    <col min="14004" max="14005" width="11.625" style="47" customWidth="1"/>
    <col min="14006" max="14006" width="12.5" style="47" customWidth="1"/>
    <col min="14007" max="14181" width="11.625" style="47" customWidth="1"/>
    <col min="14182" max="14182" width="17.75" style="47" customWidth="1"/>
    <col min="14183" max="14184" width="9" style="47" customWidth="1"/>
    <col min="14185" max="14185" width="16.25" style="47" customWidth="1"/>
    <col min="14186" max="14186" width="24" style="47" customWidth="1"/>
    <col min="14187" max="14187" width="9" style="47"/>
    <col min="14188" max="14188" width="11.75" style="47" customWidth="1"/>
    <col min="14189" max="14189" width="8.875" style="47" customWidth="1"/>
    <col min="14190" max="14190" width="17.375" style="47" customWidth="1"/>
    <col min="14191" max="14191" width="13.25" style="47" customWidth="1"/>
    <col min="14192" max="14192" width="25.75" style="47" customWidth="1"/>
    <col min="14193" max="14193" width="11.125" style="47" customWidth="1"/>
    <col min="14194" max="14194" width="10.75" style="47" customWidth="1"/>
    <col min="14195" max="14195" width="9" style="47" customWidth="1"/>
    <col min="14196" max="14196" width="9.75" style="47" customWidth="1"/>
    <col min="14197" max="14197" width="7.5" style="47" customWidth="1"/>
    <col min="14198" max="14198" width="13.25" style="47" customWidth="1"/>
    <col min="14199" max="14199" width="11.75" style="47" customWidth="1"/>
    <col min="14200" max="14200" width="8.875" style="47" customWidth="1"/>
    <col min="14201" max="14201" width="9.625" style="47" customWidth="1"/>
    <col min="14202" max="14203" width="11.875" style="47" customWidth="1"/>
    <col min="14204" max="14204" width="11.5" style="47" customWidth="1"/>
    <col min="14205" max="14220" width="12.25" style="47" customWidth="1"/>
    <col min="14221" max="14221" width="13" style="47" customWidth="1"/>
    <col min="14222" max="14226" width="12.375" style="47" customWidth="1"/>
    <col min="14227" max="14227" width="13" style="47" customWidth="1"/>
    <col min="14228" max="14229" width="12.375" style="47" customWidth="1"/>
    <col min="14230" max="14230" width="13" style="47" customWidth="1"/>
    <col min="14231" max="14231" width="13.125" style="47" customWidth="1"/>
    <col min="14232" max="14232" width="13" style="47" customWidth="1"/>
    <col min="14233" max="14233" width="13.125" style="47" customWidth="1"/>
    <col min="14234" max="14235" width="12.375" style="47" customWidth="1"/>
    <col min="14236" max="14236" width="13" style="47" customWidth="1"/>
    <col min="14237" max="14237" width="12.375" style="47" customWidth="1"/>
    <col min="14238" max="14238" width="12.25" style="47" customWidth="1"/>
    <col min="14239" max="14239" width="12.125" style="47" customWidth="1"/>
    <col min="14240" max="14240" width="11.625" style="47" customWidth="1"/>
    <col min="14241" max="14241" width="12" style="47" customWidth="1"/>
    <col min="14242" max="14242" width="13" style="47" customWidth="1"/>
    <col min="14243" max="14243" width="11.625" style="47" customWidth="1"/>
    <col min="14244" max="14245" width="12" style="47" customWidth="1"/>
    <col min="14246" max="14248" width="11.625" style="47" customWidth="1"/>
    <col min="14249" max="14249" width="11.125" style="47" customWidth="1"/>
    <col min="14250" max="14250" width="12" style="47" customWidth="1"/>
    <col min="14251" max="14251" width="13" style="47" customWidth="1"/>
    <col min="14252" max="14252" width="13.625" style="47" customWidth="1"/>
    <col min="14253" max="14253" width="11.875" style="47" customWidth="1"/>
    <col min="14254" max="14255" width="11.625" style="47" customWidth="1"/>
    <col min="14256" max="14256" width="12" style="47" customWidth="1"/>
    <col min="14257" max="14257" width="12.75" style="47" customWidth="1"/>
    <col min="14258" max="14258" width="11.625" style="47" customWidth="1"/>
    <col min="14259" max="14259" width="12.125" style="47" customWidth="1"/>
    <col min="14260" max="14261" width="11.625" style="47" customWidth="1"/>
    <col min="14262" max="14262" width="12.5" style="47" customWidth="1"/>
    <col min="14263" max="14437" width="11.625" style="47" customWidth="1"/>
    <col min="14438" max="14438" width="17.75" style="47" customWidth="1"/>
    <col min="14439" max="14440" width="9" style="47" customWidth="1"/>
    <col min="14441" max="14441" width="16.25" style="47" customWidth="1"/>
    <col min="14442" max="14442" width="24" style="47" customWidth="1"/>
    <col min="14443" max="14443" width="9" style="47"/>
    <col min="14444" max="14444" width="11.75" style="47" customWidth="1"/>
    <col min="14445" max="14445" width="8.875" style="47" customWidth="1"/>
    <col min="14446" max="14446" width="17.375" style="47" customWidth="1"/>
    <col min="14447" max="14447" width="13.25" style="47" customWidth="1"/>
    <col min="14448" max="14448" width="25.75" style="47" customWidth="1"/>
    <col min="14449" max="14449" width="11.125" style="47" customWidth="1"/>
    <col min="14450" max="14450" width="10.75" style="47" customWidth="1"/>
    <col min="14451" max="14451" width="9" style="47" customWidth="1"/>
    <col min="14452" max="14452" width="9.75" style="47" customWidth="1"/>
    <col min="14453" max="14453" width="7.5" style="47" customWidth="1"/>
    <col min="14454" max="14454" width="13.25" style="47" customWidth="1"/>
    <col min="14455" max="14455" width="11.75" style="47" customWidth="1"/>
    <col min="14456" max="14456" width="8.875" style="47" customWidth="1"/>
    <col min="14457" max="14457" width="9.625" style="47" customWidth="1"/>
    <col min="14458" max="14459" width="11.875" style="47" customWidth="1"/>
    <col min="14460" max="14460" width="11.5" style="47" customWidth="1"/>
    <col min="14461" max="14476" width="12.25" style="47" customWidth="1"/>
    <col min="14477" max="14477" width="13" style="47" customWidth="1"/>
    <col min="14478" max="14482" width="12.375" style="47" customWidth="1"/>
    <col min="14483" max="14483" width="13" style="47" customWidth="1"/>
    <col min="14484" max="14485" width="12.375" style="47" customWidth="1"/>
    <col min="14486" max="14486" width="13" style="47" customWidth="1"/>
    <col min="14487" max="14487" width="13.125" style="47" customWidth="1"/>
    <col min="14488" max="14488" width="13" style="47" customWidth="1"/>
    <col min="14489" max="14489" width="13.125" style="47" customWidth="1"/>
    <col min="14490" max="14491" width="12.375" style="47" customWidth="1"/>
    <col min="14492" max="14492" width="13" style="47" customWidth="1"/>
    <col min="14493" max="14493" width="12.375" style="47" customWidth="1"/>
    <col min="14494" max="14494" width="12.25" style="47" customWidth="1"/>
    <col min="14495" max="14495" width="12.125" style="47" customWidth="1"/>
    <col min="14496" max="14496" width="11.625" style="47" customWidth="1"/>
    <col min="14497" max="14497" width="12" style="47" customWidth="1"/>
    <col min="14498" max="14498" width="13" style="47" customWidth="1"/>
    <col min="14499" max="14499" width="11.625" style="47" customWidth="1"/>
    <col min="14500" max="14501" width="12" style="47" customWidth="1"/>
    <col min="14502" max="14504" width="11.625" style="47" customWidth="1"/>
    <col min="14505" max="14505" width="11.125" style="47" customWidth="1"/>
    <col min="14506" max="14506" width="12" style="47" customWidth="1"/>
    <col min="14507" max="14507" width="13" style="47" customWidth="1"/>
    <col min="14508" max="14508" width="13.625" style="47" customWidth="1"/>
    <col min="14509" max="14509" width="11.875" style="47" customWidth="1"/>
    <col min="14510" max="14511" width="11.625" style="47" customWidth="1"/>
    <col min="14512" max="14512" width="12" style="47" customWidth="1"/>
    <col min="14513" max="14513" width="12.75" style="47" customWidth="1"/>
    <col min="14514" max="14514" width="11.625" style="47" customWidth="1"/>
    <col min="14515" max="14515" width="12.125" style="47" customWidth="1"/>
    <col min="14516" max="14517" width="11.625" style="47" customWidth="1"/>
    <col min="14518" max="14518" width="12.5" style="47" customWidth="1"/>
    <col min="14519" max="14693" width="11.625" style="47" customWidth="1"/>
    <col min="14694" max="14694" width="17.75" style="47" customWidth="1"/>
    <col min="14695" max="14696" width="9" style="47" customWidth="1"/>
    <col min="14697" max="14697" width="16.25" style="47" customWidth="1"/>
    <col min="14698" max="14698" width="24" style="47" customWidth="1"/>
    <col min="14699" max="14699" width="9" style="47"/>
    <col min="14700" max="14700" width="11.75" style="47" customWidth="1"/>
    <col min="14701" max="14701" width="8.875" style="47" customWidth="1"/>
    <col min="14702" max="14702" width="17.375" style="47" customWidth="1"/>
    <col min="14703" max="14703" width="13.25" style="47" customWidth="1"/>
    <col min="14704" max="14704" width="25.75" style="47" customWidth="1"/>
    <col min="14705" max="14705" width="11.125" style="47" customWidth="1"/>
    <col min="14706" max="14706" width="10.75" style="47" customWidth="1"/>
    <col min="14707" max="14707" width="9" style="47" customWidth="1"/>
    <col min="14708" max="14708" width="9.75" style="47" customWidth="1"/>
    <col min="14709" max="14709" width="7.5" style="47" customWidth="1"/>
    <col min="14710" max="14710" width="13.25" style="47" customWidth="1"/>
    <col min="14711" max="14711" width="11.75" style="47" customWidth="1"/>
    <col min="14712" max="14712" width="8.875" style="47" customWidth="1"/>
    <col min="14713" max="14713" width="9.625" style="47" customWidth="1"/>
    <col min="14714" max="14715" width="11.875" style="47" customWidth="1"/>
    <col min="14716" max="14716" width="11.5" style="47" customWidth="1"/>
    <col min="14717" max="14732" width="12.25" style="47" customWidth="1"/>
    <col min="14733" max="14733" width="13" style="47" customWidth="1"/>
    <col min="14734" max="14738" width="12.375" style="47" customWidth="1"/>
    <col min="14739" max="14739" width="13" style="47" customWidth="1"/>
    <col min="14740" max="14741" width="12.375" style="47" customWidth="1"/>
    <col min="14742" max="14742" width="13" style="47" customWidth="1"/>
    <col min="14743" max="14743" width="13.125" style="47" customWidth="1"/>
    <col min="14744" max="14744" width="13" style="47" customWidth="1"/>
    <col min="14745" max="14745" width="13.125" style="47" customWidth="1"/>
    <col min="14746" max="14747" width="12.375" style="47" customWidth="1"/>
    <col min="14748" max="14748" width="13" style="47" customWidth="1"/>
    <col min="14749" max="14749" width="12.375" style="47" customWidth="1"/>
    <col min="14750" max="14750" width="12.25" style="47" customWidth="1"/>
    <col min="14751" max="14751" width="12.125" style="47" customWidth="1"/>
    <col min="14752" max="14752" width="11.625" style="47" customWidth="1"/>
    <col min="14753" max="14753" width="12" style="47" customWidth="1"/>
    <col min="14754" max="14754" width="13" style="47" customWidth="1"/>
    <col min="14755" max="14755" width="11.625" style="47" customWidth="1"/>
    <col min="14756" max="14757" width="12" style="47" customWidth="1"/>
    <col min="14758" max="14760" width="11.625" style="47" customWidth="1"/>
    <col min="14761" max="14761" width="11.125" style="47" customWidth="1"/>
    <col min="14762" max="14762" width="12" style="47" customWidth="1"/>
    <col min="14763" max="14763" width="13" style="47" customWidth="1"/>
    <col min="14764" max="14764" width="13.625" style="47" customWidth="1"/>
    <col min="14765" max="14765" width="11.875" style="47" customWidth="1"/>
    <col min="14766" max="14767" width="11.625" style="47" customWidth="1"/>
    <col min="14768" max="14768" width="12" style="47" customWidth="1"/>
    <col min="14769" max="14769" width="12.75" style="47" customWidth="1"/>
    <col min="14770" max="14770" width="11.625" style="47" customWidth="1"/>
    <col min="14771" max="14771" width="12.125" style="47" customWidth="1"/>
    <col min="14772" max="14773" width="11.625" style="47" customWidth="1"/>
    <col min="14774" max="14774" width="12.5" style="47" customWidth="1"/>
    <col min="14775" max="14949" width="11.625" style="47" customWidth="1"/>
    <col min="14950" max="14950" width="17.75" style="47" customWidth="1"/>
    <col min="14951" max="14952" width="9" style="47" customWidth="1"/>
    <col min="14953" max="14953" width="16.25" style="47" customWidth="1"/>
    <col min="14954" max="14954" width="24" style="47" customWidth="1"/>
    <col min="14955" max="14955" width="9" style="47"/>
    <col min="14956" max="14956" width="11.75" style="47" customWidth="1"/>
    <col min="14957" max="14957" width="8.875" style="47" customWidth="1"/>
    <col min="14958" max="14958" width="17.375" style="47" customWidth="1"/>
    <col min="14959" max="14959" width="13.25" style="47" customWidth="1"/>
    <col min="14960" max="14960" width="25.75" style="47" customWidth="1"/>
    <col min="14961" max="14961" width="11.125" style="47" customWidth="1"/>
    <col min="14962" max="14962" width="10.75" style="47" customWidth="1"/>
    <col min="14963" max="14963" width="9" style="47" customWidth="1"/>
    <col min="14964" max="14964" width="9.75" style="47" customWidth="1"/>
    <col min="14965" max="14965" width="7.5" style="47" customWidth="1"/>
    <col min="14966" max="14966" width="13.25" style="47" customWidth="1"/>
    <col min="14967" max="14967" width="11.75" style="47" customWidth="1"/>
    <col min="14968" max="14968" width="8.875" style="47" customWidth="1"/>
    <col min="14969" max="14969" width="9.625" style="47" customWidth="1"/>
    <col min="14970" max="14971" width="11.875" style="47" customWidth="1"/>
    <col min="14972" max="14972" width="11.5" style="47" customWidth="1"/>
    <col min="14973" max="14988" width="12.25" style="47" customWidth="1"/>
    <col min="14989" max="14989" width="13" style="47" customWidth="1"/>
    <col min="14990" max="14994" width="12.375" style="47" customWidth="1"/>
    <col min="14995" max="14995" width="13" style="47" customWidth="1"/>
    <col min="14996" max="14997" width="12.375" style="47" customWidth="1"/>
    <col min="14998" max="14998" width="13" style="47" customWidth="1"/>
    <col min="14999" max="14999" width="13.125" style="47" customWidth="1"/>
    <col min="15000" max="15000" width="13" style="47" customWidth="1"/>
    <col min="15001" max="15001" width="13.125" style="47" customWidth="1"/>
    <col min="15002" max="15003" width="12.375" style="47" customWidth="1"/>
    <col min="15004" max="15004" width="13" style="47" customWidth="1"/>
    <col min="15005" max="15005" width="12.375" style="47" customWidth="1"/>
    <col min="15006" max="15006" width="12.25" style="47" customWidth="1"/>
    <col min="15007" max="15007" width="12.125" style="47" customWidth="1"/>
    <col min="15008" max="15008" width="11.625" style="47" customWidth="1"/>
    <col min="15009" max="15009" width="12" style="47" customWidth="1"/>
    <col min="15010" max="15010" width="13" style="47" customWidth="1"/>
    <col min="15011" max="15011" width="11.625" style="47" customWidth="1"/>
    <col min="15012" max="15013" width="12" style="47" customWidth="1"/>
    <col min="15014" max="15016" width="11.625" style="47" customWidth="1"/>
    <col min="15017" max="15017" width="11.125" style="47" customWidth="1"/>
    <col min="15018" max="15018" width="12" style="47" customWidth="1"/>
    <col min="15019" max="15019" width="13" style="47" customWidth="1"/>
    <col min="15020" max="15020" width="13.625" style="47" customWidth="1"/>
    <col min="15021" max="15021" width="11.875" style="47" customWidth="1"/>
    <col min="15022" max="15023" width="11.625" style="47" customWidth="1"/>
    <col min="15024" max="15024" width="12" style="47" customWidth="1"/>
    <col min="15025" max="15025" width="12.75" style="47" customWidth="1"/>
    <col min="15026" max="15026" width="11.625" style="47" customWidth="1"/>
    <col min="15027" max="15027" width="12.125" style="47" customWidth="1"/>
    <col min="15028" max="15029" width="11.625" style="47" customWidth="1"/>
    <col min="15030" max="15030" width="12.5" style="47" customWidth="1"/>
    <col min="15031" max="15205" width="11.625" style="47" customWidth="1"/>
    <col min="15206" max="15206" width="17.75" style="47" customWidth="1"/>
    <col min="15207" max="15208" width="9" style="47" customWidth="1"/>
    <col min="15209" max="15209" width="16.25" style="47" customWidth="1"/>
    <col min="15210" max="15210" width="24" style="47" customWidth="1"/>
    <col min="15211" max="15211" width="9" style="47"/>
    <col min="15212" max="15212" width="11.75" style="47" customWidth="1"/>
    <col min="15213" max="15213" width="8.875" style="47" customWidth="1"/>
    <col min="15214" max="15214" width="17.375" style="47" customWidth="1"/>
    <col min="15215" max="15215" width="13.25" style="47" customWidth="1"/>
    <col min="15216" max="15216" width="25.75" style="47" customWidth="1"/>
    <col min="15217" max="15217" width="11.125" style="47" customWidth="1"/>
    <col min="15218" max="15218" width="10.75" style="47" customWidth="1"/>
    <col min="15219" max="15219" width="9" style="47" customWidth="1"/>
    <col min="15220" max="15220" width="9.75" style="47" customWidth="1"/>
    <col min="15221" max="15221" width="7.5" style="47" customWidth="1"/>
    <col min="15222" max="15222" width="13.25" style="47" customWidth="1"/>
    <col min="15223" max="15223" width="11.75" style="47" customWidth="1"/>
    <col min="15224" max="15224" width="8.875" style="47" customWidth="1"/>
    <col min="15225" max="15225" width="9.625" style="47" customWidth="1"/>
    <col min="15226" max="15227" width="11.875" style="47" customWidth="1"/>
    <col min="15228" max="15228" width="11.5" style="47" customWidth="1"/>
    <col min="15229" max="15244" width="12.25" style="47" customWidth="1"/>
    <col min="15245" max="15245" width="13" style="47" customWidth="1"/>
    <col min="15246" max="15250" width="12.375" style="47" customWidth="1"/>
    <col min="15251" max="15251" width="13" style="47" customWidth="1"/>
    <col min="15252" max="15253" width="12.375" style="47" customWidth="1"/>
    <col min="15254" max="15254" width="13" style="47" customWidth="1"/>
    <col min="15255" max="15255" width="13.125" style="47" customWidth="1"/>
    <col min="15256" max="15256" width="13" style="47" customWidth="1"/>
    <col min="15257" max="15257" width="13.125" style="47" customWidth="1"/>
    <col min="15258" max="15259" width="12.375" style="47" customWidth="1"/>
    <col min="15260" max="15260" width="13" style="47" customWidth="1"/>
    <col min="15261" max="15261" width="12.375" style="47" customWidth="1"/>
    <col min="15262" max="15262" width="12.25" style="47" customWidth="1"/>
    <col min="15263" max="15263" width="12.125" style="47" customWidth="1"/>
    <col min="15264" max="15264" width="11.625" style="47" customWidth="1"/>
    <col min="15265" max="15265" width="12" style="47" customWidth="1"/>
    <col min="15266" max="15266" width="13" style="47" customWidth="1"/>
    <col min="15267" max="15267" width="11.625" style="47" customWidth="1"/>
    <col min="15268" max="15269" width="12" style="47" customWidth="1"/>
    <col min="15270" max="15272" width="11.625" style="47" customWidth="1"/>
    <col min="15273" max="15273" width="11.125" style="47" customWidth="1"/>
    <col min="15274" max="15274" width="12" style="47" customWidth="1"/>
    <col min="15275" max="15275" width="13" style="47" customWidth="1"/>
    <col min="15276" max="15276" width="13.625" style="47" customWidth="1"/>
    <col min="15277" max="15277" width="11.875" style="47" customWidth="1"/>
    <col min="15278" max="15279" width="11.625" style="47" customWidth="1"/>
    <col min="15280" max="15280" width="12" style="47" customWidth="1"/>
    <col min="15281" max="15281" width="12.75" style="47" customWidth="1"/>
    <col min="15282" max="15282" width="11.625" style="47" customWidth="1"/>
    <col min="15283" max="15283" width="12.125" style="47" customWidth="1"/>
    <col min="15284" max="15285" width="11.625" style="47" customWidth="1"/>
    <col min="15286" max="15286" width="12.5" style="47" customWidth="1"/>
    <col min="15287" max="15461" width="11.625" style="47" customWidth="1"/>
    <col min="15462" max="15462" width="17.75" style="47" customWidth="1"/>
    <col min="15463" max="15464" width="9" style="47" customWidth="1"/>
    <col min="15465" max="15465" width="16.25" style="47" customWidth="1"/>
    <col min="15466" max="15466" width="24" style="47" customWidth="1"/>
    <col min="15467" max="15467" width="9" style="47"/>
    <col min="15468" max="15468" width="11.75" style="47" customWidth="1"/>
    <col min="15469" max="15469" width="8.875" style="47" customWidth="1"/>
    <col min="15470" max="15470" width="17.375" style="47" customWidth="1"/>
    <col min="15471" max="15471" width="13.25" style="47" customWidth="1"/>
    <col min="15472" max="15472" width="25.75" style="47" customWidth="1"/>
    <col min="15473" max="15473" width="11.125" style="47" customWidth="1"/>
    <col min="15474" max="15474" width="10.75" style="47" customWidth="1"/>
    <col min="15475" max="15475" width="9" style="47" customWidth="1"/>
    <col min="15476" max="15476" width="9.75" style="47" customWidth="1"/>
    <col min="15477" max="15477" width="7.5" style="47" customWidth="1"/>
    <col min="15478" max="15478" width="13.25" style="47" customWidth="1"/>
    <col min="15479" max="15479" width="11.75" style="47" customWidth="1"/>
    <col min="15480" max="15480" width="8.875" style="47" customWidth="1"/>
    <col min="15481" max="15481" width="9.625" style="47" customWidth="1"/>
    <col min="15482" max="15483" width="11.875" style="47" customWidth="1"/>
    <col min="15484" max="15484" width="11.5" style="47" customWidth="1"/>
    <col min="15485" max="15500" width="12.25" style="47" customWidth="1"/>
    <col min="15501" max="15501" width="13" style="47" customWidth="1"/>
    <col min="15502" max="15506" width="12.375" style="47" customWidth="1"/>
    <col min="15507" max="15507" width="13" style="47" customWidth="1"/>
    <col min="15508" max="15509" width="12.375" style="47" customWidth="1"/>
    <col min="15510" max="15510" width="13" style="47" customWidth="1"/>
    <col min="15511" max="15511" width="13.125" style="47" customWidth="1"/>
    <col min="15512" max="15512" width="13" style="47" customWidth="1"/>
    <col min="15513" max="15513" width="13.125" style="47" customWidth="1"/>
    <col min="15514" max="15515" width="12.375" style="47" customWidth="1"/>
    <col min="15516" max="15516" width="13" style="47" customWidth="1"/>
    <col min="15517" max="15517" width="12.375" style="47" customWidth="1"/>
    <col min="15518" max="15518" width="12.25" style="47" customWidth="1"/>
    <col min="15519" max="15519" width="12.125" style="47" customWidth="1"/>
    <col min="15520" max="15520" width="11.625" style="47" customWidth="1"/>
    <col min="15521" max="15521" width="12" style="47" customWidth="1"/>
    <col min="15522" max="15522" width="13" style="47" customWidth="1"/>
    <col min="15523" max="15523" width="11.625" style="47" customWidth="1"/>
    <col min="15524" max="15525" width="12" style="47" customWidth="1"/>
    <col min="15526" max="15528" width="11.625" style="47" customWidth="1"/>
    <col min="15529" max="15529" width="11.125" style="47" customWidth="1"/>
    <col min="15530" max="15530" width="12" style="47" customWidth="1"/>
    <col min="15531" max="15531" width="13" style="47" customWidth="1"/>
    <col min="15532" max="15532" width="13.625" style="47" customWidth="1"/>
    <col min="15533" max="15533" width="11.875" style="47" customWidth="1"/>
    <col min="15534" max="15535" width="11.625" style="47" customWidth="1"/>
    <col min="15536" max="15536" width="12" style="47" customWidth="1"/>
    <col min="15537" max="15537" width="12.75" style="47" customWidth="1"/>
    <col min="15538" max="15538" width="11.625" style="47" customWidth="1"/>
    <col min="15539" max="15539" width="12.125" style="47" customWidth="1"/>
    <col min="15540" max="15541" width="11.625" style="47" customWidth="1"/>
    <col min="15542" max="15542" width="12.5" style="47" customWidth="1"/>
    <col min="15543" max="15717" width="11.625" style="47" customWidth="1"/>
    <col min="15718" max="15718" width="17.75" style="47" customWidth="1"/>
    <col min="15719" max="15720" width="9" style="47" customWidth="1"/>
    <col min="15721" max="15721" width="16.25" style="47" customWidth="1"/>
    <col min="15722" max="15722" width="24" style="47" customWidth="1"/>
    <col min="15723" max="15723" width="9" style="47"/>
    <col min="15724" max="15724" width="11.75" style="47" customWidth="1"/>
    <col min="15725" max="15725" width="8.875" style="47" customWidth="1"/>
    <col min="15726" max="15726" width="17.375" style="47" customWidth="1"/>
    <col min="15727" max="15727" width="13.25" style="47" customWidth="1"/>
    <col min="15728" max="15728" width="25.75" style="47" customWidth="1"/>
    <col min="15729" max="15729" width="11.125" style="47" customWidth="1"/>
    <col min="15730" max="15730" width="10.75" style="47" customWidth="1"/>
    <col min="15731" max="15731" width="9" style="47" customWidth="1"/>
    <col min="15732" max="15732" width="9.75" style="47" customWidth="1"/>
    <col min="15733" max="15733" width="7.5" style="47" customWidth="1"/>
    <col min="15734" max="15734" width="13.25" style="47" customWidth="1"/>
    <col min="15735" max="15735" width="11.75" style="47" customWidth="1"/>
    <col min="15736" max="15736" width="8.875" style="47" customWidth="1"/>
    <col min="15737" max="15737" width="9.625" style="47" customWidth="1"/>
    <col min="15738" max="15739" width="11.875" style="47" customWidth="1"/>
    <col min="15740" max="15740" width="11.5" style="47" customWidth="1"/>
    <col min="15741" max="15756" width="12.25" style="47" customWidth="1"/>
    <col min="15757" max="15757" width="13" style="47" customWidth="1"/>
    <col min="15758" max="15762" width="12.375" style="47" customWidth="1"/>
    <col min="15763" max="15763" width="13" style="47" customWidth="1"/>
    <col min="15764" max="15765" width="12.375" style="47" customWidth="1"/>
    <col min="15766" max="15766" width="13" style="47" customWidth="1"/>
    <col min="15767" max="15767" width="13.125" style="47" customWidth="1"/>
    <col min="15768" max="15768" width="13" style="47" customWidth="1"/>
    <col min="15769" max="15769" width="13.125" style="47" customWidth="1"/>
    <col min="15770" max="15771" width="12.375" style="47" customWidth="1"/>
    <col min="15772" max="15772" width="13" style="47" customWidth="1"/>
    <col min="15773" max="15773" width="12.375" style="47" customWidth="1"/>
    <col min="15774" max="15774" width="12.25" style="47" customWidth="1"/>
    <col min="15775" max="15775" width="12.125" style="47" customWidth="1"/>
    <col min="15776" max="15776" width="11.625" style="47" customWidth="1"/>
    <col min="15777" max="15777" width="12" style="47" customWidth="1"/>
    <col min="15778" max="15778" width="13" style="47" customWidth="1"/>
    <col min="15779" max="15779" width="11.625" style="47" customWidth="1"/>
    <col min="15780" max="15781" width="12" style="47" customWidth="1"/>
    <col min="15782" max="15784" width="11.625" style="47" customWidth="1"/>
    <col min="15785" max="15785" width="11.125" style="47" customWidth="1"/>
    <col min="15786" max="15786" width="12" style="47" customWidth="1"/>
    <col min="15787" max="15787" width="13" style="47" customWidth="1"/>
    <col min="15788" max="15788" width="13.625" style="47" customWidth="1"/>
    <col min="15789" max="15789" width="11.875" style="47" customWidth="1"/>
    <col min="15790" max="15791" width="11.625" style="47" customWidth="1"/>
    <col min="15792" max="15792" width="12" style="47" customWidth="1"/>
    <col min="15793" max="15793" width="12.75" style="47" customWidth="1"/>
    <col min="15794" max="15794" width="11.625" style="47" customWidth="1"/>
    <col min="15795" max="15795" width="12.125" style="47" customWidth="1"/>
    <col min="15796" max="15797" width="11.625" style="47" customWidth="1"/>
    <col min="15798" max="15798" width="12.5" style="47" customWidth="1"/>
    <col min="15799" max="15973" width="11.625" style="47" customWidth="1"/>
    <col min="15974" max="15974" width="17.75" style="47" customWidth="1"/>
    <col min="15975" max="15976" width="9" style="47" customWidth="1"/>
    <col min="15977" max="15977" width="16.25" style="47" customWidth="1"/>
    <col min="15978" max="15978" width="24" style="47" customWidth="1"/>
    <col min="15979" max="15979" width="9" style="47"/>
    <col min="15980" max="15980" width="11.75" style="47" customWidth="1"/>
    <col min="15981" max="15981" width="8.875" style="47" customWidth="1"/>
    <col min="15982" max="15982" width="17.375" style="47" customWidth="1"/>
    <col min="15983" max="15983" width="13.25" style="47" customWidth="1"/>
    <col min="15984" max="15984" width="25.75" style="47" customWidth="1"/>
    <col min="15985" max="15985" width="11.125" style="47" customWidth="1"/>
    <col min="15986" max="15986" width="10.75" style="47" customWidth="1"/>
    <col min="15987" max="15987" width="9" style="47" customWidth="1"/>
    <col min="15988" max="15988" width="9.75" style="47" customWidth="1"/>
    <col min="15989" max="15989" width="7.5" style="47" customWidth="1"/>
    <col min="15990" max="15990" width="13.25" style="47" customWidth="1"/>
    <col min="15991" max="15991" width="11.75" style="47" customWidth="1"/>
    <col min="15992" max="15992" width="8.875" style="47" customWidth="1"/>
    <col min="15993" max="15993" width="9.625" style="47" customWidth="1"/>
    <col min="15994" max="15995" width="11.875" style="47" customWidth="1"/>
    <col min="15996" max="15996" width="11.5" style="47" customWidth="1"/>
    <col min="15997" max="16012" width="12.25" style="47" customWidth="1"/>
    <col min="16013" max="16013" width="13" style="47" customWidth="1"/>
    <col min="16014" max="16018" width="12.375" style="47" customWidth="1"/>
    <col min="16019" max="16019" width="13" style="47" customWidth="1"/>
    <col min="16020" max="16021" width="12.375" style="47" customWidth="1"/>
    <col min="16022" max="16022" width="13" style="47" customWidth="1"/>
    <col min="16023" max="16023" width="13.125" style="47" customWidth="1"/>
    <col min="16024" max="16024" width="13" style="47" customWidth="1"/>
    <col min="16025" max="16025" width="13.125" style="47" customWidth="1"/>
    <col min="16026" max="16027" width="12.375" style="47" customWidth="1"/>
    <col min="16028" max="16028" width="13" style="47" customWidth="1"/>
    <col min="16029" max="16029" width="12.375" style="47" customWidth="1"/>
    <col min="16030" max="16030" width="12.25" style="47" customWidth="1"/>
    <col min="16031" max="16031" width="12.125" style="47" customWidth="1"/>
    <col min="16032" max="16032" width="11.625" style="47" customWidth="1"/>
    <col min="16033" max="16033" width="12" style="47" customWidth="1"/>
    <col min="16034" max="16034" width="13" style="47" customWidth="1"/>
    <col min="16035" max="16035" width="11.625" style="47" customWidth="1"/>
    <col min="16036" max="16037" width="12" style="47" customWidth="1"/>
    <col min="16038" max="16040" width="11.625" style="47" customWidth="1"/>
    <col min="16041" max="16041" width="11.125" style="47" customWidth="1"/>
    <col min="16042" max="16042" width="12" style="47" customWidth="1"/>
    <col min="16043" max="16043" width="13" style="47" customWidth="1"/>
    <col min="16044" max="16044" width="13.625" style="47" customWidth="1"/>
    <col min="16045" max="16045" width="11.875" style="47" customWidth="1"/>
    <col min="16046" max="16047" width="11.625" style="47" customWidth="1"/>
    <col min="16048" max="16048" width="12" style="47" customWidth="1"/>
    <col min="16049" max="16049" width="12.75" style="47" customWidth="1"/>
    <col min="16050" max="16050" width="11.625" style="47" customWidth="1"/>
    <col min="16051" max="16051" width="12.125" style="47" customWidth="1"/>
    <col min="16052" max="16053" width="11.625" style="47" customWidth="1"/>
    <col min="16054" max="16054" width="12.5" style="47" customWidth="1"/>
    <col min="16055" max="16228" width="11.625" style="47" customWidth="1"/>
    <col min="16229" max="16384" width="17.75" style="47" customWidth="1"/>
  </cols>
  <sheetData>
    <row r="1" spans="1:212" s="172" customFormat="1" ht="12.75" customHeight="1">
      <c r="A1" s="581" t="s">
        <v>359</v>
      </c>
      <c r="B1" s="582" t="s">
        <v>0</v>
      </c>
      <c r="C1" s="583" t="s">
        <v>1</v>
      </c>
      <c r="D1" s="584" t="s">
        <v>2</v>
      </c>
      <c r="E1" s="585" t="s">
        <v>394</v>
      </c>
      <c r="F1" s="170" t="s">
        <v>1276</v>
      </c>
      <c r="G1" s="171" t="s">
        <v>4</v>
      </c>
      <c r="H1" s="586" t="s">
        <v>396</v>
      </c>
      <c r="I1" s="584" t="s">
        <v>5</v>
      </c>
      <c r="J1" s="588" t="s">
        <v>647</v>
      </c>
      <c r="K1" s="587" t="s">
        <v>360</v>
      </c>
      <c r="L1" s="587" t="s">
        <v>361</v>
      </c>
      <c r="M1" s="587" t="s">
        <v>362</v>
      </c>
      <c r="N1" s="587" t="s">
        <v>363</v>
      </c>
      <c r="O1" s="587" t="s">
        <v>364</v>
      </c>
      <c r="P1" s="587" t="s">
        <v>365</v>
      </c>
      <c r="Q1" s="587" t="s">
        <v>366</v>
      </c>
      <c r="R1" s="587" t="s">
        <v>367</v>
      </c>
      <c r="S1" s="587" t="s">
        <v>368</v>
      </c>
      <c r="T1" s="587" t="s">
        <v>369</v>
      </c>
      <c r="U1" s="587" t="s">
        <v>370</v>
      </c>
      <c r="V1" s="587" t="s">
        <v>371</v>
      </c>
      <c r="W1" s="587" t="s">
        <v>372</v>
      </c>
      <c r="X1" s="587" t="s">
        <v>373</v>
      </c>
      <c r="Y1" s="587" t="s">
        <v>648</v>
      </c>
      <c r="Z1" s="587" t="s">
        <v>649</v>
      </c>
      <c r="AA1" s="587" t="s">
        <v>650</v>
      </c>
      <c r="AB1" s="587" t="s">
        <v>651</v>
      </c>
      <c r="AC1" s="587" t="s">
        <v>374</v>
      </c>
      <c r="AD1" s="587" t="s">
        <v>375</v>
      </c>
      <c r="AE1" s="587" t="s">
        <v>376</v>
      </c>
      <c r="AF1" s="587" t="s">
        <v>377</v>
      </c>
      <c r="AG1" s="587" t="s">
        <v>652</v>
      </c>
      <c r="AH1" s="587" t="s">
        <v>653</v>
      </c>
      <c r="AI1" s="587" t="s">
        <v>654</v>
      </c>
      <c r="AJ1" s="587" t="s">
        <v>655</v>
      </c>
      <c r="AK1" s="587" t="s">
        <v>656</v>
      </c>
      <c r="AL1" s="587" t="s">
        <v>657</v>
      </c>
      <c r="AM1" s="587" t="s">
        <v>658</v>
      </c>
      <c r="AN1" s="587" t="s">
        <v>659</v>
      </c>
      <c r="AO1" s="587" t="s">
        <v>660</v>
      </c>
      <c r="AP1" s="587" t="s">
        <v>661</v>
      </c>
      <c r="AQ1" s="587" t="s">
        <v>662</v>
      </c>
      <c r="AR1" s="587" t="s">
        <v>663</v>
      </c>
      <c r="AS1" s="587" t="s">
        <v>664</v>
      </c>
      <c r="AT1" s="587" t="s">
        <v>665</v>
      </c>
      <c r="AU1" s="587" t="s">
        <v>666</v>
      </c>
      <c r="AV1" s="587" t="s">
        <v>667</v>
      </c>
      <c r="AW1" s="587" t="s">
        <v>668</v>
      </c>
      <c r="AX1" s="587" t="s">
        <v>669</v>
      </c>
      <c r="AY1" s="587" t="s">
        <v>670</v>
      </c>
      <c r="AZ1" s="587" t="s">
        <v>671</v>
      </c>
      <c r="BA1" s="587" t="s">
        <v>672</v>
      </c>
      <c r="BB1" s="587" t="s">
        <v>673</v>
      </c>
      <c r="BC1" s="587" t="s">
        <v>674</v>
      </c>
      <c r="BD1" s="587" t="s">
        <v>675</v>
      </c>
      <c r="BE1" s="587" t="s">
        <v>676</v>
      </c>
      <c r="BF1" s="587" t="s">
        <v>677</v>
      </c>
      <c r="BG1" s="587" t="s">
        <v>678</v>
      </c>
      <c r="BH1" s="587" t="s">
        <v>679</v>
      </c>
      <c r="BI1" s="587" t="s">
        <v>378</v>
      </c>
      <c r="BJ1" s="587" t="s">
        <v>379</v>
      </c>
      <c r="BK1" s="587" t="s">
        <v>380</v>
      </c>
      <c r="BL1" s="587" t="s">
        <v>381</v>
      </c>
      <c r="BM1" s="587" t="s">
        <v>382</v>
      </c>
      <c r="BN1" s="587" t="s">
        <v>383</v>
      </c>
      <c r="BO1" s="587" t="s">
        <v>384</v>
      </c>
      <c r="BP1" s="587" t="s">
        <v>385</v>
      </c>
      <c r="BQ1" s="587" t="s">
        <v>680</v>
      </c>
      <c r="BR1" s="587" t="s">
        <v>681</v>
      </c>
      <c r="BS1" s="587" t="s">
        <v>682</v>
      </c>
      <c r="BT1" s="587" t="s">
        <v>683</v>
      </c>
      <c r="BU1" s="587" t="s">
        <v>386</v>
      </c>
      <c r="BV1" s="587" t="s">
        <v>387</v>
      </c>
      <c r="BW1" s="587" t="s">
        <v>388</v>
      </c>
      <c r="BX1" s="587" t="s">
        <v>389</v>
      </c>
      <c r="BY1" s="587" t="s">
        <v>390</v>
      </c>
      <c r="BZ1" s="587" t="s">
        <v>391</v>
      </c>
      <c r="CA1" s="587" t="s">
        <v>392</v>
      </c>
      <c r="CB1" s="587" t="s">
        <v>393</v>
      </c>
      <c r="CC1" s="587" t="s">
        <v>684</v>
      </c>
      <c r="CD1" s="587" t="s">
        <v>685</v>
      </c>
      <c r="CE1" s="587" t="s">
        <v>686</v>
      </c>
      <c r="CF1" s="587" t="s">
        <v>687</v>
      </c>
      <c r="CG1" s="587" t="s">
        <v>688</v>
      </c>
      <c r="CH1" s="587" t="s">
        <v>689</v>
      </c>
      <c r="CI1" s="587" t="s">
        <v>690</v>
      </c>
      <c r="CJ1" s="587" t="s">
        <v>691</v>
      </c>
      <c r="CK1" s="587" t="s">
        <v>692</v>
      </c>
      <c r="CL1" s="587" t="s">
        <v>693</v>
      </c>
      <c r="CM1" s="587" t="s">
        <v>694</v>
      </c>
      <c r="CN1" s="587" t="s">
        <v>695</v>
      </c>
      <c r="CO1" s="587" t="s">
        <v>696</v>
      </c>
      <c r="CP1" s="589" t="s">
        <v>6</v>
      </c>
    </row>
    <row r="2" spans="1:212" s="30" customFormat="1" ht="11.25">
      <c r="A2" s="581"/>
      <c r="B2" s="582"/>
      <c r="C2" s="583"/>
      <c r="D2" s="584"/>
      <c r="E2" s="585"/>
      <c r="F2" s="31"/>
      <c r="G2" s="44" t="s">
        <v>1275</v>
      </c>
      <c r="H2" s="586"/>
      <c r="I2" s="584"/>
      <c r="J2" s="588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7"/>
      <c r="AB2" s="587"/>
      <c r="AC2" s="587"/>
      <c r="AD2" s="587"/>
      <c r="AE2" s="587"/>
      <c r="AF2" s="587"/>
      <c r="AG2" s="587"/>
      <c r="AH2" s="587"/>
      <c r="AI2" s="587"/>
      <c r="AJ2" s="587"/>
      <c r="AK2" s="587"/>
      <c r="AL2" s="587"/>
      <c r="AM2" s="587"/>
      <c r="AN2" s="587"/>
      <c r="AO2" s="587"/>
      <c r="AP2" s="587"/>
      <c r="AQ2" s="587"/>
      <c r="AR2" s="587"/>
      <c r="AS2" s="587"/>
      <c r="AT2" s="587"/>
      <c r="AU2" s="587"/>
      <c r="AV2" s="587"/>
      <c r="AW2" s="587"/>
      <c r="AX2" s="587"/>
      <c r="AY2" s="587"/>
      <c r="AZ2" s="587"/>
      <c r="BA2" s="587"/>
      <c r="BB2" s="587"/>
      <c r="BC2" s="587"/>
      <c r="BD2" s="587"/>
      <c r="BE2" s="587"/>
      <c r="BF2" s="587"/>
      <c r="BG2" s="587"/>
      <c r="BH2" s="587"/>
      <c r="BI2" s="587"/>
      <c r="BJ2" s="587"/>
      <c r="BK2" s="587"/>
      <c r="BL2" s="587"/>
      <c r="BM2" s="587"/>
      <c r="BN2" s="587"/>
      <c r="BO2" s="587"/>
      <c r="BP2" s="587"/>
      <c r="BQ2" s="587"/>
      <c r="BR2" s="587"/>
      <c r="BS2" s="587"/>
      <c r="BT2" s="587"/>
      <c r="BU2" s="587"/>
      <c r="BV2" s="587"/>
      <c r="BW2" s="587"/>
      <c r="BX2" s="587"/>
      <c r="BY2" s="587"/>
      <c r="BZ2" s="587"/>
      <c r="CA2" s="587"/>
      <c r="CB2" s="587"/>
      <c r="CC2" s="587"/>
      <c r="CD2" s="587"/>
      <c r="CE2" s="587"/>
      <c r="CF2" s="587"/>
      <c r="CG2" s="587"/>
      <c r="CH2" s="587"/>
      <c r="CI2" s="587"/>
      <c r="CJ2" s="587"/>
      <c r="CK2" s="587"/>
      <c r="CL2" s="587"/>
      <c r="CM2" s="587"/>
      <c r="CN2" s="587"/>
      <c r="CO2" s="587"/>
      <c r="CP2" s="589"/>
    </row>
    <row r="3" spans="1:212" s="30" customFormat="1" ht="12">
      <c r="A3" s="595">
        <v>1</v>
      </c>
      <c r="B3" s="596" t="s">
        <v>338</v>
      </c>
      <c r="C3" s="597" t="s">
        <v>1408</v>
      </c>
      <c r="D3" s="598" t="s">
        <v>543</v>
      </c>
      <c r="E3" s="599" t="s">
        <v>544</v>
      </c>
      <c r="F3" s="593">
        <v>9</v>
      </c>
      <c r="G3" s="593">
        <v>5556</v>
      </c>
      <c r="H3" s="594">
        <f>50000*12</f>
        <v>600000</v>
      </c>
      <c r="I3" s="31">
        <f>318800+25200+6000</f>
        <v>350000</v>
      </c>
      <c r="J3" s="32">
        <f>50000*3</f>
        <v>150000</v>
      </c>
      <c r="K3" s="33">
        <f>J3</f>
        <v>150000</v>
      </c>
      <c r="L3" s="34">
        <f>K3</f>
        <v>150000</v>
      </c>
      <c r="M3" s="34">
        <f>L3</f>
        <v>150000</v>
      </c>
      <c r="N3" s="32">
        <f>ROUND(M3*(1+取值表!$D$4)*取值表!$I$4,0)</f>
        <v>128265</v>
      </c>
      <c r="O3" s="34">
        <f>N3</f>
        <v>128265</v>
      </c>
      <c r="P3" s="34">
        <f>O3</f>
        <v>128265</v>
      </c>
      <c r="Q3" s="34">
        <f>P3</f>
        <v>128265</v>
      </c>
      <c r="R3" s="34">
        <f>ROUND(Q3*(1+取值表!$D$4),0)</f>
        <v>129035</v>
      </c>
      <c r="S3" s="34">
        <f t="shared" ref="S3:U3" si="0">R3</f>
        <v>129035</v>
      </c>
      <c r="T3" s="34">
        <f t="shared" si="0"/>
        <v>129035</v>
      </c>
      <c r="U3" s="34">
        <f t="shared" si="0"/>
        <v>129035</v>
      </c>
      <c r="V3" s="34">
        <f>ROUND(U3*(1+取值表!$D$4),0)</f>
        <v>129809</v>
      </c>
      <c r="W3" s="34">
        <f t="shared" ref="W3" si="1">V3</f>
        <v>129809</v>
      </c>
      <c r="X3" s="34">
        <f t="shared" ref="X3" si="2">W3</f>
        <v>129809</v>
      </c>
      <c r="Y3" s="34">
        <f t="shared" ref="Y3" si="3">X3</f>
        <v>129809</v>
      </c>
      <c r="Z3" s="34">
        <f>ROUND(Y3*(1+取值表!$D$4),0)</f>
        <v>130588</v>
      </c>
      <c r="AA3" s="34">
        <f t="shared" ref="AA3" si="4">Z3</f>
        <v>130588</v>
      </c>
      <c r="AB3" s="34">
        <f t="shared" ref="AB3" si="5">AA3</f>
        <v>130588</v>
      </c>
      <c r="AC3" s="34">
        <f t="shared" ref="AC3" si="6">AB3</f>
        <v>130588</v>
      </c>
      <c r="AD3" s="34">
        <f>ROUND(AC3*(1+取值表!$D$4),0)</f>
        <v>131372</v>
      </c>
      <c r="AE3" s="34">
        <f t="shared" ref="AE3" si="7">AD3</f>
        <v>131372</v>
      </c>
      <c r="AF3" s="34">
        <f t="shared" ref="AF3" si="8">AE3</f>
        <v>131372</v>
      </c>
      <c r="AG3" s="34">
        <f t="shared" ref="AG3" si="9">AF3</f>
        <v>131372</v>
      </c>
      <c r="AH3" s="34">
        <f>ROUND(AG3*(1+取值表!$D$4),0)</f>
        <v>132160</v>
      </c>
      <c r="AI3" s="34">
        <f t="shared" ref="AI3" si="10">AH3</f>
        <v>132160</v>
      </c>
      <c r="AJ3" s="34">
        <f t="shared" ref="AJ3" si="11">AI3</f>
        <v>132160</v>
      </c>
      <c r="AK3" s="34">
        <f t="shared" ref="AK3" si="12">AJ3</f>
        <v>132160</v>
      </c>
      <c r="AL3" s="34">
        <f>ROUND(AK3*(1+取值表!$D$4),0)</f>
        <v>132953</v>
      </c>
      <c r="AM3" s="34">
        <f t="shared" ref="AM3" si="13">AL3</f>
        <v>132953</v>
      </c>
      <c r="AN3" s="34">
        <f t="shared" ref="AN3" si="14">AM3</f>
        <v>132953</v>
      </c>
      <c r="AO3" s="34">
        <f t="shared" ref="AO3" si="15">AN3</f>
        <v>132953</v>
      </c>
      <c r="AP3" s="34">
        <f>ROUND(AO3*(1+取值表!$D$4),0)</f>
        <v>133751</v>
      </c>
      <c r="AQ3" s="34">
        <f t="shared" ref="AQ3" si="16">AP3</f>
        <v>133751</v>
      </c>
      <c r="AR3" s="34">
        <f t="shared" ref="AR3" si="17">AQ3</f>
        <v>133751</v>
      </c>
      <c r="AS3" s="34">
        <f t="shared" ref="AS3" si="18">AR3</f>
        <v>133751</v>
      </c>
      <c r="AT3" s="34">
        <f>ROUND(AS3*(1+取值表!$D$4),0)</f>
        <v>134554</v>
      </c>
      <c r="AU3" s="34">
        <f t="shared" ref="AU3" si="19">AT3</f>
        <v>134554</v>
      </c>
      <c r="AV3" s="34">
        <f t="shared" ref="AV3" si="20">AU3</f>
        <v>134554</v>
      </c>
      <c r="AW3" s="34">
        <f t="shared" ref="AW3" si="21">AV3</f>
        <v>134554</v>
      </c>
      <c r="AX3" s="34">
        <f>ROUND(AW3*(1+取值表!$D$4),0)</f>
        <v>135361</v>
      </c>
      <c r="AY3" s="34">
        <f t="shared" ref="AY3" si="22">AX3</f>
        <v>135361</v>
      </c>
      <c r="AZ3" s="34">
        <f t="shared" ref="AZ3" si="23">AY3</f>
        <v>135361</v>
      </c>
      <c r="BA3" s="34">
        <f t="shared" ref="BA3" si="24">AZ3</f>
        <v>135361</v>
      </c>
      <c r="BB3" s="34">
        <f>ROUND(BA3*(1+取值表!$D$4),0)</f>
        <v>136173</v>
      </c>
      <c r="BC3" s="34">
        <f t="shared" ref="BC3" si="25">BB3</f>
        <v>136173</v>
      </c>
      <c r="BD3" s="34">
        <f t="shared" ref="BD3" si="26">BC3</f>
        <v>136173</v>
      </c>
      <c r="BE3" s="34">
        <f t="shared" ref="BE3" si="27">BD3</f>
        <v>136173</v>
      </c>
      <c r="BF3" s="34">
        <f>ROUND(BE3*(1+取值表!$D$4),0)</f>
        <v>136990</v>
      </c>
      <c r="BG3" s="34">
        <f t="shared" ref="BG3" si="28">BF3</f>
        <v>136990</v>
      </c>
      <c r="BH3" s="34">
        <f t="shared" ref="BH3" si="29">BG3</f>
        <v>136990</v>
      </c>
      <c r="BI3" s="34">
        <f t="shared" ref="BI3" si="30">BH3</f>
        <v>136990</v>
      </c>
      <c r="BJ3" s="34">
        <f>ROUND(BI3*(1+取值表!$D$4),0)</f>
        <v>137812</v>
      </c>
      <c r="BK3" s="34">
        <f t="shared" ref="BK3" si="31">BJ3</f>
        <v>137812</v>
      </c>
      <c r="BL3" s="34">
        <f t="shared" ref="BL3" si="32">BK3</f>
        <v>137812</v>
      </c>
      <c r="BM3" s="34">
        <f t="shared" ref="BM3" si="33">BL3</f>
        <v>137812</v>
      </c>
      <c r="BN3" s="34">
        <f>ROUND(BM3*(1+取值表!$D$4),0)</f>
        <v>138639</v>
      </c>
      <c r="BO3" s="34">
        <f t="shared" ref="BO3" si="34">BN3</f>
        <v>138639</v>
      </c>
      <c r="BP3" s="34">
        <f t="shared" ref="BP3" si="35">BO3</f>
        <v>138639</v>
      </c>
      <c r="BQ3" s="34">
        <f t="shared" ref="BQ3" si="36">BP3</f>
        <v>138639</v>
      </c>
      <c r="BR3" s="34">
        <f>ROUND(BQ3*(1+取值表!$D$4),0)</f>
        <v>139471</v>
      </c>
      <c r="BS3" s="34">
        <f t="shared" ref="BS3" si="37">BR3</f>
        <v>139471</v>
      </c>
      <c r="BT3" s="34">
        <f t="shared" ref="BT3" si="38">BS3</f>
        <v>139471</v>
      </c>
      <c r="BU3" s="34">
        <f t="shared" ref="BU3" si="39">BT3</f>
        <v>139471</v>
      </c>
      <c r="BV3" s="34">
        <f>ROUND(BU3*(1+取值表!$D$4),0)</f>
        <v>140308</v>
      </c>
      <c r="BW3" s="34">
        <f t="shared" ref="BW3" si="40">BV3</f>
        <v>140308</v>
      </c>
      <c r="BX3" s="34">
        <f t="shared" ref="BX3" si="41">BW3</f>
        <v>140308</v>
      </c>
      <c r="BY3" s="34">
        <f t="shared" ref="BY3" si="42">BX3</f>
        <v>140308</v>
      </c>
      <c r="BZ3" s="34">
        <f>ROUND(BY3*(1+取值表!$D$4),0)</f>
        <v>141150</v>
      </c>
      <c r="CA3" s="34">
        <f t="shared" ref="CA3" si="43">BZ3</f>
        <v>141150</v>
      </c>
      <c r="CB3" s="34">
        <f t="shared" ref="CB3" si="44">CA3</f>
        <v>141150</v>
      </c>
      <c r="CC3" s="34">
        <f t="shared" ref="CC3" si="45">CB3</f>
        <v>141150</v>
      </c>
      <c r="CD3" s="34">
        <f>ROUND(CC3*(1+取值表!$D$4),0)</f>
        <v>141997</v>
      </c>
      <c r="CE3" s="34">
        <f t="shared" ref="CE3" si="46">CD3</f>
        <v>141997</v>
      </c>
      <c r="CF3" s="34">
        <f t="shared" ref="CF3" si="47">CE3</f>
        <v>141997</v>
      </c>
      <c r="CG3" s="34">
        <f t="shared" ref="CG3" si="48">CF3</f>
        <v>141997</v>
      </c>
      <c r="CH3" s="34">
        <f>ROUND(CG3*(1+取值表!$D$4),0)</f>
        <v>142849</v>
      </c>
      <c r="CI3" s="34">
        <f t="shared" ref="CI3" si="49">CH3</f>
        <v>142849</v>
      </c>
      <c r="CJ3" s="34">
        <f t="shared" ref="CJ3" si="50">CI3</f>
        <v>142849</v>
      </c>
      <c r="CK3" s="34">
        <f t="shared" ref="CK3" si="51">CJ3</f>
        <v>142849</v>
      </c>
      <c r="CL3" s="34">
        <f>ROUND(CK3*(1+取值表!$D$4),0)</f>
        <v>143706</v>
      </c>
      <c r="CM3" s="34">
        <f t="shared" ref="CM3" si="52">CL3</f>
        <v>143706</v>
      </c>
      <c r="CN3" s="34">
        <f t="shared" ref="CN3" si="53">CM3</f>
        <v>143706</v>
      </c>
      <c r="CO3" s="34">
        <f t="shared" ref="CO3" si="54">CN3</f>
        <v>143706</v>
      </c>
      <c r="CP3" s="35">
        <f>SUM(J3:CO3)</f>
        <v>11467772</v>
      </c>
    </row>
    <row r="4" spans="1:212" s="30" customFormat="1" ht="12">
      <c r="A4" s="595"/>
      <c r="B4" s="596"/>
      <c r="C4" s="597"/>
      <c r="D4" s="598"/>
      <c r="E4" s="599"/>
      <c r="F4" s="593"/>
      <c r="G4" s="593"/>
      <c r="H4" s="594"/>
      <c r="I4" s="31"/>
      <c r="J4" s="32"/>
      <c r="K4" s="34"/>
      <c r="L4" s="34"/>
      <c r="M4" s="34"/>
      <c r="N4" s="32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5">
        <f>SUM(J4:CO4)</f>
        <v>0</v>
      </c>
    </row>
    <row r="5" spans="1:212" s="41" customFormat="1" ht="12">
      <c r="A5" s="603">
        <v>2</v>
      </c>
      <c r="B5" s="604" t="s">
        <v>571</v>
      </c>
      <c r="C5" s="605" t="s">
        <v>1409</v>
      </c>
      <c r="D5" s="606" t="s">
        <v>704</v>
      </c>
      <c r="E5" s="607" t="s">
        <v>544</v>
      </c>
      <c r="F5" s="600">
        <v>2</v>
      </c>
      <c r="G5" s="600">
        <v>4300</v>
      </c>
      <c r="H5" s="601">
        <f>8600*12</f>
        <v>103200</v>
      </c>
      <c r="I5" s="31">
        <v>48000</v>
      </c>
      <c r="J5" s="33">
        <f>8600*3</f>
        <v>25800</v>
      </c>
      <c r="K5" s="32">
        <f>J5</f>
        <v>25800</v>
      </c>
      <c r="L5" s="32">
        <f>K5</f>
        <v>25800</v>
      </c>
      <c r="M5" s="32">
        <f>L5</f>
        <v>25800</v>
      </c>
      <c r="N5" s="32">
        <f>ROUND(M5*(1+取值表!$D$4)*取值表!$I$4,0)</f>
        <v>22062</v>
      </c>
      <c r="O5" s="32">
        <f>N5</f>
        <v>22062</v>
      </c>
      <c r="P5" s="32">
        <f>O5</f>
        <v>22062</v>
      </c>
      <c r="Q5" s="32">
        <f>P5</f>
        <v>22062</v>
      </c>
      <c r="R5" s="34">
        <f>ROUND(Q5*(1+取值表!$D$4),0)</f>
        <v>22194</v>
      </c>
      <c r="S5" s="32">
        <f t="shared" ref="S5:U5" si="55">R5</f>
        <v>22194</v>
      </c>
      <c r="T5" s="32">
        <f t="shared" si="55"/>
        <v>22194</v>
      </c>
      <c r="U5" s="32">
        <f t="shared" si="55"/>
        <v>22194</v>
      </c>
      <c r="V5" s="34">
        <f>ROUND(U5*(1+取值表!$D$4),0)</f>
        <v>22327</v>
      </c>
      <c r="W5" s="32">
        <f t="shared" ref="W5" si="56">V5</f>
        <v>22327</v>
      </c>
      <c r="X5" s="32">
        <f t="shared" ref="X5" si="57">W5</f>
        <v>22327</v>
      </c>
      <c r="Y5" s="32">
        <f t="shared" ref="Y5" si="58">X5</f>
        <v>22327</v>
      </c>
      <c r="Z5" s="34">
        <f>ROUND(Y5*(1+取值表!$D$4),0)</f>
        <v>22461</v>
      </c>
      <c r="AA5" s="32">
        <f t="shared" ref="AA5" si="59">Z5</f>
        <v>22461</v>
      </c>
      <c r="AB5" s="32">
        <f t="shared" ref="AB5" si="60">AA5</f>
        <v>22461</v>
      </c>
      <c r="AC5" s="32">
        <f t="shared" ref="AC5" si="61">AB5</f>
        <v>22461</v>
      </c>
      <c r="AD5" s="34">
        <f>ROUND(AC5*(1+取值表!$D$4),0)</f>
        <v>22596</v>
      </c>
      <c r="AE5" s="32">
        <f t="shared" ref="AE5" si="62">AD5</f>
        <v>22596</v>
      </c>
      <c r="AF5" s="32">
        <f t="shared" ref="AF5" si="63">AE5</f>
        <v>22596</v>
      </c>
      <c r="AG5" s="32">
        <f t="shared" ref="AG5" si="64">AF5</f>
        <v>22596</v>
      </c>
      <c r="AH5" s="34">
        <f>ROUND(AG5*(1+取值表!$D$4),0)</f>
        <v>22732</v>
      </c>
      <c r="AI5" s="32">
        <f t="shared" ref="AI5" si="65">AH5</f>
        <v>22732</v>
      </c>
      <c r="AJ5" s="32">
        <f t="shared" ref="AJ5" si="66">AI5</f>
        <v>22732</v>
      </c>
      <c r="AK5" s="32">
        <f t="shared" ref="AK5" si="67">AJ5</f>
        <v>22732</v>
      </c>
      <c r="AL5" s="34">
        <f>ROUND(AK5*(1+取值表!$D$4),0)</f>
        <v>22868</v>
      </c>
      <c r="AM5" s="32">
        <f t="shared" ref="AM5" si="68">AL5</f>
        <v>22868</v>
      </c>
      <c r="AN5" s="32">
        <f t="shared" ref="AN5" si="69">AM5</f>
        <v>22868</v>
      </c>
      <c r="AO5" s="32">
        <f t="shared" ref="AO5" si="70">AN5</f>
        <v>22868</v>
      </c>
      <c r="AP5" s="34">
        <f>ROUND(AO5*(1+取值表!$D$4),0)</f>
        <v>23005</v>
      </c>
      <c r="AQ5" s="32">
        <f t="shared" ref="AQ5" si="71">AP5</f>
        <v>23005</v>
      </c>
      <c r="AR5" s="32">
        <f t="shared" ref="AR5" si="72">AQ5</f>
        <v>23005</v>
      </c>
      <c r="AS5" s="32">
        <f t="shared" ref="AS5" si="73">AR5</f>
        <v>23005</v>
      </c>
      <c r="AT5" s="34">
        <f>ROUND(AS5*(1+取值表!$D$4),0)</f>
        <v>23143</v>
      </c>
      <c r="AU5" s="32">
        <f t="shared" ref="AU5" si="74">AT5</f>
        <v>23143</v>
      </c>
      <c r="AV5" s="32">
        <f t="shared" ref="AV5" si="75">AU5</f>
        <v>23143</v>
      </c>
      <c r="AW5" s="32">
        <f t="shared" ref="AW5" si="76">AV5</f>
        <v>23143</v>
      </c>
      <c r="AX5" s="34">
        <f>ROUND(AW5*(1+取值表!$D$4),0)</f>
        <v>23282</v>
      </c>
      <c r="AY5" s="32">
        <f t="shared" ref="AY5" si="77">AX5</f>
        <v>23282</v>
      </c>
      <c r="AZ5" s="32">
        <f t="shared" ref="AZ5" si="78">AY5</f>
        <v>23282</v>
      </c>
      <c r="BA5" s="32">
        <f t="shared" ref="BA5" si="79">AZ5</f>
        <v>23282</v>
      </c>
      <c r="BB5" s="34">
        <f>ROUND(BA5*(1+取值表!$D$4),0)</f>
        <v>23422</v>
      </c>
      <c r="BC5" s="32">
        <f t="shared" ref="BC5" si="80">BB5</f>
        <v>23422</v>
      </c>
      <c r="BD5" s="32">
        <f t="shared" ref="BD5" si="81">BC5</f>
        <v>23422</v>
      </c>
      <c r="BE5" s="32">
        <f t="shared" ref="BE5" si="82">BD5</f>
        <v>23422</v>
      </c>
      <c r="BF5" s="34">
        <f>ROUND(BE5*(1+取值表!$D$4),0)</f>
        <v>23563</v>
      </c>
      <c r="BG5" s="32">
        <f t="shared" ref="BG5" si="83">BF5</f>
        <v>23563</v>
      </c>
      <c r="BH5" s="32">
        <f t="shared" ref="BH5" si="84">BG5</f>
        <v>23563</v>
      </c>
      <c r="BI5" s="32">
        <f t="shared" ref="BI5" si="85">BH5</f>
        <v>23563</v>
      </c>
      <c r="BJ5" s="34">
        <f>ROUND(BI5*(1+取值表!$D$4),0)</f>
        <v>23704</v>
      </c>
      <c r="BK5" s="32">
        <f t="shared" ref="BK5" si="86">BJ5</f>
        <v>23704</v>
      </c>
      <c r="BL5" s="32">
        <f t="shared" ref="BL5" si="87">BK5</f>
        <v>23704</v>
      </c>
      <c r="BM5" s="32">
        <f t="shared" ref="BM5" si="88">BL5</f>
        <v>23704</v>
      </c>
      <c r="BN5" s="34">
        <f>ROUND(BM5*(1+取值表!$D$4),0)</f>
        <v>23846</v>
      </c>
      <c r="BO5" s="32">
        <f t="shared" ref="BO5" si="89">BN5</f>
        <v>23846</v>
      </c>
      <c r="BP5" s="32">
        <f t="shared" ref="BP5" si="90">BO5</f>
        <v>23846</v>
      </c>
      <c r="BQ5" s="32">
        <f t="shared" ref="BQ5" si="91">BP5</f>
        <v>23846</v>
      </c>
      <c r="BR5" s="34">
        <f>ROUND(BQ5*(1+取值表!$D$4),0)</f>
        <v>23989</v>
      </c>
      <c r="BS5" s="32">
        <f t="shared" ref="BS5" si="92">BR5</f>
        <v>23989</v>
      </c>
      <c r="BT5" s="32">
        <f t="shared" ref="BT5" si="93">BS5</f>
        <v>23989</v>
      </c>
      <c r="BU5" s="32">
        <f t="shared" ref="BU5" si="94">BT5</f>
        <v>23989</v>
      </c>
      <c r="BV5" s="34">
        <f>ROUND(BU5*(1+取值表!$D$4),0)</f>
        <v>24133</v>
      </c>
      <c r="BW5" s="32">
        <f t="shared" ref="BW5" si="95">BV5</f>
        <v>24133</v>
      </c>
      <c r="BX5" s="32">
        <f t="shared" ref="BX5" si="96">BW5</f>
        <v>24133</v>
      </c>
      <c r="BY5" s="32">
        <f t="shared" ref="BY5" si="97">BX5</f>
        <v>24133</v>
      </c>
      <c r="BZ5" s="34">
        <f>ROUND(BY5*(1+取值表!$D$4),0)</f>
        <v>24278</v>
      </c>
      <c r="CA5" s="32">
        <f t="shared" ref="CA5" si="98">BZ5</f>
        <v>24278</v>
      </c>
      <c r="CB5" s="32">
        <f t="shared" ref="CB5" si="99">CA5</f>
        <v>24278</v>
      </c>
      <c r="CC5" s="32">
        <f t="shared" ref="CC5" si="100">CB5</f>
        <v>24278</v>
      </c>
      <c r="CD5" s="34">
        <f>ROUND(CC5*(1+取值表!$D$4),0)</f>
        <v>24424</v>
      </c>
      <c r="CE5" s="32">
        <f t="shared" ref="CE5" si="101">CD5</f>
        <v>24424</v>
      </c>
      <c r="CF5" s="32">
        <f t="shared" ref="CF5" si="102">CE5</f>
        <v>24424</v>
      </c>
      <c r="CG5" s="32">
        <f t="shared" ref="CG5" si="103">CF5</f>
        <v>24424</v>
      </c>
      <c r="CH5" s="34">
        <f>ROUND(CG5*(1+取值表!$D$4),0)</f>
        <v>24571</v>
      </c>
      <c r="CI5" s="32">
        <f t="shared" ref="CI5" si="104">CH5</f>
        <v>24571</v>
      </c>
      <c r="CJ5" s="32">
        <f t="shared" ref="CJ5" si="105">CI5</f>
        <v>24571</v>
      </c>
      <c r="CK5" s="32">
        <f>CJ5</f>
        <v>24571</v>
      </c>
      <c r="CL5" s="34">
        <f>ROUND(CK5*(1+取值表!$D$4),0)</f>
        <v>24718</v>
      </c>
      <c r="CM5" s="32">
        <f t="shared" ref="CM5" si="106">CL5</f>
        <v>24718</v>
      </c>
      <c r="CN5" s="32">
        <f t="shared" ref="CN5" si="107">CM5</f>
        <v>24718</v>
      </c>
      <c r="CO5" s="32">
        <f t="shared" ref="CO5" si="108">CN5</f>
        <v>24718</v>
      </c>
      <c r="CP5" s="35">
        <f>SUM(J5:CO5)</f>
        <v>1972472</v>
      </c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7">
        <f>SUM(J5:GZ5)</f>
        <v>3944944</v>
      </c>
      <c r="HB5" s="38"/>
      <c r="HC5" s="39"/>
      <c r="HD5" s="40">
        <v>877676.66666666698</v>
      </c>
    </row>
    <row r="6" spans="1:212" s="41" customFormat="1" ht="12">
      <c r="A6" s="603"/>
      <c r="B6" s="604"/>
      <c r="C6" s="605"/>
      <c r="D6" s="606"/>
      <c r="E6" s="607"/>
      <c r="F6" s="600"/>
      <c r="G6" s="600"/>
      <c r="H6" s="601"/>
      <c r="I6" s="31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5">
        <f>SUM(J6:CO6)</f>
        <v>0</v>
      </c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42">
        <f>SUM(J6:GZ6)</f>
        <v>0</v>
      </c>
      <c r="HB6" s="38"/>
      <c r="HC6" s="39"/>
      <c r="HD6" s="40">
        <v>621676.67000000004</v>
      </c>
    </row>
    <row r="7" spans="1:212" s="41" customFormat="1" ht="12">
      <c r="A7" s="216"/>
      <c r="B7" s="217"/>
      <c r="C7" s="218"/>
      <c r="D7" s="219"/>
      <c r="E7" s="220"/>
      <c r="F7" s="214"/>
      <c r="G7" s="229"/>
      <c r="H7" s="215"/>
      <c r="I7" s="213"/>
      <c r="J7" s="32"/>
      <c r="K7" s="32"/>
      <c r="L7" s="32"/>
      <c r="M7" s="32"/>
      <c r="N7" s="34"/>
      <c r="O7" s="32"/>
      <c r="P7" s="32"/>
      <c r="Q7" s="32"/>
      <c r="R7" s="34"/>
      <c r="S7" s="32"/>
      <c r="T7" s="32"/>
      <c r="U7" s="32"/>
      <c r="V7" s="34"/>
      <c r="W7" s="32"/>
      <c r="X7" s="32"/>
      <c r="Y7" s="32"/>
      <c r="Z7" s="34"/>
      <c r="AA7" s="32"/>
      <c r="AB7" s="32"/>
      <c r="AC7" s="32"/>
      <c r="AD7" s="34"/>
      <c r="AE7" s="32"/>
      <c r="AF7" s="32"/>
      <c r="AG7" s="32"/>
      <c r="AH7" s="34"/>
      <c r="AI7" s="32"/>
      <c r="AJ7" s="32"/>
      <c r="AK7" s="32"/>
      <c r="AL7" s="34"/>
      <c r="AM7" s="32"/>
      <c r="AN7" s="32"/>
      <c r="AO7" s="32"/>
      <c r="AP7" s="34"/>
      <c r="AQ7" s="32"/>
      <c r="AR7" s="32"/>
      <c r="AS7" s="32"/>
      <c r="AT7" s="34"/>
      <c r="AU7" s="32"/>
      <c r="AV7" s="32"/>
      <c r="AW7" s="32"/>
      <c r="AX7" s="34"/>
      <c r="AY7" s="32"/>
      <c r="AZ7" s="32"/>
      <c r="BA7" s="32"/>
      <c r="BB7" s="34"/>
      <c r="BC7" s="32"/>
      <c r="BD7" s="32"/>
      <c r="BE7" s="32"/>
      <c r="BF7" s="34"/>
      <c r="BG7" s="32"/>
      <c r="BH7" s="32"/>
      <c r="BI7" s="32"/>
      <c r="BJ7" s="34"/>
      <c r="BK7" s="32"/>
      <c r="BL7" s="32"/>
      <c r="BM7" s="32"/>
      <c r="BN7" s="34"/>
      <c r="BO7" s="32"/>
      <c r="BP7" s="32"/>
      <c r="BQ7" s="32"/>
      <c r="BR7" s="34"/>
      <c r="BS7" s="32"/>
      <c r="BT7" s="32"/>
      <c r="BU7" s="32"/>
      <c r="BV7" s="34"/>
      <c r="BW7" s="32"/>
      <c r="BX7" s="32"/>
      <c r="BY7" s="32"/>
      <c r="BZ7" s="34"/>
      <c r="CA7" s="32"/>
      <c r="CB7" s="32"/>
      <c r="CC7" s="32"/>
      <c r="CD7" s="34"/>
      <c r="CE7" s="32"/>
      <c r="CF7" s="32"/>
      <c r="CG7" s="32"/>
      <c r="CH7" s="34"/>
      <c r="CI7" s="32"/>
      <c r="CJ7" s="32"/>
      <c r="CK7" s="32"/>
      <c r="CL7" s="34"/>
      <c r="CM7" s="32"/>
      <c r="CN7" s="32"/>
      <c r="CO7" s="32"/>
      <c r="CP7" s="35"/>
      <c r="CQ7" s="183"/>
      <c r="CR7" s="183"/>
      <c r="CS7" s="183"/>
      <c r="CT7" s="183"/>
      <c r="CU7" s="183"/>
      <c r="CV7" s="183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3"/>
      <c r="DJ7" s="183"/>
      <c r="DK7" s="183"/>
      <c r="DL7" s="183"/>
      <c r="DM7" s="183"/>
      <c r="DN7" s="183"/>
      <c r="DO7" s="183"/>
      <c r="DP7" s="183"/>
      <c r="DQ7" s="183"/>
      <c r="DR7" s="183"/>
      <c r="DS7" s="183"/>
      <c r="DT7" s="183"/>
      <c r="DU7" s="183"/>
      <c r="DV7" s="183"/>
      <c r="DW7" s="183"/>
      <c r="DX7" s="183"/>
      <c r="DY7" s="183"/>
      <c r="DZ7" s="183"/>
      <c r="EA7" s="183"/>
      <c r="EB7" s="183"/>
      <c r="EC7" s="183"/>
      <c r="ED7" s="183"/>
      <c r="EE7" s="183"/>
      <c r="EF7" s="183"/>
      <c r="EG7" s="183"/>
      <c r="EH7" s="183"/>
      <c r="EI7" s="183"/>
      <c r="EJ7" s="183"/>
      <c r="EK7" s="183"/>
      <c r="EL7" s="183"/>
      <c r="EM7" s="183"/>
      <c r="EN7" s="183"/>
      <c r="EO7" s="183"/>
      <c r="EP7" s="183"/>
      <c r="EQ7" s="183"/>
      <c r="ER7" s="183"/>
      <c r="ES7" s="183"/>
      <c r="ET7" s="183"/>
      <c r="EU7" s="183"/>
      <c r="EV7" s="183"/>
      <c r="EW7" s="183"/>
      <c r="EX7" s="183"/>
      <c r="EY7" s="183"/>
      <c r="EZ7" s="183"/>
      <c r="FA7" s="183"/>
      <c r="FB7" s="183"/>
      <c r="FC7" s="183"/>
      <c r="FD7" s="183"/>
      <c r="FE7" s="183"/>
      <c r="FF7" s="183"/>
      <c r="FG7" s="183"/>
      <c r="FH7" s="183"/>
      <c r="FI7" s="183"/>
      <c r="FJ7" s="183"/>
      <c r="FK7" s="183"/>
      <c r="FL7" s="183"/>
      <c r="FM7" s="183"/>
      <c r="FN7" s="183"/>
      <c r="FO7" s="183"/>
      <c r="FP7" s="183"/>
      <c r="FQ7" s="183"/>
      <c r="FR7" s="183"/>
      <c r="FS7" s="183"/>
      <c r="FT7" s="183"/>
      <c r="FU7" s="183"/>
      <c r="FV7" s="183"/>
      <c r="FW7" s="183"/>
      <c r="FX7" s="183"/>
      <c r="FY7" s="183"/>
      <c r="FZ7" s="183"/>
      <c r="GA7" s="183"/>
      <c r="GB7" s="183"/>
      <c r="GC7" s="183"/>
      <c r="GD7" s="183"/>
      <c r="GE7" s="183"/>
      <c r="GF7" s="183"/>
      <c r="GG7" s="183"/>
      <c r="GH7" s="183"/>
      <c r="GI7" s="183"/>
      <c r="GJ7" s="183"/>
      <c r="GK7" s="183"/>
      <c r="GL7" s="183"/>
      <c r="GM7" s="183"/>
      <c r="GN7" s="183"/>
      <c r="GO7" s="183"/>
      <c r="GP7" s="183"/>
      <c r="GQ7" s="183"/>
      <c r="GR7" s="183"/>
      <c r="GS7" s="183"/>
      <c r="GT7" s="183"/>
      <c r="GU7" s="183"/>
      <c r="GV7" s="183"/>
      <c r="GW7" s="183"/>
      <c r="GX7" s="183"/>
      <c r="GY7" s="183"/>
      <c r="GZ7" s="183"/>
      <c r="HA7" s="225"/>
      <c r="HB7" s="40"/>
      <c r="HC7" s="40"/>
      <c r="HD7" s="40"/>
    </row>
    <row r="8" spans="1:212" ht="21" customHeight="1">
      <c r="A8" s="595" t="s">
        <v>605</v>
      </c>
      <c r="B8" s="595"/>
      <c r="C8" s="595"/>
      <c r="D8" s="595"/>
      <c r="E8" s="43"/>
      <c r="F8" s="31">
        <f>F3+F5+F7</f>
        <v>11</v>
      </c>
      <c r="G8" s="44"/>
      <c r="H8" s="45">
        <f>SUM(H3:H7)</f>
        <v>703200</v>
      </c>
      <c r="I8" s="31">
        <f>SUM(I3:I7)</f>
        <v>398000</v>
      </c>
      <c r="J8" s="31">
        <f>SUM(J3:J7)</f>
        <v>175800</v>
      </c>
      <c r="K8" s="223">
        <f>SUM(K3:K7)</f>
        <v>175800</v>
      </c>
      <c r="L8" s="223">
        <f>SUM(L3:L7)</f>
        <v>175800</v>
      </c>
      <c r="M8" s="223">
        <f t="shared" ref="M8:BV8" si="109">SUM(M3:M7)</f>
        <v>175800</v>
      </c>
      <c r="N8" s="223">
        <f t="shared" si="109"/>
        <v>150327</v>
      </c>
      <c r="O8" s="223">
        <f t="shared" si="109"/>
        <v>150327</v>
      </c>
      <c r="P8" s="223">
        <f t="shared" si="109"/>
        <v>150327</v>
      </c>
      <c r="Q8" s="223">
        <f t="shared" si="109"/>
        <v>150327</v>
      </c>
      <c r="R8" s="223">
        <f t="shared" si="109"/>
        <v>151229</v>
      </c>
      <c r="S8" s="223">
        <f t="shared" si="109"/>
        <v>151229</v>
      </c>
      <c r="T8" s="223">
        <f t="shared" si="109"/>
        <v>151229</v>
      </c>
      <c r="U8" s="223">
        <f t="shared" si="109"/>
        <v>151229</v>
      </c>
      <c r="V8" s="223">
        <f t="shared" si="109"/>
        <v>152136</v>
      </c>
      <c r="W8" s="223">
        <f t="shared" si="109"/>
        <v>152136</v>
      </c>
      <c r="X8" s="223">
        <f t="shared" si="109"/>
        <v>152136</v>
      </c>
      <c r="Y8" s="223">
        <f t="shared" si="109"/>
        <v>152136</v>
      </c>
      <c r="Z8" s="223">
        <f t="shared" si="109"/>
        <v>153049</v>
      </c>
      <c r="AA8" s="223">
        <f t="shared" si="109"/>
        <v>153049</v>
      </c>
      <c r="AB8" s="223">
        <f t="shared" si="109"/>
        <v>153049</v>
      </c>
      <c r="AC8" s="223">
        <f t="shared" si="109"/>
        <v>153049</v>
      </c>
      <c r="AD8" s="223">
        <f t="shared" si="109"/>
        <v>153968</v>
      </c>
      <c r="AE8" s="223">
        <f t="shared" si="109"/>
        <v>153968</v>
      </c>
      <c r="AF8" s="223">
        <f t="shared" si="109"/>
        <v>153968</v>
      </c>
      <c r="AG8" s="223">
        <f t="shared" si="109"/>
        <v>153968</v>
      </c>
      <c r="AH8" s="223">
        <f t="shared" si="109"/>
        <v>154892</v>
      </c>
      <c r="AI8" s="223">
        <f t="shared" si="109"/>
        <v>154892</v>
      </c>
      <c r="AJ8" s="223">
        <f t="shared" si="109"/>
        <v>154892</v>
      </c>
      <c r="AK8" s="223">
        <f t="shared" si="109"/>
        <v>154892</v>
      </c>
      <c r="AL8" s="223">
        <f t="shared" si="109"/>
        <v>155821</v>
      </c>
      <c r="AM8" s="223">
        <f t="shared" si="109"/>
        <v>155821</v>
      </c>
      <c r="AN8" s="223">
        <f t="shared" si="109"/>
        <v>155821</v>
      </c>
      <c r="AO8" s="223">
        <f t="shared" si="109"/>
        <v>155821</v>
      </c>
      <c r="AP8" s="223">
        <f t="shared" si="109"/>
        <v>156756</v>
      </c>
      <c r="AQ8" s="223">
        <f t="shared" si="109"/>
        <v>156756</v>
      </c>
      <c r="AR8" s="223">
        <f t="shared" si="109"/>
        <v>156756</v>
      </c>
      <c r="AS8" s="223">
        <f t="shared" si="109"/>
        <v>156756</v>
      </c>
      <c r="AT8" s="223">
        <f t="shared" si="109"/>
        <v>157697</v>
      </c>
      <c r="AU8" s="223">
        <f t="shared" si="109"/>
        <v>157697</v>
      </c>
      <c r="AV8" s="223">
        <f t="shared" si="109"/>
        <v>157697</v>
      </c>
      <c r="AW8" s="223">
        <f t="shared" si="109"/>
        <v>157697</v>
      </c>
      <c r="AX8" s="223">
        <f t="shared" si="109"/>
        <v>158643</v>
      </c>
      <c r="AY8" s="223">
        <f t="shared" si="109"/>
        <v>158643</v>
      </c>
      <c r="AZ8" s="223">
        <f t="shared" si="109"/>
        <v>158643</v>
      </c>
      <c r="BA8" s="223">
        <f t="shared" si="109"/>
        <v>158643</v>
      </c>
      <c r="BB8" s="223">
        <f t="shared" si="109"/>
        <v>159595</v>
      </c>
      <c r="BC8" s="223">
        <f t="shared" si="109"/>
        <v>159595</v>
      </c>
      <c r="BD8" s="223">
        <f t="shared" si="109"/>
        <v>159595</v>
      </c>
      <c r="BE8" s="223">
        <f t="shared" si="109"/>
        <v>159595</v>
      </c>
      <c r="BF8" s="223">
        <f t="shared" si="109"/>
        <v>160553</v>
      </c>
      <c r="BG8" s="223">
        <f t="shared" si="109"/>
        <v>160553</v>
      </c>
      <c r="BH8" s="223">
        <f t="shared" si="109"/>
        <v>160553</v>
      </c>
      <c r="BI8" s="223">
        <f t="shared" si="109"/>
        <v>160553</v>
      </c>
      <c r="BJ8" s="223">
        <f t="shared" si="109"/>
        <v>161516</v>
      </c>
      <c r="BK8" s="223">
        <f t="shared" si="109"/>
        <v>161516</v>
      </c>
      <c r="BL8" s="223">
        <f t="shared" si="109"/>
        <v>161516</v>
      </c>
      <c r="BM8" s="223">
        <f t="shared" si="109"/>
        <v>161516</v>
      </c>
      <c r="BN8" s="223">
        <f t="shared" si="109"/>
        <v>162485</v>
      </c>
      <c r="BO8" s="223">
        <f t="shared" si="109"/>
        <v>162485</v>
      </c>
      <c r="BP8" s="223">
        <f t="shared" si="109"/>
        <v>162485</v>
      </c>
      <c r="BQ8" s="223">
        <f t="shared" si="109"/>
        <v>162485</v>
      </c>
      <c r="BR8" s="223">
        <f t="shared" si="109"/>
        <v>163460</v>
      </c>
      <c r="BS8" s="223">
        <f t="shared" si="109"/>
        <v>163460</v>
      </c>
      <c r="BT8" s="223">
        <f t="shared" si="109"/>
        <v>163460</v>
      </c>
      <c r="BU8" s="223">
        <f t="shared" si="109"/>
        <v>163460</v>
      </c>
      <c r="BV8" s="223">
        <f t="shared" si="109"/>
        <v>164441</v>
      </c>
      <c r="BW8" s="223">
        <f t="shared" ref="BW8:CO8" si="110">SUM(BW3:BW7)</f>
        <v>164441</v>
      </c>
      <c r="BX8" s="223">
        <f t="shared" si="110"/>
        <v>164441</v>
      </c>
      <c r="BY8" s="223">
        <f t="shared" si="110"/>
        <v>164441</v>
      </c>
      <c r="BZ8" s="223">
        <f t="shared" si="110"/>
        <v>165428</v>
      </c>
      <c r="CA8" s="223">
        <f t="shared" si="110"/>
        <v>165428</v>
      </c>
      <c r="CB8" s="223">
        <f t="shared" si="110"/>
        <v>165428</v>
      </c>
      <c r="CC8" s="223">
        <f t="shared" si="110"/>
        <v>165428</v>
      </c>
      <c r="CD8" s="223">
        <f t="shared" si="110"/>
        <v>166421</v>
      </c>
      <c r="CE8" s="223">
        <f t="shared" si="110"/>
        <v>166421</v>
      </c>
      <c r="CF8" s="223">
        <f t="shared" si="110"/>
        <v>166421</v>
      </c>
      <c r="CG8" s="223">
        <f t="shared" si="110"/>
        <v>166421</v>
      </c>
      <c r="CH8" s="223">
        <f t="shared" si="110"/>
        <v>167420</v>
      </c>
      <c r="CI8" s="223">
        <f t="shared" si="110"/>
        <v>167420</v>
      </c>
      <c r="CJ8" s="223">
        <f t="shared" si="110"/>
        <v>167420</v>
      </c>
      <c r="CK8" s="223">
        <f>SUM(CK3:CK7)</f>
        <v>167420</v>
      </c>
      <c r="CL8" s="223">
        <f>SUM(CL3:CL7)</f>
        <v>168424</v>
      </c>
      <c r="CM8" s="223">
        <f t="shared" si="110"/>
        <v>168424</v>
      </c>
      <c r="CN8" s="223">
        <f t="shared" si="110"/>
        <v>168424</v>
      </c>
      <c r="CO8" s="223">
        <f t="shared" si="110"/>
        <v>168424</v>
      </c>
      <c r="CP8" s="46">
        <f>SUM(CP3:CP7)</f>
        <v>13440244</v>
      </c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</row>
    <row r="9" spans="1:212" ht="21" customHeight="1">
      <c r="A9" s="75"/>
      <c r="B9" s="75"/>
      <c r="C9" s="75"/>
      <c r="D9" s="75"/>
      <c r="E9" s="49"/>
      <c r="F9" s="50"/>
      <c r="G9" s="51"/>
      <c r="H9" s="52"/>
      <c r="I9" s="50"/>
      <c r="J9" s="50"/>
      <c r="K9" s="50"/>
      <c r="L9" s="226"/>
      <c r="M9" s="226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227"/>
      <c r="AD9" s="227"/>
      <c r="AE9" s="227"/>
      <c r="AF9" s="227"/>
      <c r="AG9" s="227"/>
      <c r="AH9" s="227"/>
      <c r="AI9" s="227"/>
      <c r="AJ9" s="227"/>
      <c r="AK9" s="227"/>
      <c r="AL9" s="227"/>
      <c r="AM9" s="227"/>
      <c r="AN9" s="227"/>
      <c r="AO9" s="227"/>
      <c r="AP9" s="227"/>
      <c r="AQ9" s="227"/>
      <c r="AR9" s="227"/>
      <c r="AS9" s="227"/>
      <c r="AT9" s="227"/>
      <c r="AU9" s="227"/>
      <c r="AV9" s="227"/>
      <c r="AW9" s="227"/>
      <c r="AX9" s="227"/>
      <c r="AY9" s="227"/>
      <c r="AZ9" s="227"/>
      <c r="BA9" s="227"/>
      <c r="BB9" s="227"/>
      <c r="BC9" s="227"/>
      <c r="BD9" s="227"/>
      <c r="BE9" s="227"/>
      <c r="BF9" s="227"/>
      <c r="BG9" s="227"/>
      <c r="BH9" s="227"/>
      <c r="BI9" s="227"/>
      <c r="BJ9" s="227"/>
      <c r="BK9" s="227"/>
      <c r="BL9" s="227"/>
      <c r="BM9" s="227"/>
      <c r="BN9" s="227"/>
      <c r="BO9" s="227"/>
      <c r="BP9" s="227"/>
      <c r="BQ9" s="227"/>
      <c r="BR9" s="227"/>
      <c r="BS9" s="227"/>
      <c r="BT9" s="227"/>
      <c r="BU9" s="227"/>
      <c r="BV9" s="227"/>
      <c r="BW9" s="227"/>
      <c r="BX9" s="227"/>
      <c r="BY9" s="227"/>
      <c r="BZ9" s="227"/>
      <c r="CA9" s="227"/>
      <c r="CB9" s="227"/>
      <c r="CC9" s="227"/>
      <c r="CD9" s="227"/>
      <c r="CE9" s="227"/>
      <c r="CF9" s="227"/>
      <c r="CG9" s="227"/>
      <c r="CH9" s="227"/>
      <c r="CI9" s="227"/>
      <c r="CJ9" s="227"/>
      <c r="CK9" s="227"/>
      <c r="CL9" s="34">
        <f>ROUND(CK8*(1+取值表!$D$4),0)</f>
        <v>168425</v>
      </c>
      <c r="CM9" s="227"/>
      <c r="CN9" s="227"/>
      <c r="CO9" s="227"/>
      <c r="CP9" s="227"/>
      <c r="CQ9" s="227"/>
      <c r="CR9" s="227"/>
      <c r="CS9" s="227"/>
      <c r="CT9" s="227"/>
      <c r="CU9" s="227"/>
      <c r="CV9" s="227"/>
      <c r="CW9" s="227"/>
      <c r="CX9" s="227"/>
      <c r="CY9" s="227"/>
      <c r="CZ9" s="227"/>
      <c r="DA9" s="227"/>
      <c r="DB9" s="227"/>
      <c r="DC9" s="227"/>
      <c r="DD9" s="227"/>
      <c r="DE9" s="227"/>
      <c r="DF9" s="227"/>
      <c r="DG9" s="227"/>
      <c r="DH9" s="227"/>
      <c r="DI9" s="227"/>
      <c r="DJ9" s="227"/>
      <c r="DK9" s="227"/>
      <c r="DL9" s="227"/>
      <c r="DM9" s="227"/>
      <c r="DN9" s="227"/>
      <c r="DO9" s="227"/>
      <c r="DP9" s="227"/>
      <c r="DQ9" s="227"/>
      <c r="DR9" s="227"/>
      <c r="DS9" s="227"/>
      <c r="DT9" s="227"/>
      <c r="DU9" s="227"/>
      <c r="DV9" s="227"/>
      <c r="DW9" s="227"/>
      <c r="DX9" s="227"/>
      <c r="DY9" s="227"/>
      <c r="DZ9" s="227"/>
      <c r="EA9" s="227"/>
      <c r="EB9" s="227"/>
      <c r="EC9" s="227"/>
      <c r="ED9" s="227"/>
      <c r="EE9" s="227"/>
      <c r="EF9" s="227"/>
      <c r="EG9" s="227"/>
      <c r="EH9" s="227"/>
      <c r="EI9" s="227"/>
      <c r="EJ9" s="227"/>
      <c r="EK9" s="227"/>
      <c r="EL9" s="227"/>
      <c r="EM9" s="227"/>
      <c r="EN9" s="227"/>
      <c r="EO9" s="227"/>
      <c r="EP9" s="227"/>
      <c r="EQ9" s="227"/>
      <c r="ER9" s="227"/>
      <c r="ES9" s="227"/>
      <c r="ET9" s="227"/>
      <c r="EU9" s="30"/>
    </row>
    <row r="10" spans="1:212" ht="21" customHeight="1">
      <c r="A10" s="48"/>
      <c r="B10" s="173"/>
      <c r="C10" s="174"/>
      <c r="D10" s="175"/>
      <c r="E10" s="49"/>
      <c r="F10" s="50"/>
      <c r="G10" s="51"/>
      <c r="H10" s="52"/>
      <c r="I10" s="50"/>
      <c r="CL10" s="30">
        <f>CL8/CK8-1</f>
        <v>5.9968940389438785E-3</v>
      </c>
      <c r="EU10" s="30"/>
    </row>
    <row r="11" spans="1:212">
      <c r="A11" s="48"/>
      <c r="B11" s="87"/>
      <c r="C11" s="87"/>
      <c r="D11" s="88"/>
      <c r="E11" s="602">
        <v>1</v>
      </c>
      <c r="F11" s="602"/>
      <c r="G11" s="602"/>
      <c r="H11" s="602"/>
      <c r="I11" s="602">
        <v>2</v>
      </c>
      <c r="J11" s="602"/>
      <c r="K11" s="602"/>
      <c r="L11" s="602"/>
      <c r="M11" s="602">
        <v>3</v>
      </c>
      <c r="N11" s="602"/>
      <c r="O11" s="602"/>
      <c r="P11" s="602"/>
      <c r="Q11" s="602">
        <v>4</v>
      </c>
      <c r="R11" s="602"/>
      <c r="S11" s="602"/>
      <c r="T11" s="602"/>
      <c r="U11" s="602">
        <v>5</v>
      </c>
      <c r="V11" s="602"/>
      <c r="W11" s="602"/>
      <c r="X11" s="602"/>
      <c r="Y11" s="602">
        <v>6</v>
      </c>
      <c r="Z11" s="602"/>
      <c r="AA11" s="602"/>
      <c r="AB11" s="602"/>
      <c r="AC11" s="602">
        <v>7</v>
      </c>
      <c r="AD11" s="602"/>
      <c r="AE11" s="602"/>
      <c r="AF11" s="602"/>
      <c r="AG11" s="602">
        <v>8</v>
      </c>
      <c r="AH11" s="602"/>
      <c r="AI11" s="602"/>
      <c r="AJ11" s="602"/>
      <c r="AK11" s="602">
        <v>9</v>
      </c>
      <c r="AL11" s="602"/>
      <c r="AM11" s="602"/>
      <c r="AN11" s="602"/>
      <c r="AO11" s="602">
        <v>10</v>
      </c>
      <c r="AP11" s="602"/>
      <c r="AQ11" s="602"/>
      <c r="AR11" s="602"/>
      <c r="AS11" s="602">
        <v>11</v>
      </c>
      <c r="AT11" s="602"/>
      <c r="AU11" s="602"/>
      <c r="AV11" s="602"/>
      <c r="AW11" s="602">
        <v>12</v>
      </c>
      <c r="AX11" s="602"/>
      <c r="AY11" s="602"/>
      <c r="AZ11" s="602"/>
      <c r="BA11" s="602">
        <v>13</v>
      </c>
      <c r="BB11" s="602"/>
      <c r="BC11" s="602"/>
      <c r="BD11" s="602"/>
      <c r="BE11" s="602">
        <v>14</v>
      </c>
      <c r="BF11" s="602"/>
      <c r="BG11" s="602"/>
      <c r="BH11" s="602"/>
      <c r="BI11" s="602">
        <v>15</v>
      </c>
      <c r="BJ11" s="602"/>
      <c r="BK11" s="602"/>
      <c r="BL11" s="602"/>
      <c r="BM11" s="602">
        <v>16</v>
      </c>
      <c r="BN11" s="602"/>
      <c r="BO11" s="602"/>
      <c r="BP11" s="602"/>
      <c r="BQ11" s="602">
        <v>17</v>
      </c>
      <c r="BR11" s="602"/>
      <c r="BS11" s="602"/>
      <c r="BT11" s="602"/>
      <c r="BU11" s="602">
        <v>18</v>
      </c>
      <c r="BV11" s="602"/>
      <c r="BW11" s="602"/>
      <c r="BX11" s="602"/>
      <c r="BY11" s="602">
        <v>19</v>
      </c>
      <c r="BZ11" s="602"/>
      <c r="CA11" s="602"/>
      <c r="CB11" s="602"/>
      <c r="CC11" s="602">
        <v>20</v>
      </c>
      <c r="CD11" s="602"/>
      <c r="CE11" s="602"/>
      <c r="CF11" s="602"/>
      <c r="CG11" s="602">
        <v>21</v>
      </c>
      <c r="CH11" s="602"/>
      <c r="CI11" s="602"/>
      <c r="CJ11" s="602"/>
      <c r="CK11" s="89"/>
    </row>
    <row r="12" spans="1:212" s="179" customFormat="1" ht="18.75" customHeight="1">
      <c r="A12" s="176"/>
      <c r="B12" s="90" t="s">
        <v>785</v>
      </c>
      <c r="C12" s="90" t="s">
        <v>1195</v>
      </c>
      <c r="D12" s="91" t="s">
        <v>1196</v>
      </c>
      <c r="E12" s="92" t="str">
        <f>J1</f>
        <v>2018年2季度</v>
      </c>
      <c r="F12" s="92" t="str">
        <f t="shared" ref="F12:BQ12" si="111">K1</f>
        <v>2018年3季度</v>
      </c>
      <c r="G12" s="92" t="str">
        <f t="shared" si="111"/>
        <v>2018年4季度</v>
      </c>
      <c r="H12" s="92" t="str">
        <f t="shared" si="111"/>
        <v>2019年1季度</v>
      </c>
      <c r="I12" s="92" t="str">
        <f t="shared" si="111"/>
        <v>2019年2季度</v>
      </c>
      <c r="J12" s="92" t="str">
        <f t="shared" si="111"/>
        <v>2019年3季度</v>
      </c>
      <c r="K12" s="92" t="str">
        <f t="shared" si="111"/>
        <v>2019年4季度</v>
      </c>
      <c r="L12" s="92" t="str">
        <f t="shared" si="111"/>
        <v>2020年1季度</v>
      </c>
      <c r="M12" s="92" t="str">
        <f t="shared" si="111"/>
        <v>2020年2季度</v>
      </c>
      <c r="N12" s="92" t="str">
        <f t="shared" si="111"/>
        <v>2020年3季度</v>
      </c>
      <c r="O12" s="92" t="str">
        <f t="shared" si="111"/>
        <v>2020年4季度</v>
      </c>
      <c r="P12" s="92" t="str">
        <f t="shared" si="111"/>
        <v>2021年1季度</v>
      </c>
      <c r="Q12" s="92" t="str">
        <f t="shared" si="111"/>
        <v>2021年2季度</v>
      </c>
      <c r="R12" s="92" t="str">
        <f t="shared" si="111"/>
        <v>2021年3季度</v>
      </c>
      <c r="S12" s="92" t="str">
        <f t="shared" si="111"/>
        <v>2021年4季度</v>
      </c>
      <c r="T12" s="92" t="str">
        <f t="shared" si="111"/>
        <v>2022年1季度</v>
      </c>
      <c r="U12" s="92" t="str">
        <f t="shared" si="111"/>
        <v>2022年2季度</v>
      </c>
      <c r="V12" s="92" t="str">
        <f t="shared" si="111"/>
        <v>2022年3季度</v>
      </c>
      <c r="W12" s="92" t="str">
        <f t="shared" si="111"/>
        <v>2022年4季度</v>
      </c>
      <c r="X12" s="92" t="str">
        <f t="shared" si="111"/>
        <v>2023年1季度</v>
      </c>
      <c r="Y12" s="92" t="str">
        <f t="shared" si="111"/>
        <v>2023年2季度</v>
      </c>
      <c r="Z12" s="92" t="str">
        <f t="shared" si="111"/>
        <v>2023年3季度</v>
      </c>
      <c r="AA12" s="92" t="str">
        <f t="shared" si="111"/>
        <v>2023年4季度</v>
      </c>
      <c r="AB12" s="92" t="str">
        <f t="shared" si="111"/>
        <v>2024年1季度</v>
      </c>
      <c r="AC12" s="92" t="str">
        <f t="shared" si="111"/>
        <v>2024年2季度</v>
      </c>
      <c r="AD12" s="92" t="str">
        <f t="shared" si="111"/>
        <v>2024年3季度</v>
      </c>
      <c r="AE12" s="92" t="str">
        <f t="shared" si="111"/>
        <v>2024年4季度</v>
      </c>
      <c r="AF12" s="92" t="str">
        <f t="shared" si="111"/>
        <v>2025年1季度</v>
      </c>
      <c r="AG12" s="92" t="str">
        <f t="shared" si="111"/>
        <v>2025年2季度</v>
      </c>
      <c r="AH12" s="92" t="str">
        <f t="shared" si="111"/>
        <v>2025年3季度</v>
      </c>
      <c r="AI12" s="92" t="str">
        <f t="shared" si="111"/>
        <v>2025年4季度</v>
      </c>
      <c r="AJ12" s="92" t="str">
        <f t="shared" si="111"/>
        <v>2026年1季度</v>
      </c>
      <c r="AK12" s="92" t="str">
        <f t="shared" si="111"/>
        <v>2026年2季度</v>
      </c>
      <c r="AL12" s="92" t="str">
        <f t="shared" si="111"/>
        <v>2026年3季度</v>
      </c>
      <c r="AM12" s="92" t="str">
        <f t="shared" si="111"/>
        <v>2026年4季度</v>
      </c>
      <c r="AN12" s="92" t="str">
        <f t="shared" si="111"/>
        <v>2027年1季度</v>
      </c>
      <c r="AO12" s="92" t="str">
        <f t="shared" si="111"/>
        <v>2027年2季度</v>
      </c>
      <c r="AP12" s="92" t="str">
        <f t="shared" si="111"/>
        <v>2027年3季度</v>
      </c>
      <c r="AQ12" s="92" t="str">
        <f t="shared" si="111"/>
        <v>2027年4季度</v>
      </c>
      <c r="AR12" s="92" t="str">
        <f t="shared" si="111"/>
        <v>2028年1季度</v>
      </c>
      <c r="AS12" s="92" t="str">
        <f t="shared" si="111"/>
        <v>2028年2季度</v>
      </c>
      <c r="AT12" s="92" t="str">
        <f t="shared" si="111"/>
        <v>2028年3季度</v>
      </c>
      <c r="AU12" s="92" t="str">
        <f t="shared" si="111"/>
        <v>2028年4季度</v>
      </c>
      <c r="AV12" s="92" t="str">
        <f t="shared" si="111"/>
        <v>2029年1季度</v>
      </c>
      <c r="AW12" s="92" t="str">
        <f t="shared" si="111"/>
        <v>2029年2季度</v>
      </c>
      <c r="AX12" s="92" t="str">
        <f t="shared" si="111"/>
        <v>2029年3季度</v>
      </c>
      <c r="AY12" s="92" t="str">
        <f t="shared" si="111"/>
        <v>2029年4季度</v>
      </c>
      <c r="AZ12" s="92" t="str">
        <f t="shared" si="111"/>
        <v>2030年1季度</v>
      </c>
      <c r="BA12" s="92" t="str">
        <f t="shared" si="111"/>
        <v>2030年2季度</v>
      </c>
      <c r="BB12" s="92" t="str">
        <f t="shared" si="111"/>
        <v>2030年3季度</v>
      </c>
      <c r="BC12" s="92" t="str">
        <f t="shared" si="111"/>
        <v>2030年4季度</v>
      </c>
      <c r="BD12" s="92" t="str">
        <f t="shared" si="111"/>
        <v>2031年1季度</v>
      </c>
      <c r="BE12" s="92" t="str">
        <f t="shared" si="111"/>
        <v>2031年2季度</v>
      </c>
      <c r="BF12" s="92" t="str">
        <f t="shared" si="111"/>
        <v>2031年3季度</v>
      </c>
      <c r="BG12" s="92" t="str">
        <f t="shared" si="111"/>
        <v>2031年4季度</v>
      </c>
      <c r="BH12" s="92" t="str">
        <f t="shared" si="111"/>
        <v>2032年1季度</v>
      </c>
      <c r="BI12" s="92" t="str">
        <f t="shared" si="111"/>
        <v>2032年2季度</v>
      </c>
      <c r="BJ12" s="92" t="str">
        <f t="shared" si="111"/>
        <v>2032年3季度</v>
      </c>
      <c r="BK12" s="92" t="str">
        <f t="shared" si="111"/>
        <v>2032年4季度</v>
      </c>
      <c r="BL12" s="92" t="str">
        <f t="shared" si="111"/>
        <v>2033年1季度</v>
      </c>
      <c r="BM12" s="92" t="str">
        <f t="shared" si="111"/>
        <v>2033年2季度</v>
      </c>
      <c r="BN12" s="92" t="str">
        <f t="shared" si="111"/>
        <v>2033年3季度</v>
      </c>
      <c r="BO12" s="92" t="str">
        <f t="shared" si="111"/>
        <v>2033年4季度</v>
      </c>
      <c r="BP12" s="92" t="str">
        <f t="shared" si="111"/>
        <v>2034年1季度</v>
      </c>
      <c r="BQ12" s="92" t="str">
        <f t="shared" si="111"/>
        <v>2034年2季度</v>
      </c>
      <c r="BR12" s="92" t="str">
        <f t="shared" ref="BR12:CJ12" si="112">BW1</f>
        <v>2034年3季度</v>
      </c>
      <c r="BS12" s="92" t="str">
        <f t="shared" si="112"/>
        <v>2034年4季度</v>
      </c>
      <c r="BT12" s="92" t="str">
        <f t="shared" si="112"/>
        <v>2035年1季度</v>
      </c>
      <c r="BU12" s="92" t="str">
        <f t="shared" si="112"/>
        <v>2035年2季度</v>
      </c>
      <c r="BV12" s="92" t="str">
        <f t="shared" si="112"/>
        <v>2035年3季度</v>
      </c>
      <c r="BW12" s="92" t="str">
        <f t="shared" si="112"/>
        <v>2035年4季度</v>
      </c>
      <c r="BX12" s="92" t="str">
        <f t="shared" si="112"/>
        <v>2036年1季度</v>
      </c>
      <c r="BY12" s="92" t="str">
        <f t="shared" si="112"/>
        <v>2036年2季度</v>
      </c>
      <c r="BZ12" s="92" t="str">
        <f t="shared" si="112"/>
        <v>2036年3季度</v>
      </c>
      <c r="CA12" s="92" t="str">
        <f t="shared" si="112"/>
        <v>2036年4季度</v>
      </c>
      <c r="CB12" s="92" t="str">
        <f t="shared" si="112"/>
        <v>2037年1季度</v>
      </c>
      <c r="CC12" s="92" t="str">
        <f t="shared" si="112"/>
        <v>2037年2季度</v>
      </c>
      <c r="CD12" s="92" t="str">
        <f t="shared" si="112"/>
        <v>2037年3季度</v>
      </c>
      <c r="CE12" s="92" t="str">
        <f t="shared" si="112"/>
        <v>2037年4季度</v>
      </c>
      <c r="CF12" s="92" t="str">
        <f t="shared" si="112"/>
        <v>2038年1季度</v>
      </c>
      <c r="CG12" s="92" t="str">
        <f t="shared" si="112"/>
        <v>2038年2季度</v>
      </c>
      <c r="CH12" s="92" t="str">
        <f t="shared" si="112"/>
        <v>2038年3季度</v>
      </c>
      <c r="CI12" s="92" t="str">
        <f t="shared" si="112"/>
        <v>2038年4季度</v>
      </c>
      <c r="CJ12" s="92" t="str">
        <f t="shared" si="112"/>
        <v>2039年1季度</v>
      </c>
      <c r="CK12" s="92" t="s">
        <v>1197</v>
      </c>
      <c r="CL12" s="177"/>
      <c r="CM12" s="177"/>
      <c r="CN12" s="177"/>
      <c r="CO12" s="177"/>
      <c r="CP12" s="177"/>
      <c r="CQ12" s="177"/>
      <c r="CR12" s="177"/>
      <c r="CS12" s="177"/>
      <c r="CT12" s="177"/>
      <c r="CU12" s="177"/>
      <c r="CV12" s="177"/>
      <c r="CW12" s="177"/>
      <c r="CX12" s="177"/>
      <c r="CY12" s="177"/>
      <c r="CZ12" s="177"/>
      <c r="DA12" s="177"/>
      <c r="DB12" s="177"/>
      <c r="DC12" s="177"/>
      <c r="DD12" s="177"/>
      <c r="DE12" s="177"/>
      <c r="DF12" s="177"/>
      <c r="DG12" s="177"/>
      <c r="DH12" s="177"/>
      <c r="DI12" s="177"/>
      <c r="DJ12" s="177"/>
      <c r="DK12" s="177"/>
      <c r="DL12" s="177"/>
      <c r="DM12" s="177"/>
      <c r="DN12" s="177"/>
      <c r="DO12" s="177"/>
      <c r="DP12" s="177"/>
      <c r="DQ12" s="177"/>
      <c r="DR12" s="177"/>
      <c r="DS12" s="177"/>
      <c r="DT12" s="177"/>
      <c r="DU12" s="177"/>
      <c r="DV12" s="177"/>
      <c r="DW12" s="177"/>
      <c r="DX12" s="177"/>
      <c r="DY12" s="177"/>
      <c r="DZ12" s="177"/>
      <c r="EA12" s="177"/>
      <c r="EB12" s="177"/>
      <c r="EC12" s="177"/>
      <c r="ED12" s="177"/>
      <c r="EE12" s="177"/>
      <c r="EF12" s="177"/>
      <c r="EG12" s="177"/>
      <c r="EH12" s="177"/>
      <c r="EI12" s="177"/>
      <c r="EJ12" s="177"/>
      <c r="EK12" s="177"/>
      <c r="EL12" s="177"/>
      <c r="EM12" s="177"/>
      <c r="EN12" s="177"/>
      <c r="EO12" s="177"/>
      <c r="EP12" s="177"/>
      <c r="EQ12" s="177"/>
      <c r="ER12" s="177"/>
      <c r="ES12" s="177"/>
      <c r="ET12" s="178"/>
    </row>
    <row r="13" spans="1:212" s="503" customFormat="1">
      <c r="A13" s="497"/>
      <c r="B13" s="504" t="s">
        <v>1198</v>
      </c>
      <c r="C13" s="504"/>
      <c r="D13" s="394"/>
      <c r="E13" s="499">
        <f>E14+E15+E16</f>
        <v>177303</v>
      </c>
      <c r="F13" s="499">
        <f>F14+F15+F16</f>
        <v>177303</v>
      </c>
      <c r="G13" s="499">
        <f>G14+G15+G16</f>
        <v>177303</v>
      </c>
      <c r="H13" s="499">
        <f t="shared" ref="H13:BQ13" si="113">H14+H15+H16</f>
        <v>177303</v>
      </c>
      <c r="I13" s="499">
        <f>I14+I15+I16</f>
        <v>151612</v>
      </c>
      <c r="J13" s="499">
        <f t="shared" si="113"/>
        <v>151612</v>
      </c>
      <c r="K13" s="499">
        <f t="shared" si="113"/>
        <v>151612</v>
      </c>
      <c r="L13" s="499">
        <f t="shared" si="113"/>
        <v>151612</v>
      </c>
      <c r="M13" s="499">
        <f t="shared" si="113"/>
        <v>152522</v>
      </c>
      <c r="N13" s="499">
        <f t="shared" si="113"/>
        <v>152522</v>
      </c>
      <c r="O13" s="499">
        <f t="shared" si="113"/>
        <v>152522</v>
      </c>
      <c r="P13" s="499">
        <f t="shared" si="113"/>
        <v>152522</v>
      </c>
      <c r="Q13" s="499">
        <f t="shared" si="113"/>
        <v>153437</v>
      </c>
      <c r="R13" s="499">
        <f t="shared" si="113"/>
        <v>153437</v>
      </c>
      <c r="S13" s="499">
        <f t="shared" si="113"/>
        <v>153437</v>
      </c>
      <c r="T13" s="499">
        <f t="shared" si="113"/>
        <v>153437</v>
      </c>
      <c r="U13" s="499">
        <f t="shared" si="113"/>
        <v>154358</v>
      </c>
      <c r="V13" s="499">
        <f t="shared" si="113"/>
        <v>154358</v>
      </c>
      <c r="W13" s="499">
        <f t="shared" si="113"/>
        <v>154358</v>
      </c>
      <c r="X13" s="499">
        <f t="shared" si="113"/>
        <v>154358</v>
      </c>
      <c r="Y13" s="499">
        <f>Y14+Y15+Y16</f>
        <v>155284</v>
      </c>
      <c r="Z13" s="499">
        <f t="shared" si="113"/>
        <v>155284</v>
      </c>
      <c r="AA13" s="499">
        <f t="shared" si="113"/>
        <v>155284</v>
      </c>
      <c r="AB13" s="499">
        <f t="shared" si="113"/>
        <v>155284</v>
      </c>
      <c r="AC13" s="499">
        <f t="shared" si="113"/>
        <v>156216</v>
      </c>
      <c r="AD13" s="499">
        <f t="shared" si="113"/>
        <v>156216</v>
      </c>
      <c r="AE13" s="499">
        <f t="shared" si="113"/>
        <v>156216</v>
      </c>
      <c r="AF13" s="499">
        <f t="shared" si="113"/>
        <v>156216</v>
      </c>
      <c r="AG13" s="499">
        <f t="shared" si="113"/>
        <v>157153</v>
      </c>
      <c r="AH13" s="499">
        <f t="shared" si="113"/>
        <v>157153</v>
      </c>
      <c r="AI13" s="499">
        <f t="shared" si="113"/>
        <v>157153</v>
      </c>
      <c r="AJ13" s="499">
        <f t="shared" si="113"/>
        <v>157153</v>
      </c>
      <c r="AK13" s="499">
        <f t="shared" si="113"/>
        <v>158096</v>
      </c>
      <c r="AL13" s="499">
        <f t="shared" si="113"/>
        <v>158096</v>
      </c>
      <c r="AM13" s="499">
        <f t="shared" si="113"/>
        <v>158096</v>
      </c>
      <c r="AN13" s="499">
        <f t="shared" si="113"/>
        <v>158096</v>
      </c>
      <c r="AO13" s="499">
        <f t="shared" si="113"/>
        <v>159045</v>
      </c>
      <c r="AP13" s="499">
        <f t="shared" si="113"/>
        <v>159045</v>
      </c>
      <c r="AQ13" s="499">
        <f t="shared" si="113"/>
        <v>159045</v>
      </c>
      <c r="AR13" s="499">
        <f t="shared" si="113"/>
        <v>159045</v>
      </c>
      <c r="AS13" s="499">
        <f t="shared" si="113"/>
        <v>159999</v>
      </c>
      <c r="AT13" s="499">
        <f t="shared" si="113"/>
        <v>159999</v>
      </c>
      <c r="AU13" s="499">
        <f t="shared" si="113"/>
        <v>159999</v>
      </c>
      <c r="AV13" s="499">
        <f t="shared" si="113"/>
        <v>159999</v>
      </c>
      <c r="AW13" s="499">
        <f t="shared" si="113"/>
        <v>160960</v>
      </c>
      <c r="AX13" s="499">
        <f t="shared" si="113"/>
        <v>160960</v>
      </c>
      <c r="AY13" s="499">
        <f t="shared" si="113"/>
        <v>160960</v>
      </c>
      <c r="AZ13" s="499">
        <f t="shared" si="113"/>
        <v>160960</v>
      </c>
      <c r="BA13" s="499">
        <f t="shared" si="113"/>
        <v>161926</v>
      </c>
      <c r="BB13" s="499">
        <f t="shared" si="113"/>
        <v>161926</v>
      </c>
      <c r="BC13" s="499">
        <f t="shared" si="113"/>
        <v>161926</v>
      </c>
      <c r="BD13" s="499">
        <f t="shared" si="113"/>
        <v>161926</v>
      </c>
      <c r="BE13" s="499">
        <f t="shared" si="113"/>
        <v>162897</v>
      </c>
      <c r="BF13" s="499">
        <f t="shared" si="113"/>
        <v>162897</v>
      </c>
      <c r="BG13" s="499">
        <f t="shared" si="113"/>
        <v>162897</v>
      </c>
      <c r="BH13" s="499">
        <f t="shared" si="113"/>
        <v>162897</v>
      </c>
      <c r="BI13" s="499">
        <f t="shared" si="113"/>
        <v>163874</v>
      </c>
      <c r="BJ13" s="499">
        <f t="shared" si="113"/>
        <v>163874</v>
      </c>
      <c r="BK13" s="499">
        <f t="shared" si="113"/>
        <v>163874</v>
      </c>
      <c r="BL13" s="499">
        <f t="shared" si="113"/>
        <v>163874</v>
      </c>
      <c r="BM13" s="499">
        <f t="shared" si="113"/>
        <v>164858</v>
      </c>
      <c r="BN13" s="499">
        <f t="shared" si="113"/>
        <v>164858</v>
      </c>
      <c r="BO13" s="499">
        <f t="shared" si="113"/>
        <v>164858</v>
      </c>
      <c r="BP13" s="499">
        <f t="shared" si="113"/>
        <v>164858</v>
      </c>
      <c r="BQ13" s="499">
        <f t="shared" si="113"/>
        <v>165847</v>
      </c>
      <c r="BR13" s="499">
        <f t="shared" ref="BR13:CJ13" si="114">BR14+BR15+BR16</f>
        <v>165847</v>
      </c>
      <c r="BS13" s="499">
        <f t="shared" si="114"/>
        <v>165847</v>
      </c>
      <c r="BT13" s="499">
        <f t="shared" si="114"/>
        <v>165847</v>
      </c>
      <c r="BU13" s="499">
        <f t="shared" si="114"/>
        <v>166842</v>
      </c>
      <c r="BV13" s="499">
        <f t="shared" si="114"/>
        <v>166842</v>
      </c>
      <c r="BW13" s="499">
        <f t="shared" si="114"/>
        <v>166842</v>
      </c>
      <c r="BX13" s="499">
        <f t="shared" si="114"/>
        <v>166842</v>
      </c>
      <c r="BY13" s="499">
        <f t="shared" si="114"/>
        <v>167844</v>
      </c>
      <c r="BZ13" s="499">
        <f t="shared" si="114"/>
        <v>167844</v>
      </c>
      <c r="CA13" s="499">
        <f t="shared" si="114"/>
        <v>167844</v>
      </c>
      <c r="CB13" s="499">
        <f t="shared" si="114"/>
        <v>167844</v>
      </c>
      <c r="CC13" s="499">
        <f t="shared" si="114"/>
        <v>168851</v>
      </c>
      <c r="CD13" s="499">
        <f t="shared" si="114"/>
        <v>168851</v>
      </c>
      <c r="CE13" s="499">
        <f t="shared" si="114"/>
        <v>168851</v>
      </c>
      <c r="CF13" s="499">
        <f t="shared" si="114"/>
        <v>168851</v>
      </c>
      <c r="CG13" s="499">
        <f t="shared" si="114"/>
        <v>169864</v>
      </c>
      <c r="CH13" s="499">
        <f t="shared" si="114"/>
        <v>169864</v>
      </c>
      <c r="CI13" s="499">
        <f t="shared" si="114"/>
        <v>169864</v>
      </c>
      <c r="CJ13" s="499">
        <f t="shared" si="114"/>
        <v>169864</v>
      </c>
      <c r="CK13" s="500">
        <f>SUM(E13:CJ13)</f>
        <v>13555152</v>
      </c>
      <c r="CL13" s="501"/>
      <c r="CM13" s="501"/>
      <c r="CN13" s="501"/>
      <c r="CO13" s="501"/>
      <c r="CP13" s="501"/>
      <c r="CQ13" s="501"/>
      <c r="CR13" s="501"/>
      <c r="CS13" s="501"/>
      <c r="CT13" s="501"/>
      <c r="CU13" s="501"/>
      <c r="CV13" s="501"/>
      <c r="CW13" s="501"/>
      <c r="CX13" s="501"/>
      <c r="CY13" s="501"/>
      <c r="CZ13" s="501"/>
      <c r="DA13" s="501"/>
      <c r="DB13" s="501"/>
      <c r="DC13" s="501"/>
      <c r="DD13" s="501"/>
      <c r="DE13" s="501"/>
      <c r="DF13" s="501"/>
      <c r="DG13" s="501"/>
      <c r="DH13" s="501"/>
      <c r="DI13" s="501"/>
      <c r="DJ13" s="501"/>
      <c r="DK13" s="501"/>
      <c r="DL13" s="501"/>
      <c r="DM13" s="501"/>
      <c r="DN13" s="501"/>
      <c r="DO13" s="501"/>
      <c r="DP13" s="501"/>
      <c r="DQ13" s="501"/>
      <c r="DR13" s="501"/>
      <c r="DS13" s="501"/>
      <c r="DT13" s="501"/>
      <c r="DU13" s="501"/>
      <c r="DV13" s="501"/>
      <c r="DW13" s="501"/>
      <c r="DX13" s="501"/>
      <c r="DY13" s="501"/>
      <c r="DZ13" s="501"/>
      <c r="EA13" s="501"/>
      <c r="EB13" s="501"/>
      <c r="EC13" s="501"/>
      <c r="ED13" s="501"/>
      <c r="EE13" s="501"/>
      <c r="EF13" s="501"/>
      <c r="EG13" s="501"/>
      <c r="EH13" s="501"/>
      <c r="EI13" s="501"/>
      <c r="EJ13" s="501"/>
      <c r="EK13" s="501"/>
      <c r="EL13" s="501"/>
      <c r="EM13" s="501"/>
      <c r="EN13" s="501"/>
      <c r="EO13" s="501"/>
      <c r="EP13" s="501"/>
      <c r="EQ13" s="501"/>
      <c r="ER13" s="501"/>
      <c r="ES13" s="501"/>
      <c r="ET13" s="502"/>
    </row>
    <row r="14" spans="1:212" s="510" customFormat="1">
      <c r="A14" s="507"/>
      <c r="B14" s="504" t="s">
        <v>1199</v>
      </c>
      <c r="C14" s="504"/>
      <c r="D14" s="512"/>
      <c r="E14" s="499">
        <f>J8</f>
        <v>175800</v>
      </c>
      <c r="F14" s="499">
        <f>K8</f>
        <v>175800</v>
      </c>
      <c r="G14" s="499">
        <f>L8</f>
        <v>175800</v>
      </c>
      <c r="H14" s="499">
        <f>M8</f>
        <v>175800</v>
      </c>
      <c r="I14" s="499">
        <f t="shared" ref="I14:BT14" si="115">N8</f>
        <v>150327</v>
      </c>
      <c r="J14" s="499">
        <f t="shared" si="115"/>
        <v>150327</v>
      </c>
      <c r="K14" s="499">
        <f t="shared" si="115"/>
        <v>150327</v>
      </c>
      <c r="L14" s="499">
        <f t="shared" si="115"/>
        <v>150327</v>
      </c>
      <c r="M14" s="499">
        <f t="shared" si="115"/>
        <v>151229</v>
      </c>
      <c r="N14" s="499">
        <f t="shared" si="115"/>
        <v>151229</v>
      </c>
      <c r="O14" s="499">
        <f t="shared" si="115"/>
        <v>151229</v>
      </c>
      <c r="P14" s="499">
        <f t="shared" si="115"/>
        <v>151229</v>
      </c>
      <c r="Q14" s="499">
        <f>V8</f>
        <v>152136</v>
      </c>
      <c r="R14" s="499">
        <f>W8</f>
        <v>152136</v>
      </c>
      <c r="S14" s="499">
        <f>X8</f>
        <v>152136</v>
      </c>
      <c r="T14" s="499">
        <f>Y8</f>
        <v>152136</v>
      </c>
      <c r="U14" s="499">
        <f t="shared" si="115"/>
        <v>153049</v>
      </c>
      <c r="V14" s="499">
        <f t="shared" si="115"/>
        <v>153049</v>
      </c>
      <c r="W14" s="499">
        <f t="shared" si="115"/>
        <v>153049</v>
      </c>
      <c r="X14" s="499">
        <f t="shared" si="115"/>
        <v>153049</v>
      </c>
      <c r="Y14" s="499">
        <f>AD8</f>
        <v>153968</v>
      </c>
      <c r="Z14" s="499">
        <f t="shared" si="115"/>
        <v>153968</v>
      </c>
      <c r="AA14" s="499">
        <f t="shared" si="115"/>
        <v>153968</v>
      </c>
      <c r="AB14" s="499">
        <f t="shared" si="115"/>
        <v>153968</v>
      </c>
      <c r="AC14" s="499">
        <f t="shared" si="115"/>
        <v>154892</v>
      </c>
      <c r="AD14" s="499">
        <f t="shared" si="115"/>
        <v>154892</v>
      </c>
      <c r="AE14" s="499">
        <f t="shared" si="115"/>
        <v>154892</v>
      </c>
      <c r="AF14" s="499">
        <f t="shared" si="115"/>
        <v>154892</v>
      </c>
      <c r="AG14" s="499">
        <f t="shared" si="115"/>
        <v>155821</v>
      </c>
      <c r="AH14" s="499">
        <f t="shared" si="115"/>
        <v>155821</v>
      </c>
      <c r="AI14" s="499">
        <f t="shared" si="115"/>
        <v>155821</v>
      </c>
      <c r="AJ14" s="499">
        <f t="shared" si="115"/>
        <v>155821</v>
      </c>
      <c r="AK14" s="499">
        <f t="shared" si="115"/>
        <v>156756</v>
      </c>
      <c r="AL14" s="499">
        <f t="shared" si="115"/>
        <v>156756</v>
      </c>
      <c r="AM14" s="499">
        <f t="shared" si="115"/>
        <v>156756</v>
      </c>
      <c r="AN14" s="499">
        <f t="shared" si="115"/>
        <v>156756</v>
      </c>
      <c r="AO14" s="499">
        <f t="shared" si="115"/>
        <v>157697</v>
      </c>
      <c r="AP14" s="499">
        <f t="shared" si="115"/>
        <v>157697</v>
      </c>
      <c r="AQ14" s="499">
        <f t="shared" si="115"/>
        <v>157697</v>
      </c>
      <c r="AR14" s="499">
        <f t="shared" si="115"/>
        <v>157697</v>
      </c>
      <c r="AS14" s="499">
        <f t="shared" si="115"/>
        <v>158643</v>
      </c>
      <c r="AT14" s="499">
        <f t="shared" si="115"/>
        <v>158643</v>
      </c>
      <c r="AU14" s="499">
        <f t="shared" si="115"/>
        <v>158643</v>
      </c>
      <c r="AV14" s="499">
        <f t="shared" si="115"/>
        <v>158643</v>
      </c>
      <c r="AW14" s="499">
        <f t="shared" si="115"/>
        <v>159595</v>
      </c>
      <c r="AX14" s="499">
        <f t="shared" si="115"/>
        <v>159595</v>
      </c>
      <c r="AY14" s="499">
        <f t="shared" si="115"/>
        <v>159595</v>
      </c>
      <c r="AZ14" s="499">
        <f t="shared" si="115"/>
        <v>159595</v>
      </c>
      <c r="BA14" s="499">
        <f t="shared" si="115"/>
        <v>160553</v>
      </c>
      <c r="BB14" s="499">
        <f t="shared" si="115"/>
        <v>160553</v>
      </c>
      <c r="BC14" s="499">
        <f t="shared" si="115"/>
        <v>160553</v>
      </c>
      <c r="BD14" s="499">
        <f t="shared" si="115"/>
        <v>160553</v>
      </c>
      <c r="BE14" s="499">
        <f t="shared" si="115"/>
        <v>161516</v>
      </c>
      <c r="BF14" s="499">
        <f t="shared" si="115"/>
        <v>161516</v>
      </c>
      <c r="BG14" s="499">
        <f t="shared" si="115"/>
        <v>161516</v>
      </c>
      <c r="BH14" s="499">
        <f t="shared" si="115"/>
        <v>161516</v>
      </c>
      <c r="BI14" s="499">
        <f t="shared" si="115"/>
        <v>162485</v>
      </c>
      <c r="BJ14" s="499">
        <f t="shared" si="115"/>
        <v>162485</v>
      </c>
      <c r="BK14" s="499">
        <f t="shared" si="115"/>
        <v>162485</v>
      </c>
      <c r="BL14" s="499">
        <f t="shared" si="115"/>
        <v>162485</v>
      </c>
      <c r="BM14" s="499">
        <f t="shared" si="115"/>
        <v>163460</v>
      </c>
      <c r="BN14" s="499">
        <f t="shared" si="115"/>
        <v>163460</v>
      </c>
      <c r="BO14" s="499">
        <f t="shared" si="115"/>
        <v>163460</v>
      </c>
      <c r="BP14" s="499">
        <f t="shared" si="115"/>
        <v>163460</v>
      </c>
      <c r="BQ14" s="499">
        <f t="shared" si="115"/>
        <v>164441</v>
      </c>
      <c r="BR14" s="499">
        <f t="shared" si="115"/>
        <v>164441</v>
      </c>
      <c r="BS14" s="499">
        <f t="shared" si="115"/>
        <v>164441</v>
      </c>
      <c r="BT14" s="499">
        <f t="shared" si="115"/>
        <v>164441</v>
      </c>
      <c r="BU14" s="499">
        <f t="shared" ref="BU14:CJ14" si="116">BZ8</f>
        <v>165428</v>
      </c>
      <c r="BV14" s="499">
        <f t="shared" si="116"/>
        <v>165428</v>
      </c>
      <c r="BW14" s="499">
        <f t="shared" si="116"/>
        <v>165428</v>
      </c>
      <c r="BX14" s="499">
        <f t="shared" si="116"/>
        <v>165428</v>
      </c>
      <c r="BY14" s="499">
        <f t="shared" si="116"/>
        <v>166421</v>
      </c>
      <c r="BZ14" s="499">
        <f t="shared" si="116"/>
        <v>166421</v>
      </c>
      <c r="CA14" s="499">
        <f t="shared" si="116"/>
        <v>166421</v>
      </c>
      <c r="CB14" s="499">
        <f t="shared" si="116"/>
        <v>166421</v>
      </c>
      <c r="CC14" s="499">
        <f t="shared" si="116"/>
        <v>167420</v>
      </c>
      <c r="CD14" s="499">
        <f t="shared" si="116"/>
        <v>167420</v>
      </c>
      <c r="CE14" s="499">
        <f t="shared" si="116"/>
        <v>167420</v>
      </c>
      <c r="CF14" s="499">
        <f t="shared" si="116"/>
        <v>167420</v>
      </c>
      <c r="CG14" s="499">
        <f>CL8</f>
        <v>168424</v>
      </c>
      <c r="CH14" s="499">
        <f t="shared" si="116"/>
        <v>168424</v>
      </c>
      <c r="CI14" s="499">
        <f t="shared" si="116"/>
        <v>168424</v>
      </c>
      <c r="CJ14" s="499">
        <f t="shared" si="116"/>
        <v>168424</v>
      </c>
      <c r="CK14" s="500">
        <f t="shared" ref="CK14:CK22" si="117">SUM(E14:CJ14)</f>
        <v>13440244</v>
      </c>
      <c r="CL14" s="508"/>
      <c r="CM14" s="508"/>
      <c r="CN14" s="508"/>
      <c r="CO14" s="508"/>
      <c r="CP14" s="508"/>
      <c r="CQ14" s="508"/>
      <c r="CR14" s="508"/>
      <c r="CS14" s="508"/>
      <c r="CT14" s="508"/>
      <c r="CU14" s="508"/>
      <c r="CV14" s="508"/>
      <c r="CW14" s="508"/>
      <c r="CX14" s="508"/>
      <c r="CY14" s="508"/>
      <c r="CZ14" s="508"/>
      <c r="DA14" s="508"/>
      <c r="DB14" s="508"/>
      <c r="DC14" s="508"/>
      <c r="DD14" s="508"/>
      <c r="DE14" s="508"/>
      <c r="DF14" s="508"/>
      <c r="DG14" s="508"/>
      <c r="DH14" s="508"/>
      <c r="DI14" s="508"/>
      <c r="DJ14" s="508"/>
      <c r="DK14" s="508"/>
      <c r="DL14" s="508"/>
      <c r="DM14" s="508"/>
      <c r="DN14" s="508"/>
      <c r="DO14" s="508"/>
      <c r="DP14" s="508"/>
      <c r="DQ14" s="508"/>
      <c r="DR14" s="508"/>
      <c r="DS14" s="508"/>
      <c r="DT14" s="508"/>
      <c r="DU14" s="508"/>
      <c r="DV14" s="508"/>
      <c r="DW14" s="508"/>
      <c r="DX14" s="508"/>
      <c r="DY14" s="508"/>
      <c r="DZ14" s="508"/>
      <c r="EA14" s="508"/>
      <c r="EB14" s="508"/>
      <c r="EC14" s="508"/>
      <c r="ED14" s="508"/>
      <c r="EE14" s="508"/>
      <c r="EF14" s="508"/>
      <c r="EG14" s="508"/>
      <c r="EH14" s="508"/>
      <c r="EI14" s="508"/>
      <c r="EJ14" s="508"/>
      <c r="EK14" s="508"/>
      <c r="EL14" s="508"/>
      <c r="EM14" s="508"/>
      <c r="EN14" s="508"/>
      <c r="EO14" s="508"/>
      <c r="EP14" s="508"/>
      <c r="EQ14" s="508"/>
      <c r="ER14" s="508"/>
      <c r="ES14" s="508"/>
      <c r="ET14" s="509"/>
    </row>
    <row r="15" spans="1:212" s="510" customFormat="1">
      <c r="A15" s="507"/>
      <c r="B15" s="504" t="s">
        <v>1200</v>
      </c>
      <c r="C15" s="504"/>
      <c r="D15" s="512"/>
      <c r="E15" s="513"/>
      <c r="F15" s="513"/>
      <c r="G15" s="513"/>
      <c r="H15" s="513"/>
      <c r="I15" s="513"/>
      <c r="J15" s="513"/>
      <c r="K15" s="513"/>
      <c r="L15" s="513"/>
      <c r="M15" s="513"/>
      <c r="N15" s="513"/>
      <c r="O15" s="513"/>
      <c r="P15" s="513"/>
      <c r="Q15" s="513"/>
      <c r="R15" s="513"/>
      <c r="S15" s="513"/>
      <c r="T15" s="513"/>
      <c r="U15" s="513"/>
      <c r="V15" s="513"/>
      <c r="W15" s="513"/>
      <c r="X15" s="513"/>
      <c r="Y15" s="513"/>
      <c r="Z15" s="513"/>
      <c r="AA15" s="513"/>
      <c r="AB15" s="513"/>
      <c r="AC15" s="513"/>
      <c r="AD15" s="513"/>
      <c r="AE15" s="513"/>
      <c r="AF15" s="513"/>
      <c r="AG15" s="513"/>
      <c r="AH15" s="513"/>
      <c r="AI15" s="513"/>
      <c r="AJ15" s="513"/>
      <c r="AK15" s="513"/>
      <c r="AL15" s="513"/>
      <c r="AM15" s="513"/>
      <c r="AN15" s="513"/>
      <c r="AO15" s="513"/>
      <c r="AP15" s="513"/>
      <c r="AQ15" s="513"/>
      <c r="AR15" s="513"/>
      <c r="AS15" s="513"/>
      <c r="AT15" s="513"/>
      <c r="AU15" s="513"/>
      <c r="AV15" s="513"/>
      <c r="AW15" s="513"/>
      <c r="AX15" s="513"/>
      <c r="AY15" s="514"/>
      <c r="AZ15" s="514"/>
      <c r="BA15" s="514"/>
      <c r="BB15" s="514"/>
      <c r="BC15" s="514"/>
      <c r="BD15" s="514"/>
      <c r="BE15" s="514"/>
      <c r="BF15" s="514"/>
      <c r="BG15" s="514"/>
      <c r="BH15" s="514"/>
      <c r="BI15" s="514"/>
      <c r="BJ15" s="514"/>
      <c r="BK15" s="514"/>
      <c r="BL15" s="514"/>
      <c r="BM15" s="514"/>
      <c r="BN15" s="514"/>
      <c r="BO15" s="514"/>
      <c r="BP15" s="514"/>
      <c r="BQ15" s="514"/>
      <c r="BR15" s="514"/>
      <c r="BS15" s="514"/>
      <c r="BT15" s="514"/>
      <c r="BU15" s="514"/>
      <c r="BV15" s="514"/>
      <c r="BW15" s="514"/>
      <c r="BX15" s="514"/>
      <c r="BY15" s="514"/>
      <c r="BZ15" s="514"/>
      <c r="CA15" s="514"/>
      <c r="CB15" s="514"/>
      <c r="CC15" s="514"/>
      <c r="CD15" s="514"/>
      <c r="CE15" s="514"/>
      <c r="CF15" s="514"/>
      <c r="CG15" s="514"/>
      <c r="CH15" s="514"/>
      <c r="CI15" s="514"/>
      <c r="CJ15" s="514"/>
      <c r="CK15" s="500">
        <f t="shared" si="117"/>
        <v>0</v>
      </c>
      <c r="CL15" s="508"/>
      <c r="CM15" s="508"/>
      <c r="CN15" s="508"/>
      <c r="CO15" s="508"/>
      <c r="CP15" s="508"/>
      <c r="CQ15" s="508"/>
      <c r="CR15" s="508"/>
      <c r="CS15" s="508"/>
      <c r="CT15" s="508"/>
      <c r="CU15" s="508"/>
      <c r="CV15" s="508"/>
      <c r="CW15" s="508"/>
      <c r="CX15" s="508"/>
      <c r="CY15" s="508"/>
      <c r="CZ15" s="508"/>
      <c r="DA15" s="508"/>
      <c r="DB15" s="508"/>
      <c r="DC15" s="508"/>
      <c r="DD15" s="508"/>
      <c r="DE15" s="508"/>
      <c r="DF15" s="508"/>
      <c r="DG15" s="508"/>
      <c r="DH15" s="508"/>
      <c r="DI15" s="508"/>
      <c r="DJ15" s="508"/>
      <c r="DK15" s="508"/>
      <c r="DL15" s="508"/>
      <c r="DM15" s="508"/>
      <c r="DN15" s="508"/>
      <c r="DO15" s="508"/>
      <c r="DP15" s="508"/>
      <c r="DQ15" s="508"/>
      <c r="DR15" s="508"/>
      <c r="DS15" s="508"/>
      <c r="DT15" s="508"/>
      <c r="DU15" s="508"/>
      <c r="DV15" s="508"/>
      <c r="DW15" s="508"/>
      <c r="DX15" s="508"/>
      <c r="DY15" s="508"/>
      <c r="DZ15" s="508"/>
      <c r="EA15" s="508"/>
      <c r="EB15" s="508"/>
      <c r="EC15" s="508"/>
      <c r="ED15" s="508"/>
      <c r="EE15" s="508"/>
      <c r="EF15" s="508"/>
      <c r="EG15" s="508"/>
      <c r="EH15" s="508"/>
      <c r="EI15" s="508"/>
      <c r="EJ15" s="508"/>
      <c r="EK15" s="508"/>
      <c r="EL15" s="508"/>
      <c r="EM15" s="508"/>
      <c r="EN15" s="508"/>
      <c r="EO15" s="508"/>
      <c r="EP15" s="508"/>
      <c r="EQ15" s="508"/>
      <c r="ER15" s="508"/>
      <c r="ES15" s="508"/>
      <c r="ET15" s="509"/>
    </row>
    <row r="16" spans="1:212" s="510" customFormat="1">
      <c r="A16" s="507"/>
      <c r="B16" s="504" t="s">
        <v>1201</v>
      </c>
      <c r="C16" s="504"/>
      <c r="D16" s="394"/>
      <c r="E16" s="499">
        <f>ROUND((E14+F14+G14+H14)*取值表!$K$4*1.5%/4,0)</f>
        <v>1503</v>
      </c>
      <c r="F16" s="499">
        <f>E16</f>
        <v>1503</v>
      </c>
      <c r="G16" s="499">
        <f>F16</f>
        <v>1503</v>
      </c>
      <c r="H16" s="499">
        <f>G16</f>
        <v>1503</v>
      </c>
      <c r="I16" s="499">
        <f>ROUND((I14+J14+K14+L14)*取值表!$K$4*1.5%/4,0)</f>
        <v>1285</v>
      </c>
      <c r="J16" s="499">
        <f t="shared" ref="J16:L16" si="118">I16</f>
        <v>1285</v>
      </c>
      <c r="K16" s="499">
        <f t="shared" si="118"/>
        <v>1285</v>
      </c>
      <c r="L16" s="499">
        <f t="shared" si="118"/>
        <v>1285</v>
      </c>
      <c r="M16" s="499">
        <f>ROUND((M14+N14+O14+P14)*取值表!$K$4*1.5%/4,0)</f>
        <v>1293</v>
      </c>
      <c r="N16" s="499">
        <f t="shared" ref="N16:P16" si="119">M16</f>
        <v>1293</v>
      </c>
      <c r="O16" s="499">
        <f t="shared" si="119"/>
        <v>1293</v>
      </c>
      <c r="P16" s="499">
        <f t="shared" si="119"/>
        <v>1293</v>
      </c>
      <c r="Q16" s="499">
        <f>ROUND((Q14+R14+S14+T14)*取值表!$K$4*1.5%/4,0)</f>
        <v>1301</v>
      </c>
      <c r="R16" s="499">
        <f t="shared" ref="R16:T16" si="120">Q16</f>
        <v>1301</v>
      </c>
      <c r="S16" s="499">
        <f t="shared" si="120"/>
        <v>1301</v>
      </c>
      <c r="T16" s="499">
        <f t="shared" si="120"/>
        <v>1301</v>
      </c>
      <c r="U16" s="499">
        <f>ROUND((U14+V14+W14+X14)*取值表!$K$4*1.5%/4,0)</f>
        <v>1309</v>
      </c>
      <c r="V16" s="499">
        <f t="shared" ref="V16:X16" si="121">U16</f>
        <v>1309</v>
      </c>
      <c r="W16" s="499">
        <f t="shared" si="121"/>
        <v>1309</v>
      </c>
      <c r="X16" s="499">
        <f t="shared" si="121"/>
        <v>1309</v>
      </c>
      <c r="Y16" s="499">
        <f>ROUND((Y14+Z14+AA14+AB14)*取值表!$K$4*1.5%/4,0)</f>
        <v>1316</v>
      </c>
      <c r="Z16" s="499">
        <f t="shared" ref="Z16:AB16" si="122">Y16</f>
        <v>1316</v>
      </c>
      <c r="AA16" s="499">
        <f t="shared" si="122"/>
        <v>1316</v>
      </c>
      <c r="AB16" s="499">
        <f t="shared" si="122"/>
        <v>1316</v>
      </c>
      <c r="AC16" s="499">
        <f>ROUND((AC14+AD14+AE14+AF14)*取值表!$K$4*1.5%/4,0)</f>
        <v>1324</v>
      </c>
      <c r="AD16" s="499">
        <f t="shared" ref="AD16:AF16" si="123">AC16</f>
        <v>1324</v>
      </c>
      <c r="AE16" s="499">
        <f t="shared" si="123"/>
        <v>1324</v>
      </c>
      <c r="AF16" s="499">
        <f t="shared" si="123"/>
        <v>1324</v>
      </c>
      <c r="AG16" s="499">
        <f>ROUND((AG14+AH14+AI14+AJ14)*取值表!$K$4*1.5%/4,0)</f>
        <v>1332</v>
      </c>
      <c r="AH16" s="499">
        <f t="shared" ref="AH16:AJ16" si="124">AG16</f>
        <v>1332</v>
      </c>
      <c r="AI16" s="499">
        <f t="shared" si="124"/>
        <v>1332</v>
      </c>
      <c r="AJ16" s="499">
        <f t="shared" si="124"/>
        <v>1332</v>
      </c>
      <c r="AK16" s="499">
        <f>ROUND((AK14+AL14+AM14+AN14)*取值表!$K$4*1.5%/4,0)</f>
        <v>1340</v>
      </c>
      <c r="AL16" s="499">
        <f t="shared" ref="AL16:AN16" si="125">AK16</f>
        <v>1340</v>
      </c>
      <c r="AM16" s="499">
        <f t="shared" si="125"/>
        <v>1340</v>
      </c>
      <c r="AN16" s="499">
        <f t="shared" si="125"/>
        <v>1340</v>
      </c>
      <c r="AO16" s="499">
        <f>ROUND((AO14+AP14+AQ14+AR14)*取值表!$K$4*1.5%/4,0)</f>
        <v>1348</v>
      </c>
      <c r="AP16" s="499">
        <f t="shared" ref="AP16:AR16" si="126">AO16</f>
        <v>1348</v>
      </c>
      <c r="AQ16" s="499">
        <f t="shared" si="126"/>
        <v>1348</v>
      </c>
      <c r="AR16" s="499">
        <f t="shared" si="126"/>
        <v>1348</v>
      </c>
      <c r="AS16" s="499">
        <f>ROUND((AS14+AT14+AU14+AV14)*取值表!$K$4*1.5%/4,0)</f>
        <v>1356</v>
      </c>
      <c r="AT16" s="499">
        <f t="shared" ref="AT16:AV16" si="127">AS16</f>
        <v>1356</v>
      </c>
      <c r="AU16" s="499">
        <f t="shared" si="127"/>
        <v>1356</v>
      </c>
      <c r="AV16" s="499">
        <f t="shared" si="127"/>
        <v>1356</v>
      </c>
      <c r="AW16" s="499">
        <f>ROUND((AW14+AX14+AY14+AZ14)*取值表!$K$4*1.5%/4,0)</f>
        <v>1365</v>
      </c>
      <c r="AX16" s="499">
        <f t="shared" ref="AX16:AZ16" si="128">AW16</f>
        <v>1365</v>
      </c>
      <c r="AY16" s="499">
        <f t="shared" si="128"/>
        <v>1365</v>
      </c>
      <c r="AZ16" s="499">
        <f t="shared" si="128"/>
        <v>1365</v>
      </c>
      <c r="BA16" s="499">
        <f>ROUND((BA14+BB14+BC14+BD14)*取值表!$K$4*1.5%/4,0)</f>
        <v>1373</v>
      </c>
      <c r="BB16" s="499">
        <f t="shared" ref="BB16:BD16" si="129">BA16</f>
        <v>1373</v>
      </c>
      <c r="BC16" s="499">
        <f t="shared" si="129"/>
        <v>1373</v>
      </c>
      <c r="BD16" s="499">
        <f t="shared" si="129"/>
        <v>1373</v>
      </c>
      <c r="BE16" s="499">
        <f>ROUND((BE14+BF14+BG14+BH14)*取值表!$K$4*1.5%/4,0)</f>
        <v>1381</v>
      </c>
      <c r="BF16" s="499">
        <f t="shared" ref="BF16:BH16" si="130">BE16</f>
        <v>1381</v>
      </c>
      <c r="BG16" s="499">
        <f t="shared" si="130"/>
        <v>1381</v>
      </c>
      <c r="BH16" s="499">
        <f t="shared" si="130"/>
        <v>1381</v>
      </c>
      <c r="BI16" s="499">
        <f>ROUND((BI14+BJ14+BK14+BL14)*取值表!$K$4*1.5%/4,0)</f>
        <v>1389</v>
      </c>
      <c r="BJ16" s="499">
        <f t="shared" ref="BJ16:BL16" si="131">BI16</f>
        <v>1389</v>
      </c>
      <c r="BK16" s="499">
        <f t="shared" si="131"/>
        <v>1389</v>
      </c>
      <c r="BL16" s="499">
        <f t="shared" si="131"/>
        <v>1389</v>
      </c>
      <c r="BM16" s="499">
        <f>ROUND((BM14+BN14+BO14+BP14)*取值表!$K$4*1.5%/4,0)</f>
        <v>1398</v>
      </c>
      <c r="BN16" s="499">
        <f t="shared" ref="BN16:BP16" si="132">BM16</f>
        <v>1398</v>
      </c>
      <c r="BO16" s="499">
        <f t="shared" si="132"/>
        <v>1398</v>
      </c>
      <c r="BP16" s="499">
        <f t="shared" si="132"/>
        <v>1398</v>
      </c>
      <c r="BQ16" s="499">
        <f>ROUND((BQ14+BR14+BS14+BT14)*取值表!$K$4*1.5%/4,0)</f>
        <v>1406</v>
      </c>
      <c r="BR16" s="499">
        <f t="shared" ref="BR16:BT16" si="133">BQ16</f>
        <v>1406</v>
      </c>
      <c r="BS16" s="499">
        <f t="shared" si="133"/>
        <v>1406</v>
      </c>
      <c r="BT16" s="499">
        <f t="shared" si="133"/>
        <v>1406</v>
      </c>
      <c r="BU16" s="499">
        <f>ROUND((BU14+BV14+BW14+BX14)*取值表!$K$4*1.5%/4,0)</f>
        <v>1414</v>
      </c>
      <c r="BV16" s="499">
        <f t="shared" ref="BV16:BX16" si="134">BU16</f>
        <v>1414</v>
      </c>
      <c r="BW16" s="499">
        <f t="shared" si="134"/>
        <v>1414</v>
      </c>
      <c r="BX16" s="499">
        <f t="shared" si="134"/>
        <v>1414</v>
      </c>
      <c r="BY16" s="499">
        <f>ROUND((BY14+BZ14+CA14+CB14)*取值表!$K$4*1.5%/4,0)</f>
        <v>1423</v>
      </c>
      <c r="BZ16" s="499">
        <f t="shared" ref="BZ16:CB16" si="135">BY16</f>
        <v>1423</v>
      </c>
      <c r="CA16" s="499">
        <f t="shared" si="135"/>
        <v>1423</v>
      </c>
      <c r="CB16" s="499">
        <f t="shared" si="135"/>
        <v>1423</v>
      </c>
      <c r="CC16" s="499">
        <f>ROUND((CC14+CD14+CE14+CF14)*取值表!$K$4*1.5%/4,0)</f>
        <v>1431</v>
      </c>
      <c r="CD16" s="499">
        <f t="shared" ref="CD16:CF16" si="136">CC16</f>
        <v>1431</v>
      </c>
      <c r="CE16" s="499">
        <f t="shared" si="136"/>
        <v>1431</v>
      </c>
      <c r="CF16" s="499">
        <f t="shared" si="136"/>
        <v>1431</v>
      </c>
      <c r="CG16" s="499">
        <f>ROUND((CG14+CH14+CI14+CJ14)*取值表!$K$4*1.5%/4,0)</f>
        <v>1440</v>
      </c>
      <c r="CH16" s="499">
        <f t="shared" ref="CH16:CJ16" si="137">CG16</f>
        <v>1440</v>
      </c>
      <c r="CI16" s="499">
        <f t="shared" si="137"/>
        <v>1440</v>
      </c>
      <c r="CJ16" s="499">
        <f t="shared" si="137"/>
        <v>1440</v>
      </c>
      <c r="CK16" s="500">
        <f t="shared" si="117"/>
        <v>114908</v>
      </c>
      <c r="CL16" s="508"/>
      <c r="CM16" s="508"/>
      <c r="CN16" s="508"/>
      <c r="CO16" s="508"/>
      <c r="CP16" s="508"/>
      <c r="CQ16" s="508"/>
      <c r="CR16" s="508"/>
      <c r="CS16" s="508"/>
      <c r="CT16" s="508"/>
      <c r="CU16" s="508"/>
      <c r="CV16" s="508"/>
      <c r="CW16" s="508"/>
      <c r="CX16" s="508"/>
      <c r="CY16" s="508"/>
      <c r="CZ16" s="508"/>
      <c r="DA16" s="508"/>
      <c r="DB16" s="508"/>
      <c r="DC16" s="508"/>
      <c r="DD16" s="508"/>
      <c r="DE16" s="508"/>
      <c r="DF16" s="508"/>
      <c r="DG16" s="508"/>
      <c r="DH16" s="508"/>
      <c r="DI16" s="508"/>
      <c r="DJ16" s="508"/>
      <c r="DK16" s="508"/>
      <c r="DL16" s="508"/>
      <c r="DM16" s="508"/>
      <c r="DN16" s="508"/>
      <c r="DO16" s="508"/>
      <c r="DP16" s="508"/>
      <c r="DQ16" s="508"/>
      <c r="DR16" s="508"/>
      <c r="DS16" s="508"/>
      <c r="DT16" s="508"/>
      <c r="DU16" s="508"/>
      <c r="DV16" s="508"/>
      <c r="DW16" s="508"/>
      <c r="DX16" s="508"/>
      <c r="DY16" s="508"/>
      <c r="DZ16" s="508"/>
      <c r="EA16" s="508"/>
      <c r="EB16" s="508"/>
      <c r="EC16" s="508"/>
      <c r="ED16" s="508"/>
      <c r="EE16" s="508"/>
      <c r="EF16" s="508"/>
      <c r="EG16" s="508"/>
      <c r="EH16" s="508"/>
      <c r="EI16" s="508"/>
      <c r="EJ16" s="508"/>
      <c r="EK16" s="508"/>
      <c r="EL16" s="508"/>
      <c r="EM16" s="508"/>
      <c r="EN16" s="508"/>
      <c r="EO16" s="508"/>
      <c r="EP16" s="508"/>
      <c r="EQ16" s="508"/>
      <c r="ER16" s="508"/>
      <c r="ES16" s="508"/>
      <c r="ET16" s="509"/>
    </row>
    <row r="17" spans="1:151" s="503" customFormat="1">
      <c r="A17" s="497"/>
      <c r="B17" s="498" t="s">
        <v>1202</v>
      </c>
      <c r="C17" s="499"/>
      <c r="D17" s="394"/>
      <c r="E17" s="499">
        <f>E18+E19+E20+E21</f>
        <v>38125</v>
      </c>
      <c r="F17" s="499">
        <f t="shared" ref="F17:BP17" si="138">F18+F19+F20+F21</f>
        <v>38125</v>
      </c>
      <c r="G17" s="499">
        <f t="shared" si="138"/>
        <v>38125</v>
      </c>
      <c r="H17" s="499">
        <f t="shared" si="138"/>
        <v>38125</v>
      </c>
      <c r="I17" s="499">
        <f t="shared" si="138"/>
        <v>32644</v>
      </c>
      <c r="J17" s="499">
        <f t="shared" si="138"/>
        <v>32644</v>
      </c>
      <c r="K17" s="499">
        <f t="shared" si="138"/>
        <v>32644</v>
      </c>
      <c r="L17" s="499">
        <f t="shared" si="138"/>
        <v>32644</v>
      </c>
      <c r="M17" s="499">
        <f t="shared" si="138"/>
        <v>32840</v>
      </c>
      <c r="N17" s="499">
        <f t="shared" si="138"/>
        <v>32840</v>
      </c>
      <c r="O17" s="499">
        <f t="shared" si="138"/>
        <v>32840</v>
      </c>
      <c r="P17" s="499">
        <f t="shared" si="138"/>
        <v>32840</v>
      </c>
      <c r="Q17" s="499">
        <f t="shared" si="138"/>
        <v>33033</v>
      </c>
      <c r="R17" s="499">
        <f t="shared" si="138"/>
        <v>33033</v>
      </c>
      <c r="S17" s="499">
        <f t="shared" si="138"/>
        <v>33033</v>
      </c>
      <c r="T17" s="499">
        <f t="shared" si="138"/>
        <v>33033</v>
      </c>
      <c r="U17" s="499">
        <f t="shared" si="138"/>
        <v>33230</v>
      </c>
      <c r="V17" s="499">
        <f t="shared" si="138"/>
        <v>33230</v>
      </c>
      <c r="W17" s="499">
        <f t="shared" si="138"/>
        <v>33230</v>
      </c>
      <c r="X17" s="499">
        <f t="shared" si="138"/>
        <v>33230</v>
      </c>
      <c r="Y17" s="499">
        <f t="shared" si="138"/>
        <v>33428</v>
      </c>
      <c r="Z17" s="499">
        <f t="shared" si="138"/>
        <v>33428</v>
      </c>
      <c r="AA17" s="499">
        <f t="shared" si="138"/>
        <v>33428</v>
      </c>
      <c r="AB17" s="499">
        <f t="shared" si="138"/>
        <v>33428</v>
      </c>
      <c r="AC17" s="499">
        <f t="shared" si="138"/>
        <v>33628</v>
      </c>
      <c r="AD17" s="499">
        <f t="shared" si="138"/>
        <v>33628</v>
      </c>
      <c r="AE17" s="499">
        <f t="shared" si="138"/>
        <v>33628</v>
      </c>
      <c r="AF17" s="499">
        <f t="shared" si="138"/>
        <v>33628</v>
      </c>
      <c r="AG17" s="499">
        <f t="shared" si="138"/>
        <v>33826</v>
      </c>
      <c r="AH17" s="499">
        <f t="shared" si="138"/>
        <v>33826</v>
      </c>
      <c r="AI17" s="499">
        <f t="shared" si="138"/>
        <v>33826</v>
      </c>
      <c r="AJ17" s="499">
        <f t="shared" si="138"/>
        <v>33826</v>
      </c>
      <c r="AK17" s="499">
        <f t="shared" si="138"/>
        <v>34029</v>
      </c>
      <c r="AL17" s="499">
        <f t="shared" si="138"/>
        <v>34029</v>
      </c>
      <c r="AM17" s="499">
        <f t="shared" si="138"/>
        <v>34029</v>
      </c>
      <c r="AN17" s="499">
        <f t="shared" si="138"/>
        <v>34029</v>
      </c>
      <c r="AO17" s="499">
        <f t="shared" si="138"/>
        <v>34230</v>
      </c>
      <c r="AP17" s="499">
        <f t="shared" si="138"/>
        <v>34230</v>
      </c>
      <c r="AQ17" s="499">
        <f t="shared" si="138"/>
        <v>34230</v>
      </c>
      <c r="AR17" s="499">
        <f t="shared" si="138"/>
        <v>34230</v>
      </c>
      <c r="AS17" s="499">
        <f t="shared" si="138"/>
        <v>34434</v>
      </c>
      <c r="AT17" s="499">
        <f t="shared" si="138"/>
        <v>34434</v>
      </c>
      <c r="AU17" s="499">
        <f t="shared" si="138"/>
        <v>34434</v>
      </c>
      <c r="AV17" s="499">
        <f t="shared" si="138"/>
        <v>34434</v>
      </c>
      <c r="AW17" s="499">
        <f t="shared" si="138"/>
        <v>34639</v>
      </c>
      <c r="AX17" s="499">
        <f t="shared" si="138"/>
        <v>34639</v>
      </c>
      <c r="AY17" s="499">
        <f t="shared" si="138"/>
        <v>34639</v>
      </c>
      <c r="AZ17" s="499">
        <f t="shared" si="138"/>
        <v>34639</v>
      </c>
      <c r="BA17" s="499">
        <f t="shared" si="138"/>
        <v>34845</v>
      </c>
      <c r="BB17" s="499">
        <f t="shared" si="138"/>
        <v>34845</v>
      </c>
      <c r="BC17" s="499">
        <f t="shared" si="138"/>
        <v>34845</v>
      </c>
      <c r="BD17" s="499">
        <f t="shared" si="138"/>
        <v>34845</v>
      </c>
      <c r="BE17" s="499">
        <f t="shared" si="138"/>
        <v>35053</v>
      </c>
      <c r="BF17" s="499">
        <f t="shared" si="138"/>
        <v>35053</v>
      </c>
      <c r="BG17" s="499">
        <f t="shared" si="138"/>
        <v>35053</v>
      </c>
      <c r="BH17" s="499">
        <f t="shared" si="138"/>
        <v>35053</v>
      </c>
      <c r="BI17" s="499">
        <f t="shared" si="138"/>
        <v>35261</v>
      </c>
      <c r="BJ17" s="499">
        <f t="shared" si="138"/>
        <v>35261</v>
      </c>
      <c r="BK17" s="499">
        <f t="shared" si="138"/>
        <v>35261</v>
      </c>
      <c r="BL17" s="499">
        <f t="shared" si="138"/>
        <v>35261</v>
      </c>
      <c r="BM17" s="499">
        <f t="shared" si="138"/>
        <v>35470</v>
      </c>
      <c r="BN17" s="499">
        <f t="shared" si="138"/>
        <v>35470</v>
      </c>
      <c r="BO17" s="499">
        <f t="shared" si="138"/>
        <v>35470</v>
      </c>
      <c r="BP17" s="499">
        <f t="shared" si="138"/>
        <v>35470</v>
      </c>
      <c r="BQ17" s="499">
        <f t="shared" ref="BQ17:CI17" si="139">BQ18+BQ19+BQ20+BQ21</f>
        <v>35682</v>
      </c>
      <c r="BR17" s="499">
        <f t="shared" si="139"/>
        <v>35682</v>
      </c>
      <c r="BS17" s="499">
        <f t="shared" si="139"/>
        <v>35682</v>
      </c>
      <c r="BT17" s="499">
        <f t="shared" si="139"/>
        <v>35682</v>
      </c>
      <c r="BU17" s="499">
        <f t="shared" si="139"/>
        <v>35894</v>
      </c>
      <c r="BV17" s="499">
        <f t="shared" si="139"/>
        <v>35894</v>
      </c>
      <c r="BW17" s="499">
        <f t="shared" si="139"/>
        <v>35894</v>
      </c>
      <c r="BX17" s="499">
        <f t="shared" si="139"/>
        <v>35894</v>
      </c>
      <c r="BY17" s="499">
        <f t="shared" si="139"/>
        <v>36108</v>
      </c>
      <c r="BZ17" s="499">
        <f t="shared" si="139"/>
        <v>36108</v>
      </c>
      <c r="CA17" s="499">
        <f t="shared" si="139"/>
        <v>36108</v>
      </c>
      <c r="CB17" s="499">
        <f t="shared" si="139"/>
        <v>36108</v>
      </c>
      <c r="CC17" s="499">
        <f t="shared" si="139"/>
        <v>36322</v>
      </c>
      <c r="CD17" s="499">
        <f t="shared" si="139"/>
        <v>36322</v>
      </c>
      <c r="CE17" s="499">
        <f t="shared" si="139"/>
        <v>36322</v>
      </c>
      <c r="CF17" s="499">
        <f t="shared" si="139"/>
        <v>36322</v>
      </c>
      <c r="CG17" s="499">
        <f t="shared" si="139"/>
        <v>36539</v>
      </c>
      <c r="CH17" s="499">
        <f t="shared" si="139"/>
        <v>36539</v>
      </c>
      <c r="CI17" s="499">
        <f t="shared" si="139"/>
        <v>36539</v>
      </c>
      <c r="CJ17" s="499">
        <f>CJ18+CJ19+CJ20+CJ21</f>
        <v>36539</v>
      </c>
      <c r="CK17" s="500">
        <f t="shared" si="117"/>
        <v>2917040</v>
      </c>
      <c r="CL17" s="501"/>
      <c r="CM17" s="501"/>
      <c r="CN17" s="501"/>
      <c r="CO17" s="501"/>
      <c r="CP17" s="501"/>
      <c r="CQ17" s="501"/>
      <c r="CR17" s="501"/>
      <c r="CS17" s="501"/>
      <c r="CT17" s="501"/>
      <c r="CU17" s="501"/>
      <c r="CV17" s="501"/>
      <c r="CW17" s="501"/>
      <c r="CX17" s="501"/>
      <c r="CY17" s="501"/>
      <c r="CZ17" s="501"/>
      <c r="DA17" s="501"/>
      <c r="DB17" s="501"/>
      <c r="DC17" s="501"/>
      <c r="DD17" s="501"/>
      <c r="DE17" s="501"/>
      <c r="DF17" s="501"/>
      <c r="DG17" s="501"/>
      <c r="DH17" s="501"/>
      <c r="DI17" s="501"/>
      <c r="DJ17" s="501"/>
      <c r="DK17" s="501"/>
      <c r="DL17" s="501"/>
      <c r="DM17" s="501"/>
      <c r="DN17" s="501"/>
      <c r="DO17" s="501"/>
      <c r="DP17" s="501"/>
      <c r="DQ17" s="501"/>
      <c r="DR17" s="501"/>
      <c r="DS17" s="501"/>
      <c r="DT17" s="501"/>
      <c r="DU17" s="501"/>
      <c r="DV17" s="501"/>
      <c r="DW17" s="501"/>
      <c r="DX17" s="501"/>
      <c r="DY17" s="501"/>
      <c r="DZ17" s="501"/>
      <c r="EA17" s="501"/>
      <c r="EB17" s="501"/>
      <c r="EC17" s="501"/>
      <c r="ED17" s="501"/>
      <c r="EE17" s="501"/>
      <c r="EF17" s="501"/>
      <c r="EG17" s="501"/>
      <c r="EH17" s="501"/>
      <c r="EI17" s="501"/>
      <c r="EJ17" s="501"/>
      <c r="EK17" s="501"/>
      <c r="EL17" s="501"/>
      <c r="EM17" s="501"/>
      <c r="EN17" s="501"/>
      <c r="EO17" s="501"/>
      <c r="EP17" s="501"/>
      <c r="EQ17" s="501"/>
      <c r="ER17" s="501"/>
      <c r="ES17" s="501"/>
      <c r="ET17" s="502"/>
    </row>
    <row r="18" spans="1:151" s="503" customFormat="1">
      <c r="A18" s="497"/>
      <c r="B18" s="504" t="s">
        <v>1203</v>
      </c>
      <c r="C18" s="504"/>
      <c r="D18" s="505">
        <v>0.12</v>
      </c>
      <c r="E18" s="506">
        <f>ROUND(E13*$D$18,0)</f>
        <v>21276</v>
      </c>
      <c r="F18" s="506">
        <f t="shared" ref="F18:J18" si="140">ROUND(F13*$D$18,0)</f>
        <v>21276</v>
      </c>
      <c r="G18" s="506">
        <f t="shared" si="140"/>
        <v>21276</v>
      </c>
      <c r="H18" s="506">
        <f t="shared" si="140"/>
        <v>21276</v>
      </c>
      <c r="I18" s="506">
        <f t="shared" si="140"/>
        <v>18193</v>
      </c>
      <c r="J18" s="506">
        <f t="shared" si="140"/>
        <v>18193</v>
      </c>
      <c r="K18" s="506">
        <f t="shared" ref="K18:BV18" si="141">ROUND(K13*$D$18,0)</f>
        <v>18193</v>
      </c>
      <c r="L18" s="506">
        <f t="shared" si="141"/>
        <v>18193</v>
      </c>
      <c r="M18" s="506">
        <f t="shared" si="141"/>
        <v>18303</v>
      </c>
      <c r="N18" s="506">
        <f t="shared" si="141"/>
        <v>18303</v>
      </c>
      <c r="O18" s="506">
        <f t="shared" si="141"/>
        <v>18303</v>
      </c>
      <c r="P18" s="506">
        <f t="shared" si="141"/>
        <v>18303</v>
      </c>
      <c r="Q18" s="506">
        <f t="shared" si="141"/>
        <v>18412</v>
      </c>
      <c r="R18" s="506">
        <f t="shared" si="141"/>
        <v>18412</v>
      </c>
      <c r="S18" s="506">
        <f t="shared" si="141"/>
        <v>18412</v>
      </c>
      <c r="T18" s="506">
        <f t="shared" si="141"/>
        <v>18412</v>
      </c>
      <c r="U18" s="506">
        <f t="shared" si="141"/>
        <v>18523</v>
      </c>
      <c r="V18" s="506">
        <f t="shared" si="141"/>
        <v>18523</v>
      </c>
      <c r="W18" s="506">
        <f t="shared" si="141"/>
        <v>18523</v>
      </c>
      <c r="X18" s="506">
        <f t="shared" si="141"/>
        <v>18523</v>
      </c>
      <c r="Y18" s="506">
        <f t="shared" si="141"/>
        <v>18634</v>
      </c>
      <c r="Z18" s="506">
        <f t="shared" si="141"/>
        <v>18634</v>
      </c>
      <c r="AA18" s="506">
        <f t="shared" si="141"/>
        <v>18634</v>
      </c>
      <c r="AB18" s="506">
        <f t="shared" si="141"/>
        <v>18634</v>
      </c>
      <c r="AC18" s="506">
        <f t="shared" si="141"/>
        <v>18746</v>
      </c>
      <c r="AD18" s="506">
        <f t="shared" si="141"/>
        <v>18746</v>
      </c>
      <c r="AE18" s="506">
        <f t="shared" si="141"/>
        <v>18746</v>
      </c>
      <c r="AF18" s="506">
        <f t="shared" si="141"/>
        <v>18746</v>
      </c>
      <c r="AG18" s="506">
        <f t="shared" si="141"/>
        <v>18858</v>
      </c>
      <c r="AH18" s="506">
        <f t="shared" si="141"/>
        <v>18858</v>
      </c>
      <c r="AI18" s="506">
        <f t="shared" si="141"/>
        <v>18858</v>
      </c>
      <c r="AJ18" s="506">
        <f t="shared" si="141"/>
        <v>18858</v>
      </c>
      <c r="AK18" s="506">
        <f t="shared" si="141"/>
        <v>18972</v>
      </c>
      <c r="AL18" s="506">
        <f t="shared" si="141"/>
        <v>18972</v>
      </c>
      <c r="AM18" s="506">
        <f t="shared" si="141"/>
        <v>18972</v>
      </c>
      <c r="AN18" s="506">
        <f t="shared" si="141"/>
        <v>18972</v>
      </c>
      <c r="AO18" s="506">
        <f t="shared" si="141"/>
        <v>19085</v>
      </c>
      <c r="AP18" s="506">
        <f t="shared" si="141"/>
        <v>19085</v>
      </c>
      <c r="AQ18" s="506">
        <f t="shared" si="141"/>
        <v>19085</v>
      </c>
      <c r="AR18" s="506">
        <f t="shared" si="141"/>
        <v>19085</v>
      </c>
      <c r="AS18" s="506">
        <f t="shared" si="141"/>
        <v>19200</v>
      </c>
      <c r="AT18" s="506">
        <f t="shared" si="141"/>
        <v>19200</v>
      </c>
      <c r="AU18" s="506">
        <f t="shared" si="141"/>
        <v>19200</v>
      </c>
      <c r="AV18" s="506">
        <f t="shared" si="141"/>
        <v>19200</v>
      </c>
      <c r="AW18" s="506">
        <f t="shared" si="141"/>
        <v>19315</v>
      </c>
      <c r="AX18" s="506">
        <f t="shared" si="141"/>
        <v>19315</v>
      </c>
      <c r="AY18" s="506">
        <f t="shared" si="141"/>
        <v>19315</v>
      </c>
      <c r="AZ18" s="506">
        <f t="shared" si="141"/>
        <v>19315</v>
      </c>
      <c r="BA18" s="506">
        <f t="shared" si="141"/>
        <v>19431</v>
      </c>
      <c r="BB18" s="506">
        <f t="shared" si="141"/>
        <v>19431</v>
      </c>
      <c r="BC18" s="506">
        <f t="shared" si="141"/>
        <v>19431</v>
      </c>
      <c r="BD18" s="506">
        <f t="shared" si="141"/>
        <v>19431</v>
      </c>
      <c r="BE18" s="506">
        <f t="shared" si="141"/>
        <v>19548</v>
      </c>
      <c r="BF18" s="506">
        <f t="shared" si="141"/>
        <v>19548</v>
      </c>
      <c r="BG18" s="506">
        <f t="shared" si="141"/>
        <v>19548</v>
      </c>
      <c r="BH18" s="506">
        <f t="shared" si="141"/>
        <v>19548</v>
      </c>
      <c r="BI18" s="506">
        <f t="shared" si="141"/>
        <v>19665</v>
      </c>
      <c r="BJ18" s="506">
        <f t="shared" si="141"/>
        <v>19665</v>
      </c>
      <c r="BK18" s="506">
        <f t="shared" si="141"/>
        <v>19665</v>
      </c>
      <c r="BL18" s="506">
        <f t="shared" si="141"/>
        <v>19665</v>
      </c>
      <c r="BM18" s="506">
        <f t="shared" si="141"/>
        <v>19783</v>
      </c>
      <c r="BN18" s="506">
        <f t="shared" si="141"/>
        <v>19783</v>
      </c>
      <c r="BO18" s="506">
        <f t="shared" si="141"/>
        <v>19783</v>
      </c>
      <c r="BP18" s="506">
        <f t="shared" si="141"/>
        <v>19783</v>
      </c>
      <c r="BQ18" s="506">
        <f t="shared" si="141"/>
        <v>19902</v>
      </c>
      <c r="BR18" s="506">
        <f t="shared" si="141"/>
        <v>19902</v>
      </c>
      <c r="BS18" s="506">
        <f t="shared" si="141"/>
        <v>19902</v>
      </c>
      <c r="BT18" s="506">
        <f t="shared" si="141"/>
        <v>19902</v>
      </c>
      <c r="BU18" s="506">
        <f t="shared" si="141"/>
        <v>20021</v>
      </c>
      <c r="BV18" s="506">
        <f t="shared" si="141"/>
        <v>20021</v>
      </c>
      <c r="BW18" s="506">
        <f t="shared" ref="BW18:CJ18" si="142">ROUND(BW13*$D$18,0)</f>
        <v>20021</v>
      </c>
      <c r="BX18" s="506">
        <f t="shared" si="142"/>
        <v>20021</v>
      </c>
      <c r="BY18" s="506">
        <f t="shared" si="142"/>
        <v>20141</v>
      </c>
      <c r="BZ18" s="506">
        <f t="shared" si="142"/>
        <v>20141</v>
      </c>
      <c r="CA18" s="506">
        <f t="shared" si="142"/>
        <v>20141</v>
      </c>
      <c r="CB18" s="506">
        <f t="shared" si="142"/>
        <v>20141</v>
      </c>
      <c r="CC18" s="506">
        <f t="shared" si="142"/>
        <v>20262</v>
      </c>
      <c r="CD18" s="506">
        <f t="shared" si="142"/>
        <v>20262</v>
      </c>
      <c r="CE18" s="506">
        <f t="shared" si="142"/>
        <v>20262</v>
      </c>
      <c r="CF18" s="506">
        <f t="shared" si="142"/>
        <v>20262</v>
      </c>
      <c r="CG18" s="506">
        <f t="shared" si="142"/>
        <v>20384</v>
      </c>
      <c r="CH18" s="506">
        <f t="shared" si="142"/>
        <v>20384</v>
      </c>
      <c r="CI18" s="506">
        <f t="shared" si="142"/>
        <v>20384</v>
      </c>
      <c r="CJ18" s="506">
        <f t="shared" si="142"/>
        <v>20384</v>
      </c>
      <c r="CK18" s="500">
        <f t="shared" si="117"/>
        <v>1626616</v>
      </c>
      <c r="CL18" s="501"/>
      <c r="CM18" s="501"/>
      <c r="CN18" s="501"/>
      <c r="CO18" s="501"/>
      <c r="CP18" s="501"/>
      <c r="CQ18" s="501"/>
      <c r="CR18" s="501"/>
      <c r="CS18" s="501"/>
      <c r="CT18" s="501"/>
      <c r="CU18" s="501"/>
      <c r="CV18" s="501"/>
      <c r="CW18" s="501"/>
      <c r="CX18" s="501"/>
      <c r="CY18" s="501"/>
      <c r="CZ18" s="501"/>
      <c r="DA18" s="501"/>
      <c r="DB18" s="501"/>
      <c r="DC18" s="501"/>
      <c r="DD18" s="501"/>
      <c r="DE18" s="501"/>
      <c r="DF18" s="501"/>
      <c r="DG18" s="501"/>
      <c r="DH18" s="501"/>
      <c r="DI18" s="501"/>
      <c r="DJ18" s="501"/>
      <c r="DK18" s="501"/>
      <c r="DL18" s="501"/>
      <c r="DM18" s="501"/>
      <c r="DN18" s="501"/>
      <c r="DO18" s="501"/>
      <c r="DP18" s="501"/>
      <c r="DQ18" s="501"/>
      <c r="DR18" s="501"/>
      <c r="DS18" s="501"/>
      <c r="DT18" s="501"/>
      <c r="DU18" s="501"/>
      <c r="DV18" s="501"/>
      <c r="DW18" s="501"/>
      <c r="DX18" s="501"/>
      <c r="DY18" s="501"/>
      <c r="DZ18" s="501"/>
      <c r="EA18" s="501"/>
      <c r="EB18" s="501"/>
      <c r="EC18" s="501"/>
      <c r="ED18" s="501"/>
      <c r="EE18" s="501"/>
      <c r="EF18" s="501"/>
      <c r="EG18" s="501"/>
      <c r="EH18" s="501"/>
      <c r="EI18" s="501"/>
      <c r="EJ18" s="501"/>
      <c r="EK18" s="501"/>
      <c r="EL18" s="501"/>
      <c r="EM18" s="501"/>
      <c r="EN18" s="501"/>
      <c r="EO18" s="501"/>
      <c r="EP18" s="501"/>
      <c r="EQ18" s="501"/>
      <c r="ER18" s="501"/>
      <c r="ES18" s="501"/>
      <c r="ET18" s="502"/>
    </row>
    <row r="19" spans="1:151" s="510" customFormat="1">
      <c r="A19" s="507"/>
      <c r="B19" s="504" t="s">
        <v>1204</v>
      </c>
      <c r="C19" s="504"/>
      <c r="D19" s="394">
        <v>5.6000000000000001E-2</v>
      </c>
      <c r="E19" s="499">
        <f>ROUND(E13*$D$19/(1+5%),0)</f>
        <v>9456</v>
      </c>
      <c r="F19" s="499">
        <f t="shared" ref="F19:J19" si="143">ROUND(F13*$D$19/(1+5%),0)</f>
        <v>9456</v>
      </c>
      <c r="G19" s="499">
        <f t="shared" si="143"/>
        <v>9456</v>
      </c>
      <c r="H19" s="499">
        <f t="shared" si="143"/>
        <v>9456</v>
      </c>
      <c r="I19" s="499">
        <f t="shared" si="143"/>
        <v>8086</v>
      </c>
      <c r="J19" s="499">
        <f t="shared" si="143"/>
        <v>8086</v>
      </c>
      <c r="K19" s="499">
        <f t="shared" ref="K19:BV19" si="144">ROUND(K13*$D$19/(1+5%),0)</f>
        <v>8086</v>
      </c>
      <c r="L19" s="499">
        <f t="shared" si="144"/>
        <v>8086</v>
      </c>
      <c r="M19" s="499">
        <f t="shared" si="144"/>
        <v>8135</v>
      </c>
      <c r="N19" s="499">
        <f t="shared" si="144"/>
        <v>8135</v>
      </c>
      <c r="O19" s="499">
        <f t="shared" si="144"/>
        <v>8135</v>
      </c>
      <c r="P19" s="499">
        <f t="shared" si="144"/>
        <v>8135</v>
      </c>
      <c r="Q19" s="499">
        <f t="shared" si="144"/>
        <v>8183</v>
      </c>
      <c r="R19" s="499">
        <f t="shared" si="144"/>
        <v>8183</v>
      </c>
      <c r="S19" s="499">
        <f t="shared" si="144"/>
        <v>8183</v>
      </c>
      <c r="T19" s="499">
        <f t="shared" si="144"/>
        <v>8183</v>
      </c>
      <c r="U19" s="499">
        <f t="shared" si="144"/>
        <v>8232</v>
      </c>
      <c r="V19" s="499">
        <f t="shared" si="144"/>
        <v>8232</v>
      </c>
      <c r="W19" s="499">
        <f t="shared" si="144"/>
        <v>8232</v>
      </c>
      <c r="X19" s="499">
        <f t="shared" si="144"/>
        <v>8232</v>
      </c>
      <c r="Y19" s="499">
        <f t="shared" si="144"/>
        <v>8282</v>
      </c>
      <c r="Z19" s="499">
        <f t="shared" si="144"/>
        <v>8282</v>
      </c>
      <c r="AA19" s="499">
        <f t="shared" si="144"/>
        <v>8282</v>
      </c>
      <c r="AB19" s="499">
        <f t="shared" si="144"/>
        <v>8282</v>
      </c>
      <c r="AC19" s="499">
        <f t="shared" si="144"/>
        <v>8332</v>
      </c>
      <c r="AD19" s="499">
        <f t="shared" si="144"/>
        <v>8332</v>
      </c>
      <c r="AE19" s="499">
        <f t="shared" si="144"/>
        <v>8332</v>
      </c>
      <c r="AF19" s="499">
        <f t="shared" si="144"/>
        <v>8332</v>
      </c>
      <c r="AG19" s="499">
        <f t="shared" si="144"/>
        <v>8381</v>
      </c>
      <c r="AH19" s="499">
        <f t="shared" si="144"/>
        <v>8381</v>
      </c>
      <c r="AI19" s="499">
        <f t="shared" si="144"/>
        <v>8381</v>
      </c>
      <c r="AJ19" s="499">
        <f t="shared" si="144"/>
        <v>8381</v>
      </c>
      <c r="AK19" s="499">
        <f t="shared" si="144"/>
        <v>8432</v>
      </c>
      <c r="AL19" s="499">
        <f t="shared" si="144"/>
        <v>8432</v>
      </c>
      <c r="AM19" s="499">
        <f t="shared" si="144"/>
        <v>8432</v>
      </c>
      <c r="AN19" s="499">
        <f t="shared" si="144"/>
        <v>8432</v>
      </c>
      <c r="AO19" s="499">
        <f t="shared" si="144"/>
        <v>8482</v>
      </c>
      <c r="AP19" s="499">
        <f t="shared" si="144"/>
        <v>8482</v>
      </c>
      <c r="AQ19" s="499">
        <f t="shared" si="144"/>
        <v>8482</v>
      </c>
      <c r="AR19" s="499">
        <f t="shared" si="144"/>
        <v>8482</v>
      </c>
      <c r="AS19" s="499">
        <f t="shared" si="144"/>
        <v>8533</v>
      </c>
      <c r="AT19" s="499">
        <f t="shared" si="144"/>
        <v>8533</v>
      </c>
      <c r="AU19" s="499">
        <f t="shared" si="144"/>
        <v>8533</v>
      </c>
      <c r="AV19" s="499">
        <f t="shared" si="144"/>
        <v>8533</v>
      </c>
      <c r="AW19" s="499">
        <f t="shared" si="144"/>
        <v>8585</v>
      </c>
      <c r="AX19" s="499">
        <f t="shared" si="144"/>
        <v>8585</v>
      </c>
      <c r="AY19" s="499">
        <f t="shared" si="144"/>
        <v>8585</v>
      </c>
      <c r="AZ19" s="499">
        <f t="shared" si="144"/>
        <v>8585</v>
      </c>
      <c r="BA19" s="499">
        <f t="shared" si="144"/>
        <v>8636</v>
      </c>
      <c r="BB19" s="499">
        <f t="shared" si="144"/>
        <v>8636</v>
      </c>
      <c r="BC19" s="499">
        <f t="shared" si="144"/>
        <v>8636</v>
      </c>
      <c r="BD19" s="499">
        <f t="shared" si="144"/>
        <v>8636</v>
      </c>
      <c r="BE19" s="499">
        <f t="shared" si="144"/>
        <v>8688</v>
      </c>
      <c r="BF19" s="499">
        <f t="shared" si="144"/>
        <v>8688</v>
      </c>
      <c r="BG19" s="499">
        <f t="shared" si="144"/>
        <v>8688</v>
      </c>
      <c r="BH19" s="499">
        <f t="shared" si="144"/>
        <v>8688</v>
      </c>
      <c r="BI19" s="499">
        <f t="shared" si="144"/>
        <v>8740</v>
      </c>
      <c r="BJ19" s="499">
        <f t="shared" si="144"/>
        <v>8740</v>
      </c>
      <c r="BK19" s="499">
        <f t="shared" si="144"/>
        <v>8740</v>
      </c>
      <c r="BL19" s="499">
        <f t="shared" si="144"/>
        <v>8740</v>
      </c>
      <c r="BM19" s="499">
        <f t="shared" si="144"/>
        <v>8792</v>
      </c>
      <c r="BN19" s="499">
        <f t="shared" si="144"/>
        <v>8792</v>
      </c>
      <c r="BO19" s="499">
        <f t="shared" si="144"/>
        <v>8792</v>
      </c>
      <c r="BP19" s="499">
        <f t="shared" si="144"/>
        <v>8792</v>
      </c>
      <c r="BQ19" s="499">
        <f t="shared" si="144"/>
        <v>8845</v>
      </c>
      <c r="BR19" s="499">
        <f t="shared" si="144"/>
        <v>8845</v>
      </c>
      <c r="BS19" s="499">
        <f t="shared" si="144"/>
        <v>8845</v>
      </c>
      <c r="BT19" s="499">
        <f t="shared" si="144"/>
        <v>8845</v>
      </c>
      <c r="BU19" s="499">
        <f t="shared" si="144"/>
        <v>8898</v>
      </c>
      <c r="BV19" s="499">
        <f t="shared" si="144"/>
        <v>8898</v>
      </c>
      <c r="BW19" s="499">
        <f t="shared" ref="BW19:CJ19" si="145">ROUND(BW13*$D$19/(1+5%),0)</f>
        <v>8898</v>
      </c>
      <c r="BX19" s="499">
        <f t="shared" si="145"/>
        <v>8898</v>
      </c>
      <c r="BY19" s="499">
        <f t="shared" si="145"/>
        <v>8952</v>
      </c>
      <c r="BZ19" s="499">
        <f t="shared" si="145"/>
        <v>8952</v>
      </c>
      <c r="CA19" s="499">
        <f t="shared" si="145"/>
        <v>8952</v>
      </c>
      <c r="CB19" s="499">
        <f t="shared" si="145"/>
        <v>8952</v>
      </c>
      <c r="CC19" s="499">
        <f t="shared" si="145"/>
        <v>9005</v>
      </c>
      <c r="CD19" s="499">
        <f t="shared" si="145"/>
        <v>9005</v>
      </c>
      <c r="CE19" s="499">
        <f t="shared" si="145"/>
        <v>9005</v>
      </c>
      <c r="CF19" s="499">
        <f t="shared" si="145"/>
        <v>9005</v>
      </c>
      <c r="CG19" s="499">
        <f t="shared" si="145"/>
        <v>9059</v>
      </c>
      <c r="CH19" s="499">
        <f t="shared" si="145"/>
        <v>9059</v>
      </c>
      <c r="CI19" s="499">
        <f t="shared" si="145"/>
        <v>9059</v>
      </c>
      <c r="CJ19" s="499">
        <f t="shared" si="145"/>
        <v>9059</v>
      </c>
      <c r="CK19" s="500">
        <f t="shared" si="117"/>
        <v>722936</v>
      </c>
      <c r="CL19" s="508"/>
      <c r="CM19" s="508"/>
      <c r="CN19" s="508"/>
      <c r="CO19" s="508"/>
      <c r="CP19" s="508"/>
      <c r="CQ19" s="508"/>
      <c r="CR19" s="508"/>
      <c r="CS19" s="508"/>
      <c r="CT19" s="508"/>
      <c r="CU19" s="508"/>
      <c r="CV19" s="508"/>
      <c r="CW19" s="508"/>
      <c r="CX19" s="508"/>
      <c r="CY19" s="508"/>
      <c r="CZ19" s="508"/>
      <c r="DA19" s="508"/>
      <c r="DB19" s="508"/>
      <c r="DC19" s="508"/>
      <c r="DD19" s="508"/>
      <c r="DE19" s="508"/>
      <c r="DF19" s="508"/>
      <c r="DG19" s="508"/>
      <c r="DH19" s="508"/>
      <c r="DI19" s="508"/>
      <c r="DJ19" s="508"/>
      <c r="DK19" s="508"/>
      <c r="DL19" s="508"/>
      <c r="DM19" s="508"/>
      <c r="DN19" s="508"/>
      <c r="DO19" s="508"/>
      <c r="DP19" s="508"/>
      <c r="DQ19" s="508"/>
      <c r="DR19" s="508"/>
      <c r="DS19" s="508"/>
      <c r="DT19" s="508"/>
      <c r="DU19" s="508"/>
      <c r="DV19" s="508"/>
      <c r="DW19" s="508"/>
      <c r="DX19" s="508"/>
      <c r="DY19" s="508"/>
      <c r="DZ19" s="508"/>
      <c r="EA19" s="508"/>
      <c r="EB19" s="508"/>
      <c r="EC19" s="508"/>
      <c r="ED19" s="508"/>
      <c r="EE19" s="508"/>
      <c r="EF19" s="508"/>
      <c r="EG19" s="508"/>
      <c r="EH19" s="508"/>
      <c r="EI19" s="508"/>
      <c r="EJ19" s="508"/>
      <c r="EK19" s="508"/>
      <c r="EL19" s="508"/>
      <c r="EM19" s="508"/>
      <c r="EN19" s="508"/>
      <c r="EO19" s="508"/>
      <c r="EP19" s="508"/>
      <c r="EQ19" s="508"/>
      <c r="ER19" s="508"/>
      <c r="ES19" s="508"/>
      <c r="ET19" s="509"/>
    </row>
    <row r="20" spans="1:151" s="510" customFormat="1">
      <c r="A20" s="507"/>
      <c r="B20" s="504" t="s">
        <v>1205</v>
      </c>
      <c r="C20" s="504"/>
      <c r="D20" s="511">
        <f>仓储现金流!D85</f>
        <v>0.04</v>
      </c>
      <c r="E20" s="499">
        <f>ROUND(E13*$D$20,0)</f>
        <v>7092</v>
      </c>
      <c r="F20" s="499">
        <f t="shared" ref="F20:J20" si="146">ROUND(F13*$D$20,0)</f>
        <v>7092</v>
      </c>
      <c r="G20" s="499">
        <f t="shared" si="146"/>
        <v>7092</v>
      </c>
      <c r="H20" s="499">
        <f t="shared" si="146"/>
        <v>7092</v>
      </c>
      <c r="I20" s="499">
        <f t="shared" si="146"/>
        <v>6064</v>
      </c>
      <c r="J20" s="499">
        <f t="shared" si="146"/>
        <v>6064</v>
      </c>
      <c r="K20" s="499">
        <f t="shared" ref="K20:BV20" si="147">ROUND(K13*$D$20,0)</f>
        <v>6064</v>
      </c>
      <c r="L20" s="499">
        <f t="shared" si="147"/>
        <v>6064</v>
      </c>
      <c r="M20" s="499">
        <f t="shared" si="147"/>
        <v>6101</v>
      </c>
      <c r="N20" s="499">
        <f t="shared" si="147"/>
        <v>6101</v>
      </c>
      <c r="O20" s="499">
        <f t="shared" si="147"/>
        <v>6101</v>
      </c>
      <c r="P20" s="499">
        <f t="shared" si="147"/>
        <v>6101</v>
      </c>
      <c r="Q20" s="499">
        <f t="shared" si="147"/>
        <v>6137</v>
      </c>
      <c r="R20" s="499">
        <f t="shared" si="147"/>
        <v>6137</v>
      </c>
      <c r="S20" s="499">
        <f t="shared" si="147"/>
        <v>6137</v>
      </c>
      <c r="T20" s="499">
        <f t="shared" si="147"/>
        <v>6137</v>
      </c>
      <c r="U20" s="499">
        <f t="shared" si="147"/>
        <v>6174</v>
      </c>
      <c r="V20" s="499">
        <f t="shared" si="147"/>
        <v>6174</v>
      </c>
      <c r="W20" s="499">
        <f t="shared" si="147"/>
        <v>6174</v>
      </c>
      <c r="X20" s="499">
        <f t="shared" si="147"/>
        <v>6174</v>
      </c>
      <c r="Y20" s="499">
        <f t="shared" si="147"/>
        <v>6211</v>
      </c>
      <c r="Z20" s="499">
        <f t="shared" si="147"/>
        <v>6211</v>
      </c>
      <c r="AA20" s="499">
        <f t="shared" si="147"/>
        <v>6211</v>
      </c>
      <c r="AB20" s="499">
        <f t="shared" si="147"/>
        <v>6211</v>
      </c>
      <c r="AC20" s="499">
        <f t="shared" si="147"/>
        <v>6249</v>
      </c>
      <c r="AD20" s="499">
        <f t="shared" si="147"/>
        <v>6249</v>
      </c>
      <c r="AE20" s="499">
        <f t="shared" si="147"/>
        <v>6249</v>
      </c>
      <c r="AF20" s="499">
        <f t="shared" si="147"/>
        <v>6249</v>
      </c>
      <c r="AG20" s="499">
        <f t="shared" si="147"/>
        <v>6286</v>
      </c>
      <c r="AH20" s="499">
        <f t="shared" si="147"/>
        <v>6286</v>
      </c>
      <c r="AI20" s="499">
        <f t="shared" si="147"/>
        <v>6286</v>
      </c>
      <c r="AJ20" s="499">
        <f t="shared" si="147"/>
        <v>6286</v>
      </c>
      <c r="AK20" s="499">
        <f t="shared" si="147"/>
        <v>6324</v>
      </c>
      <c r="AL20" s="499">
        <f t="shared" si="147"/>
        <v>6324</v>
      </c>
      <c r="AM20" s="499">
        <f t="shared" si="147"/>
        <v>6324</v>
      </c>
      <c r="AN20" s="499">
        <f t="shared" si="147"/>
        <v>6324</v>
      </c>
      <c r="AO20" s="499">
        <f t="shared" si="147"/>
        <v>6362</v>
      </c>
      <c r="AP20" s="499">
        <f t="shared" si="147"/>
        <v>6362</v>
      </c>
      <c r="AQ20" s="499">
        <f t="shared" si="147"/>
        <v>6362</v>
      </c>
      <c r="AR20" s="499">
        <f t="shared" si="147"/>
        <v>6362</v>
      </c>
      <c r="AS20" s="499">
        <f t="shared" si="147"/>
        <v>6400</v>
      </c>
      <c r="AT20" s="499">
        <f t="shared" si="147"/>
        <v>6400</v>
      </c>
      <c r="AU20" s="499">
        <f t="shared" si="147"/>
        <v>6400</v>
      </c>
      <c r="AV20" s="499">
        <f t="shared" si="147"/>
        <v>6400</v>
      </c>
      <c r="AW20" s="499">
        <f t="shared" si="147"/>
        <v>6438</v>
      </c>
      <c r="AX20" s="499">
        <f t="shared" si="147"/>
        <v>6438</v>
      </c>
      <c r="AY20" s="499">
        <f t="shared" si="147"/>
        <v>6438</v>
      </c>
      <c r="AZ20" s="499">
        <f t="shared" si="147"/>
        <v>6438</v>
      </c>
      <c r="BA20" s="499">
        <f t="shared" si="147"/>
        <v>6477</v>
      </c>
      <c r="BB20" s="499">
        <f t="shared" si="147"/>
        <v>6477</v>
      </c>
      <c r="BC20" s="499">
        <f t="shared" si="147"/>
        <v>6477</v>
      </c>
      <c r="BD20" s="499">
        <f t="shared" si="147"/>
        <v>6477</v>
      </c>
      <c r="BE20" s="499">
        <f t="shared" si="147"/>
        <v>6516</v>
      </c>
      <c r="BF20" s="499">
        <f t="shared" si="147"/>
        <v>6516</v>
      </c>
      <c r="BG20" s="499">
        <f t="shared" si="147"/>
        <v>6516</v>
      </c>
      <c r="BH20" s="499">
        <f t="shared" si="147"/>
        <v>6516</v>
      </c>
      <c r="BI20" s="499">
        <f t="shared" si="147"/>
        <v>6555</v>
      </c>
      <c r="BJ20" s="499">
        <f t="shared" si="147"/>
        <v>6555</v>
      </c>
      <c r="BK20" s="499">
        <f t="shared" si="147"/>
        <v>6555</v>
      </c>
      <c r="BL20" s="499">
        <f t="shared" si="147"/>
        <v>6555</v>
      </c>
      <c r="BM20" s="499">
        <f t="shared" si="147"/>
        <v>6594</v>
      </c>
      <c r="BN20" s="499">
        <f t="shared" si="147"/>
        <v>6594</v>
      </c>
      <c r="BO20" s="499">
        <f t="shared" si="147"/>
        <v>6594</v>
      </c>
      <c r="BP20" s="499">
        <f t="shared" si="147"/>
        <v>6594</v>
      </c>
      <c r="BQ20" s="499">
        <f t="shared" si="147"/>
        <v>6634</v>
      </c>
      <c r="BR20" s="499">
        <f t="shared" si="147"/>
        <v>6634</v>
      </c>
      <c r="BS20" s="499">
        <f t="shared" si="147"/>
        <v>6634</v>
      </c>
      <c r="BT20" s="499">
        <f t="shared" si="147"/>
        <v>6634</v>
      </c>
      <c r="BU20" s="499">
        <f t="shared" si="147"/>
        <v>6674</v>
      </c>
      <c r="BV20" s="499">
        <f t="shared" si="147"/>
        <v>6674</v>
      </c>
      <c r="BW20" s="499">
        <f t="shared" ref="BW20:CJ20" si="148">ROUND(BW13*$D$20,0)</f>
        <v>6674</v>
      </c>
      <c r="BX20" s="499">
        <f t="shared" si="148"/>
        <v>6674</v>
      </c>
      <c r="BY20" s="499">
        <f t="shared" si="148"/>
        <v>6714</v>
      </c>
      <c r="BZ20" s="499">
        <f t="shared" si="148"/>
        <v>6714</v>
      </c>
      <c r="CA20" s="499">
        <f t="shared" si="148"/>
        <v>6714</v>
      </c>
      <c r="CB20" s="499">
        <f t="shared" si="148"/>
        <v>6714</v>
      </c>
      <c r="CC20" s="499">
        <f t="shared" si="148"/>
        <v>6754</v>
      </c>
      <c r="CD20" s="499">
        <f t="shared" si="148"/>
        <v>6754</v>
      </c>
      <c r="CE20" s="499">
        <f t="shared" si="148"/>
        <v>6754</v>
      </c>
      <c r="CF20" s="499">
        <f t="shared" si="148"/>
        <v>6754</v>
      </c>
      <c r="CG20" s="499">
        <f t="shared" si="148"/>
        <v>6795</v>
      </c>
      <c r="CH20" s="499">
        <f t="shared" si="148"/>
        <v>6795</v>
      </c>
      <c r="CI20" s="499">
        <f t="shared" si="148"/>
        <v>6795</v>
      </c>
      <c r="CJ20" s="499">
        <f t="shared" si="148"/>
        <v>6795</v>
      </c>
      <c r="CK20" s="500">
        <f t="shared" si="117"/>
        <v>542204</v>
      </c>
      <c r="CL20" s="508"/>
      <c r="CM20" s="508"/>
      <c r="CN20" s="508"/>
      <c r="CO20" s="508"/>
      <c r="CP20" s="508"/>
      <c r="CQ20" s="508"/>
      <c r="CR20" s="508"/>
      <c r="CS20" s="508"/>
      <c r="CT20" s="508"/>
      <c r="CU20" s="508"/>
      <c r="CV20" s="508"/>
      <c r="CW20" s="508"/>
      <c r="CX20" s="508"/>
      <c r="CY20" s="508"/>
      <c r="CZ20" s="508"/>
      <c r="DA20" s="508"/>
      <c r="DB20" s="508"/>
      <c r="DC20" s="508"/>
      <c r="DD20" s="508"/>
      <c r="DE20" s="508"/>
      <c r="DF20" s="508"/>
      <c r="DG20" s="508"/>
      <c r="DH20" s="508"/>
      <c r="DI20" s="508"/>
      <c r="DJ20" s="508"/>
      <c r="DK20" s="508"/>
      <c r="DL20" s="508"/>
      <c r="DM20" s="508"/>
      <c r="DN20" s="508"/>
      <c r="DO20" s="508"/>
      <c r="DP20" s="508"/>
      <c r="DQ20" s="508"/>
      <c r="DR20" s="508"/>
      <c r="DS20" s="508"/>
      <c r="DT20" s="508"/>
      <c r="DU20" s="508"/>
      <c r="DV20" s="508"/>
      <c r="DW20" s="508"/>
      <c r="DX20" s="508"/>
      <c r="DY20" s="508"/>
      <c r="DZ20" s="508"/>
      <c r="EA20" s="508"/>
      <c r="EB20" s="508"/>
      <c r="EC20" s="508"/>
      <c r="ED20" s="508"/>
      <c r="EE20" s="508"/>
      <c r="EF20" s="508"/>
      <c r="EG20" s="508"/>
      <c r="EH20" s="508"/>
      <c r="EI20" s="508"/>
      <c r="EJ20" s="508"/>
      <c r="EK20" s="508"/>
      <c r="EL20" s="508"/>
      <c r="EM20" s="508"/>
      <c r="EN20" s="508"/>
      <c r="EO20" s="508"/>
      <c r="EP20" s="508"/>
      <c r="EQ20" s="508"/>
      <c r="ER20" s="508"/>
      <c r="ES20" s="508"/>
      <c r="ET20" s="509"/>
    </row>
    <row r="21" spans="1:151" s="510" customFormat="1">
      <c r="A21" s="507"/>
      <c r="B21" s="504" t="s">
        <v>1314</v>
      </c>
      <c r="C21" s="504"/>
      <c r="D21" s="394">
        <v>24</v>
      </c>
      <c r="E21" s="499">
        <f>ROUND(D21*基础资料!E39*11*35/基础资料!F39/4,0)</f>
        <v>301</v>
      </c>
      <c r="F21" s="499">
        <f>E21</f>
        <v>301</v>
      </c>
      <c r="G21" s="499">
        <f>F21</f>
        <v>301</v>
      </c>
      <c r="H21" s="499">
        <f>G21</f>
        <v>301</v>
      </c>
      <c r="I21" s="499">
        <f t="shared" ref="I21:BT21" si="149">H21</f>
        <v>301</v>
      </c>
      <c r="J21" s="499">
        <f t="shared" si="149"/>
        <v>301</v>
      </c>
      <c r="K21" s="499">
        <f t="shared" si="149"/>
        <v>301</v>
      </c>
      <c r="L21" s="499">
        <f t="shared" si="149"/>
        <v>301</v>
      </c>
      <c r="M21" s="499">
        <f t="shared" si="149"/>
        <v>301</v>
      </c>
      <c r="N21" s="499">
        <f t="shared" si="149"/>
        <v>301</v>
      </c>
      <c r="O21" s="499">
        <f t="shared" si="149"/>
        <v>301</v>
      </c>
      <c r="P21" s="499">
        <f t="shared" si="149"/>
        <v>301</v>
      </c>
      <c r="Q21" s="499">
        <f t="shared" si="149"/>
        <v>301</v>
      </c>
      <c r="R21" s="499">
        <f t="shared" si="149"/>
        <v>301</v>
      </c>
      <c r="S21" s="499">
        <f t="shared" si="149"/>
        <v>301</v>
      </c>
      <c r="T21" s="499">
        <f t="shared" si="149"/>
        <v>301</v>
      </c>
      <c r="U21" s="499">
        <f t="shared" si="149"/>
        <v>301</v>
      </c>
      <c r="V21" s="499">
        <f t="shared" si="149"/>
        <v>301</v>
      </c>
      <c r="W21" s="499">
        <f t="shared" si="149"/>
        <v>301</v>
      </c>
      <c r="X21" s="499">
        <f t="shared" si="149"/>
        <v>301</v>
      </c>
      <c r="Y21" s="499">
        <f t="shared" si="149"/>
        <v>301</v>
      </c>
      <c r="Z21" s="499">
        <f t="shared" si="149"/>
        <v>301</v>
      </c>
      <c r="AA21" s="499">
        <f t="shared" si="149"/>
        <v>301</v>
      </c>
      <c r="AB21" s="499">
        <f t="shared" si="149"/>
        <v>301</v>
      </c>
      <c r="AC21" s="499">
        <f t="shared" si="149"/>
        <v>301</v>
      </c>
      <c r="AD21" s="499">
        <f t="shared" si="149"/>
        <v>301</v>
      </c>
      <c r="AE21" s="499">
        <f t="shared" si="149"/>
        <v>301</v>
      </c>
      <c r="AF21" s="499">
        <f t="shared" si="149"/>
        <v>301</v>
      </c>
      <c r="AG21" s="499">
        <f t="shared" si="149"/>
        <v>301</v>
      </c>
      <c r="AH21" s="499">
        <f t="shared" si="149"/>
        <v>301</v>
      </c>
      <c r="AI21" s="499">
        <f t="shared" si="149"/>
        <v>301</v>
      </c>
      <c r="AJ21" s="499">
        <f t="shared" si="149"/>
        <v>301</v>
      </c>
      <c r="AK21" s="499">
        <f t="shared" si="149"/>
        <v>301</v>
      </c>
      <c r="AL21" s="499">
        <f t="shared" si="149"/>
        <v>301</v>
      </c>
      <c r="AM21" s="499">
        <f t="shared" si="149"/>
        <v>301</v>
      </c>
      <c r="AN21" s="499">
        <f t="shared" si="149"/>
        <v>301</v>
      </c>
      <c r="AO21" s="499">
        <f t="shared" si="149"/>
        <v>301</v>
      </c>
      <c r="AP21" s="499">
        <f t="shared" si="149"/>
        <v>301</v>
      </c>
      <c r="AQ21" s="499">
        <f t="shared" si="149"/>
        <v>301</v>
      </c>
      <c r="AR21" s="499">
        <f t="shared" si="149"/>
        <v>301</v>
      </c>
      <c r="AS21" s="499">
        <f t="shared" si="149"/>
        <v>301</v>
      </c>
      <c r="AT21" s="499">
        <f t="shared" si="149"/>
        <v>301</v>
      </c>
      <c r="AU21" s="499">
        <f t="shared" si="149"/>
        <v>301</v>
      </c>
      <c r="AV21" s="499">
        <f t="shared" si="149"/>
        <v>301</v>
      </c>
      <c r="AW21" s="499">
        <f t="shared" si="149"/>
        <v>301</v>
      </c>
      <c r="AX21" s="499">
        <f t="shared" si="149"/>
        <v>301</v>
      </c>
      <c r="AY21" s="499">
        <f t="shared" si="149"/>
        <v>301</v>
      </c>
      <c r="AZ21" s="499">
        <f t="shared" si="149"/>
        <v>301</v>
      </c>
      <c r="BA21" s="499">
        <f t="shared" si="149"/>
        <v>301</v>
      </c>
      <c r="BB21" s="499">
        <f t="shared" si="149"/>
        <v>301</v>
      </c>
      <c r="BC21" s="499">
        <f t="shared" si="149"/>
        <v>301</v>
      </c>
      <c r="BD21" s="499">
        <f t="shared" si="149"/>
        <v>301</v>
      </c>
      <c r="BE21" s="499">
        <f t="shared" si="149"/>
        <v>301</v>
      </c>
      <c r="BF21" s="499">
        <f t="shared" si="149"/>
        <v>301</v>
      </c>
      <c r="BG21" s="499">
        <f t="shared" si="149"/>
        <v>301</v>
      </c>
      <c r="BH21" s="499">
        <f t="shared" si="149"/>
        <v>301</v>
      </c>
      <c r="BI21" s="499">
        <f t="shared" si="149"/>
        <v>301</v>
      </c>
      <c r="BJ21" s="499">
        <f t="shared" si="149"/>
        <v>301</v>
      </c>
      <c r="BK21" s="499">
        <f t="shared" si="149"/>
        <v>301</v>
      </c>
      <c r="BL21" s="499">
        <f t="shared" si="149"/>
        <v>301</v>
      </c>
      <c r="BM21" s="499">
        <f t="shared" si="149"/>
        <v>301</v>
      </c>
      <c r="BN21" s="499">
        <f t="shared" si="149"/>
        <v>301</v>
      </c>
      <c r="BO21" s="499">
        <f t="shared" si="149"/>
        <v>301</v>
      </c>
      <c r="BP21" s="499">
        <f t="shared" si="149"/>
        <v>301</v>
      </c>
      <c r="BQ21" s="499">
        <f t="shared" si="149"/>
        <v>301</v>
      </c>
      <c r="BR21" s="499">
        <f t="shared" si="149"/>
        <v>301</v>
      </c>
      <c r="BS21" s="499">
        <f t="shared" si="149"/>
        <v>301</v>
      </c>
      <c r="BT21" s="499">
        <f t="shared" si="149"/>
        <v>301</v>
      </c>
      <c r="BU21" s="499">
        <f t="shared" ref="BU21:CJ21" si="150">BT21</f>
        <v>301</v>
      </c>
      <c r="BV21" s="499">
        <f t="shared" si="150"/>
        <v>301</v>
      </c>
      <c r="BW21" s="499">
        <f t="shared" si="150"/>
        <v>301</v>
      </c>
      <c r="BX21" s="499">
        <f t="shared" si="150"/>
        <v>301</v>
      </c>
      <c r="BY21" s="499">
        <f t="shared" si="150"/>
        <v>301</v>
      </c>
      <c r="BZ21" s="499">
        <f t="shared" si="150"/>
        <v>301</v>
      </c>
      <c r="CA21" s="499">
        <f t="shared" si="150"/>
        <v>301</v>
      </c>
      <c r="CB21" s="499">
        <f t="shared" si="150"/>
        <v>301</v>
      </c>
      <c r="CC21" s="499">
        <f t="shared" si="150"/>
        <v>301</v>
      </c>
      <c r="CD21" s="499">
        <f t="shared" si="150"/>
        <v>301</v>
      </c>
      <c r="CE21" s="499">
        <f t="shared" si="150"/>
        <v>301</v>
      </c>
      <c r="CF21" s="499">
        <f t="shared" si="150"/>
        <v>301</v>
      </c>
      <c r="CG21" s="499">
        <f t="shared" si="150"/>
        <v>301</v>
      </c>
      <c r="CH21" s="499">
        <f t="shared" si="150"/>
        <v>301</v>
      </c>
      <c r="CI21" s="499">
        <f t="shared" si="150"/>
        <v>301</v>
      </c>
      <c r="CJ21" s="499">
        <f t="shared" si="150"/>
        <v>301</v>
      </c>
      <c r="CK21" s="500">
        <f t="shared" si="117"/>
        <v>25284</v>
      </c>
      <c r="CL21" s="508"/>
      <c r="CM21" s="508"/>
      <c r="CN21" s="508"/>
      <c r="CO21" s="508"/>
      <c r="CP21" s="508"/>
      <c r="CQ21" s="508"/>
      <c r="CR21" s="508"/>
      <c r="CS21" s="508"/>
      <c r="CT21" s="508"/>
      <c r="CU21" s="508"/>
      <c r="CV21" s="508"/>
      <c r="CW21" s="508"/>
      <c r="CX21" s="508"/>
      <c r="CY21" s="508"/>
      <c r="CZ21" s="508"/>
      <c r="DA21" s="508"/>
      <c r="DB21" s="508"/>
      <c r="DC21" s="508"/>
      <c r="DD21" s="508"/>
      <c r="DE21" s="508"/>
      <c r="DF21" s="508"/>
      <c r="DG21" s="508"/>
      <c r="DH21" s="508"/>
      <c r="DI21" s="508"/>
      <c r="DJ21" s="508"/>
      <c r="DK21" s="508"/>
      <c r="DL21" s="508"/>
      <c r="DM21" s="508"/>
      <c r="DN21" s="508"/>
      <c r="DO21" s="508"/>
      <c r="DP21" s="508"/>
      <c r="DQ21" s="508"/>
      <c r="DR21" s="508"/>
      <c r="DS21" s="508"/>
      <c r="DT21" s="508"/>
      <c r="DU21" s="508"/>
      <c r="DV21" s="508"/>
      <c r="DW21" s="508"/>
      <c r="DX21" s="508"/>
      <c r="DY21" s="508"/>
      <c r="DZ21" s="508"/>
      <c r="EA21" s="508"/>
      <c r="EB21" s="508"/>
      <c r="EC21" s="508"/>
      <c r="ED21" s="508"/>
      <c r="EE21" s="508"/>
      <c r="EF21" s="508"/>
      <c r="EG21" s="508"/>
      <c r="EH21" s="508"/>
      <c r="EI21" s="508"/>
      <c r="EJ21" s="508"/>
      <c r="EK21" s="508"/>
      <c r="EL21" s="508"/>
      <c r="EM21" s="508"/>
      <c r="EN21" s="508"/>
      <c r="EO21" s="508"/>
      <c r="EP21" s="508"/>
      <c r="EQ21" s="508"/>
      <c r="ER21" s="508"/>
      <c r="ES21" s="508"/>
      <c r="ET21" s="509"/>
    </row>
    <row r="22" spans="1:151" s="503" customFormat="1">
      <c r="A22" s="497"/>
      <c r="B22" s="504" t="s">
        <v>1206</v>
      </c>
      <c r="C22" s="515"/>
      <c r="D22" s="394"/>
      <c r="E22" s="516">
        <f>E13-E17</f>
        <v>139178</v>
      </c>
      <c r="F22" s="516">
        <f t="shared" ref="F22:BQ22" si="151">F13-F17</f>
        <v>139178</v>
      </c>
      <c r="G22" s="516">
        <f t="shared" si="151"/>
        <v>139178</v>
      </c>
      <c r="H22" s="516">
        <f t="shared" si="151"/>
        <v>139178</v>
      </c>
      <c r="I22" s="516">
        <f t="shared" si="151"/>
        <v>118968</v>
      </c>
      <c r="J22" s="516">
        <f t="shared" si="151"/>
        <v>118968</v>
      </c>
      <c r="K22" s="516">
        <f t="shared" si="151"/>
        <v>118968</v>
      </c>
      <c r="L22" s="516">
        <f t="shared" si="151"/>
        <v>118968</v>
      </c>
      <c r="M22" s="516">
        <f t="shared" si="151"/>
        <v>119682</v>
      </c>
      <c r="N22" s="516">
        <f t="shared" si="151"/>
        <v>119682</v>
      </c>
      <c r="O22" s="516">
        <f t="shared" si="151"/>
        <v>119682</v>
      </c>
      <c r="P22" s="516">
        <f t="shared" si="151"/>
        <v>119682</v>
      </c>
      <c r="Q22" s="516">
        <f t="shared" si="151"/>
        <v>120404</v>
      </c>
      <c r="R22" s="516">
        <f t="shared" si="151"/>
        <v>120404</v>
      </c>
      <c r="S22" s="516">
        <f t="shared" si="151"/>
        <v>120404</v>
      </c>
      <c r="T22" s="516">
        <f t="shared" si="151"/>
        <v>120404</v>
      </c>
      <c r="U22" s="516">
        <f t="shared" si="151"/>
        <v>121128</v>
      </c>
      <c r="V22" s="516">
        <f t="shared" si="151"/>
        <v>121128</v>
      </c>
      <c r="W22" s="516">
        <f t="shared" si="151"/>
        <v>121128</v>
      </c>
      <c r="X22" s="516">
        <f t="shared" si="151"/>
        <v>121128</v>
      </c>
      <c r="Y22" s="516">
        <f t="shared" si="151"/>
        <v>121856</v>
      </c>
      <c r="Z22" s="516">
        <f t="shared" si="151"/>
        <v>121856</v>
      </c>
      <c r="AA22" s="516">
        <f t="shared" si="151"/>
        <v>121856</v>
      </c>
      <c r="AB22" s="516">
        <f t="shared" si="151"/>
        <v>121856</v>
      </c>
      <c r="AC22" s="516">
        <f t="shared" si="151"/>
        <v>122588</v>
      </c>
      <c r="AD22" s="516">
        <f t="shared" si="151"/>
        <v>122588</v>
      </c>
      <c r="AE22" s="516">
        <f t="shared" si="151"/>
        <v>122588</v>
      </c>
      <c r="AF22" s="516">
        <f t="shared" si="151"/>
        <v>122588</v>
      </c>
      <c r="AG22" s="516">
        <f t="shared" si="151"/>
        <v>123327</v>
      </c>
      <c r="AH22" s="516">
        <f t="shared" si="151"/>
        <v>123327</v>
      </c>
      <c r="AI22" s="516">
        <f t="shared" si="151"/>
        <v>123327</v>
      </c>
      <c r="AJ22" s="516">
        <f t="shared" si="151"/>
        <v>123327</v>
      </c>
      <c r="AK22" s="516">
        <f t="shared" si="151"/>
        <v>124067</v>
      </c>
      <c r="AL22" s="516">
        <f t="shared" si="151"/>
        <v>124067</v>
      </c>
      <c r="AM22" s="516">
        <f t="shared" si="151"/>
        <v>124067</v>
      </c>
      <c r="AN22" s="516">
        <f t="shared" si="151"/>
        <v>124067</v>
      </c>
      <c r="AO22" s="516">
        <f t="shared" si="151"/>
        <v>124815</v>
      </c>
      <c r="AP22" s="516">
        <f t="shared" si="151"/>
        <v>124815</v>
      </c>
      <c r="AQ22" s="516">
        <f t="shared" si="151"/>
        <v>124815</v>
      </c>
      <c r="AR22" s="516">
        <f t="shared" si="151"/>
        <v>124815</v>
      </c>
      <c r="AS22" s="516">
        <f t="shared" si="151"/>
        <v>125565</v>
      </c>
      <c r="AT22" s="516">
        <f t="shared" si="151"/>
        <v>125565</v>
      </c>
      <c r="AU22" s="516">
        <f t="shared" si="151"/>
        <v>125565</v>
      </c>
      <c r="AV22" s="516">
        <f t="shared" si="151"/>
        <v>125565</v>
      </c>
      <c r="AW22" s="516">
        <f t="shared" si="151"/>
        <v>126321</v>
      </c>
      <c r="AX22" s="516">
        <f t="shared" si="151"/>
        <v>126321</v>
      </c>
      <c r="AY22" s="516">
        <f t="shared" si="151"/>
        <v>126321</v>
      </c>
      <c r="AZ22" s="516">
        <f t="shared" si="151"/>
        <v>126321</v>
      </c>
      <c r="BA22" s="516">
        <f t="shared" si="151"/>
        <v>127081</v>
      </c>
      <c r="BB22" s="516">
        <f t="shared" si="151"/>
        <v>127081</v>
      </c>
      <c r="BC22" s="516">
        <f t="shared" si="151"/>
        <v>127081</v>
      </c>
      <c r="BD22" s="516">
        <f t="shared" si="151"/>
        <v>127081</v>
      </c>
      <c r="BE22" s="516">
        <f t="shared" si="151"/>
        <v>127844</v>
      </c>
      <c r="BF22" s="516">
        <f t="shared" si="151"/>
        <v>127844</v>
      </c>
      <c r="BG22" s="516">
        <f t="shared" si="151"/>
        <v>127844</v>
      </c>
      <c r="BH22" s="516">
        <f t="shared" si="151"/>
        <v>127844</v>
      </c>
      <c r="BI22" s="516">
        <f t="shared" si="151"/>
        <v>128613</v>
      </c>
      <c r="BJ22" s="516">
        <f t="shared" si="151"/>
        <v>128613</v>
      </c>
      <c r="BK22" s="516">
        <f t="shared" si="151"/>
        <v>128613</v>
      </c>
      <c r="BL22" s="516">
        <f t="shared" si="151"/>
        <v>128613</v>
      </c>
      <c r="BM22" s="516">
        <f t="shared" si="151"/>
        <v>129388</v>
      </c>
      <c r="BN22" s="516">
        <f t="shared" si="151"/>
        <v>129388</v>
      </c>
      <c r="BO22" s="516">
        <f t="shared" si="151"/>
        <v>129388</v>
      </c>
      <c r="BP22" s="516">
        <f t="shared" si="151"/>
        <v>129388</v>
      </c>
      <c r="BQ22" s="516">
        <f t="shared" si="151"/>
        <v>130165</v>
      </c>
      <c r="BR22" s="516">
        <f t="shared" ref="BR22:CJ22" si="152">BR13-BR17</f>
        <v>130165</v>
      </c>
      <c r="BS22" s="516">
        <f t="shared" si="152"/>
        <v>130165</v>
      </c>
      <c r="BT22" s="516">
        <f t="shared" si="152"/>
        <v>130165</v>
      </c>
      <c r="BU22" s="516">
        <f t="shared" si="152"/>
        <v>130948</v>
      </c>
      <c r="BV22" s="516">
        <f t="shared" si="152"/>
        <v>130948</v>
      </c>
      <c r="BW22" s="516">
        <f t="shared" si="152"/>
        <v>130948</v>
      </c>
      <c r="BX22" s="516">
        <f t="shared" si="152"/>
        <v>130948</v>
      </c>
      <c r="BY22" s="516">
        <f t="shared" si="152"/>
        <v>131736</v>
      </c>
      <c r="BZ22" s="516">
        <f t="shared" si="152"/>
        <v>131736</v>
      </c>
      <c r="CA22" s="516">
        <f t="shared" si="152"/>
        <v>131736</v>
      </c>
      <c r="CB22" s="516">
        <f t="shared" si="152"/>
        <v>131736</v>
      </c>
      <c r="CC22" s="516">
        <f t="shared" si="152"/>
        <v>132529</v>
      </c>
      <c r="CD22" s="516">
        <f t="shared" si="152"/>
        <v>132529</v>
      </c>
      <c r="CE22" s="516">
        <f t="shared" si="152"/>
        <v>132529</v>
      </c>
      <c r="CF22" s="516">
        <f t="shared" si="152"/>
        <v>132529</v>
      </c>
      <c r="CG22" s="516">
        <f t="shared" si="152"/>
        <v>133325</v>
      </c>
      <c r="CH22" s="516">
        <f t="shared" si="152"/>
        <v>133325</v>
      </c>
      <c r="CI22" s="516">
        <f t="shared" si="152"/>
        <v>133325</v>
      </c>
      <c r="CJ22" s="516">
        <f t="shared" si="152"/>
        <v>133325</v>
      </c>
      <c r="CK22" s="500">
        <f t="shared" si="117"/>
        <v>10638112</v>
      </c>
      <c r="CL22" s="501"/>
      <c r="CM22" s="501"/>
      <c r="CN22" s="501"/>
      <c r="CO22" s="501"/>
      <c r="CP22" s="501"/>
      <c r="CQ22" s="501"/>
      <c r="CR22" s="501"/>
      <c r="CS22" s="501"/>
      <c r="CT22" s="501"/>
      <c r="CU22" s="501"/>
      <c r="CV22" s="501"/>
      <c r="CW22" s="501"/>
      <c r="CX22" s="501"/>
      <c r="CY22" s="501"/>
      <c r="CZ22" s="501"/>
      <c r="DA22" s="501"/>
      <c r="DB22" s="501"/>
      <c r="DC22" s="501"/>
      <c r="DD22" s="501"/>
      <c r="DE22" s="501"/>
      <c r="DF22" s="501"/>
      <c r="DG22" s="501"/>
      <c r="DH22" s="501"/>
      <c r="DI22" s="501"/>
      <c r="DJ22" s="501"/>
      <c r="DK22" s="501"/>
      <c r="DL22" s="501"/>
      <c r="DM22" s="501"/>
      <c r="DN22" s="501"/>
      <c r="DO22" s="501"/>
      <c r="DP22" s="501"/>
      <c r="DQ22" s="501"/>
      <c r="DR22" s="501"/>
      <c r="DS22" s="501"/>
      <c r="DT22" s="501"/>
      <c r="DU22" s="501"/>
      <c r="DV22" s="501"/>
      <c r="DW22" s="501"/>
      <c r="DX22" s="501"/>
      <c r="DY22" s="501"/>
      <c r="DZ22" s="501"/>
      <c r="EA22" s="501"/>
      <c r="EB22" s="501"/>
      <c r="EC22" s="501"/>
      <c r="ED22" s="501"/>
      <c r="EE22" s="501"/>
      <c r="EF22" s="501"/>
      <c r="EG22" s="501"/>
      <c r="EH22" s="501"/>
      <c r="EI22" s="501"/>
      <c r="EJ22" s="501"/>
      <c r="EK22" s="501"/>
      <c r="EL22" s="501"/>
      <c r="EM22" s="501"/>
      <c r="EN22" s="501"/>
      <c r="EO22" s="501"/>
      <c r="EP22" s="501"/>
      <c r="EQ22" s="501"/>
      <c r="ER22" s="501"/>
      <c r="ES22" s="501"/>
      <c r="ET22" s="502"/>
    </row>
    <row r="23" spans="1:151" s="182" customFormat="1">
      <c r="A23" s="180"/>
      <c r="B23" s="7" t="s">
        <v>1207</v>
      </c>
      <c r="C23" s="8"/>
      <c r="D23" s="94"/>
      <c r="E23" s="608">
        <f>E22+F22+G22+H22</f>
        <v>556712</v>
      </c>
      <c r="F23" s="609"/>
      <c r="G23" s="609"/>
      <c r="H23" s="610"/>
      <c r="I23" s="608">
        <f>I22+J22+K22+L22</f>
        <v>475872</v>
      </c>
      <c r="J23" s="609"/>
      <c r="K23" s="609"/>
      <c r="L23" s="610"/>
      <c r="M23" s="608">
        <f>M22+N22+O22+P22</f>
        <v>478728</v>
      </c>
      <c r="N23" s="609"/>
      <c r="O23" s="609"/>
      <c r="P23" s="610"/>
      <c r="Q23" s="608">
        <f>Q22+R22+S22+T22</f>
        <v>481616</v>
      </c>
      <c r="R23" s="609"/>
      <c r="S23" s="609"/>
      <c r="T23" s="610"/>
      <c r="U23" s="608">
        <f>U22+V22+W22+X22</f>
        <v>484512</v>
      </c>
      <c r="V23" s="609"/>
      <c r="W23" s="609"/>
      <c r="X23" s="610"/>
      <c r="Y23" s="608">
        <f>Y22+Z22+AA22+AB22</f>
        <v>487424</v>
      </c>
      <c r="Z23" s="609"/>
      <c r="AA23" s="609"/>
      <c r="AB23" s="610"/>
      <c r="AC23" s="608">
        <f>AC22+AD22+AE22+AF22</f>
        <v>490352</v>
      </c>
      <c r="AD23" s="609"/>
      <c r="AE23" s="609"/>
      <c r="AF23" s="610"/>
      <c r="AG23" s="608">
        <f>AG22+AH22+AI22+AJ22</f>
        <v>493308</v>
      </c>
      <c r="AH23" s="609"/>
      <c r="AI23" s="609"/>
      <c r="AJ23" s="610"/>
      <c r="AK23" s="608">
        <f>AK22+AL22+AM22+AN22</f>
        <v>496268</v>
      </c>
      <c r="AL23" s="609"/>
      <c r="AM23" s="609"/>
      <c r="AN23" s="610"/>
      <c r="AO23" s="608">
        <f>AO22+AP22+AQ22+AR22</f>
        <v>499260</v>
      </c>
      <c r="AP23" s="609"/>
      <c r="AQ23" s="609"/>
      <c r="AR23" s="610"/>
      <c r="AS23" s="608">
        <f>AS22+AT22+AU22+AV22</f>
        <v>502260</v>
      </c>
      <c r="AT23" s="609"/>
      <c r="AU23" s="609"/>
      <c r="AV23" s="610"/>
      <c r="AW23" s="608">
        <f>AW22+AX22+AY22+AZ22</f>
        <v>505284</v>
      </c>
      <c r="AX23" s="609"/>
      <c r="AY23" s="609"/>
      <c r="AZ23" s="610"/>
      <c r="BA23" s="608">
        <f>BA22+BB22+BC22+BD22</f>
        <v>508324</v>
      </c>
      <c r="BB23" s="609"/>
      <c r="BC23" s="609"/>
      <c r="BD23" s="610"/>
      <c r="BE23" s="608">
        <f>BE22+BF22+BG22+BH22</f>
        <v>511376</v>
      </c>
      <c r="BF23" s="609"/>
      <c r="BG23" s="609"/>
      <c r="BH23" s="610"/>
      <c r="BI23" s="608">
        <f>BI22+BJ22+BK22+BL22</f>
        <v>514452</v>
      </c>
      <c r="BJ23" s="609"/>
      <c r="BK23" s="609"/>
      <c r="BL23" s="610"/>
      <c r="BM23" s="608">
        <f>BM22+BN22+BO22+BP22</f>
        <v>517552</v>
      </c>
      <c r="BN23" s="609"/>
      <c r="BO23" s="609"/>
      <c r="BP23" s="610"/>
      <c r="BQ23" s="608">
        <f>BQ22+BR22+BS22+BT22</f>
        <v>520660</v>
      </c>
      <c r="BR23" s="609"/>
      <c r="BS23" s="609"/>
      <c r="BT23" s="610"/>
      <c r="BU23" s="608">
        <f>BU22+BV22+BW22+BX22</f>
        <v>523792</v>
      </c>
      <c r="BV23" s="609"/>
      <c r="BW23" s="609"/>
      <c r="BX23" s="610"/>
      <c r="BY23" s="608">
        <f>BY22+BZ22+CA22+CB22</f>
        <v>526944</v>
      </c>
      <c r="BZ23" s="609"/>
      <c r="CA23" s="609"/>
      <c r="CB23" s="610"/>
      <c r="CC23" s="608">
        <f>CC22+CD22+CE22+CF22</f>
        <v>530116</v>
      </c>
      <c r="CD23" s="609"/>
      <c r="CE23" s="609"/>
      <c r="CF23" s="610"/>
      <c r="CG23" s="608">
        <f>CG22+CH22+CI22+CJ22</f>
        <v>533300</v>
      </c>
      <c r="CH23" s="609"/>
      <c r="CI23" s="609"/>
      <c r="CJ23" s="610"/>
      <c r="CK23" s="93">
        <f>SUM(E23:CJ23)</f>
        <v>10638112</v>
      </c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181"/>
    </row>
    <row r="24" spans="1:151">
      <c r="A24" s="48"/>
      <c r="B24" s="9"/>
      <c r="C24" s="9"/>
      <c r="D24" s="95"/>
      <c r="E24" s="590"/>
      <c r="F24" s="591"/>
      <c r="G24" s="591"/>
      <c r="H24" s="592"/>
      <c r="I24" s="590"/>
      <c r="J24" s="591"/>
      <c r="K24" s="591"/>
      <c r="L24" s="592"/>
      <c r="M24" s="590"/>
      <c r="N24" s="591"/>
      <c r="O24" s="591"/>
      <c r="P24" s="592"/>
      <c r="Q24" s="590"/>
      <c r="R24" s="591"/>
      <c r="S24" s="591"/>
      <c r="T24" s="592"/>
      <c r="U24" s="590"/>
      <c r="V24" s="591"/>
      <c r="W24" s="591"/>
      <c r="X24" s="592"/>
      <c r="Y24" s="590"/>
      <c r="Z24" s="591"/>
      <c r="AA24" s="591"/>
      <c r="AB24" s="592"/>
      <c r="AC24" s="590"/>
      <c r="AD24" s="591"/>
      <c r="AE24" s="591"/>
      <c r="AF24" s="592"/>
      <c r="AG24" s="590"/>
      <c r="AH24" s="591"/>
      <c r="AI24" s="591"/>
      <c r="AJ24" s="592"/>
      <c r="AK24" s="590"/>
      <c r="AL24" s="591"/>
      <c r="AM24" s="591"/>
      <c r="AN24" s="592"/>
      <c r="AO24" s="590"/>
      <c r="AP24" s="591"/>
      <c r="AQ24" s="591"/>
      <c r="AR24" s="592"/>
      <c r="AS24" s="590"/>
      <c r="AT24" s="591"/>
      <c r="AU24" s="591"/>
      <c r="AV24" s="592"/>
      <c r="AW24" s="590"/>
      <c r="AX24" s="591"/>
      <c r="AY24" s="591"/>
      <c r="AZ24" s="592"/>
      <c r="BA24" s="590"/>
      <c r="BB24" s="591"/>
      <c r="BC24" s="591"/>
      <c r="BD24" s="592"/>
      <c r="BE24" s="590"/>
      <c r="BF24" s="591"/>
      <c r="BG24" s="591"/>
      <c r="BH24" s="592"/>
      <c r="BI24" s="590"/>
      <c r="BJ24" s="591"/>
      <c r="BK24" s="591"/>
      <c r="BL24" s="592"/>
      <c r="BM24" s="590"/>
      <c r="BN24" s="591"/>
      <c r="BO24" s="591"/>
      <c r="BP24" s="592"/>
      <c r="BQ24" s="590"/>
      <c r="BR24" s="591"/>
      <c r="BS24" s="591"/>
      <c r="BT24" s="592"/>
      <c r="BU24" s="590"/>
      <c r="BV24" s="591"/>
      <c r="BW24" s="591"/>
      <c r="BX24" s="592"/>
      <c r="BY24" s="590"/>
      <c r="BZ24" s="591"/>
      <c r="CA24" s="591"/>
      <c r="CB24" s="592"/>
      <c r="CC24" s="590"/>
      <c r="CD24" s="591"/>
      <c r="CE24" s="591"/>
      <c r="CF24" s="592"/>
      <c r="CG24" s="590"/>
      <c r="CH24" s="591"/>
      <c r="CI24" s="591"/>
      <c r="CJ24" s="592"/>
      <c r="CK24" s="89"/>
    </row>
    <row r="25" spans="1:151">
      <c r="A25" s="48"/>
      <c r="B25" s="9"/>
      <c r="C25" s="9"/>
      <c r="D25" s="10"/>
      <c r="E25" s="11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11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11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</row>
    <row r="26" spans="1:151">
      <c r="A26" s="48"/>
      <c r="B26" s="9"/>
      <c r="C26" s="9"/>
      <c r="D26" s="247"/>
      <c r="E26" s="590"/>
      <c r="F26" s="591"/>
      <c r="G26" s="591"/>
      <c r="H26" s="592"/>
      <c r="I26" s="590"/>
      <c r="J26" s="591"/>
      <c r="K26" s="591"/>
      <c r="L26" s="592"/>
      <c r="M26" s="590"/>
      <c r="N26" s="591"/>
      <c r="O26" s="591"/>
      <c r="P26" s="592"/>
      <c r="Q26" s="590"/>
      <c r="R26" s="591"/>
      <c r="S26" s="591"/>
      <c r="T26" s="592"/>
      <c r="U26" s="590"/>
      <c r="V26" s="591"/>
      <c r="W26" s="591"/>
      <c r="X26" s="592"/>
      <c r="Y26" s="590"/>
      <c r="Z26" s="591"/>
      <c r="AA26" s="591"/>
      <c r="AB26" s="592"/>
      <c r="AC26" s="590"/>
      <c r="AD26" s="591"/>
      <c r="AE26" s="591"/>
      <c r="AF26" s="592"/>
      <c r="AG26" s="590"/>
      <c r="AH26" s="591"/>
      <c r="AI26" s="591"/>
      <c r="AJ26" s="592"/>
      <c r="AK26" s="590"/>
      <c r="AL26" s="591"/>
      <c r="AM26" s="591"/>
      <c r="AN26" s="592"/>
      <c r="AO26" s="590"/>
      <c r="AP26" s="591"/>
      <c r="AQ26" s="591"/>
      <c r="AR26" s="592"/>
      <c r="AS26" s="590"/>
      <c r="AT26" s="591"/>
      <c r="AU26" s="591"/>
      <c r="AV26" s="592"/>
      <c r="AW26" s="590"/>
      <c r="AX26" s="591"/>
      <c r="AY26" s="591"/>
      <c r="AZ26" s="592"/>
      <c r="BA26" s="590"/>
      <c r="BB26" s="591"/>
      <c r="BC26" s="591"/>
      <c r="BD26" s="592"/>
      <c r="BE26" s="590"/>
      <c r="BF26" s="591"/>
      <c r="BG26" s="591"/>
      <c r="BH26" s="592"/>
      <c r="BI26" s="590"/>
      <c r="BJ26" s="591"/>
      <c r="BK26" s="591"/>
      <c r="BL26" s="592"/>
      <c r="BM26" s="590"/>
      <c r="BN26" s="591"/>
      <c r="BO26" s="591"/>
      <c r="BP26" s="592"/>
      <c r="BQ26" s="590"/>
      <c r="BR26" s="591"/>
      <c r="BS26" s="591"/>
      <c r="BT26" s="592"/>
      <c r="BU26" s="590"/>
      <c r="BV26" s="591"/>
      <c r="BW26" s="591"/>
      <c r="BX26" s="592"/>
      <c r="BY26" s="590"/>
      <c r="BZ26" s="591"/>
      <c r="CA26" s="591"/>
      <c r="CB26" s="592"/>
      <c r="CC26" s="590"/>
      <c r="CD26" s="591"/>
      <c r="CE26" s="591"/>
      <c r="CF26" s="592"/>
      <c r="CG26" s="590"/>
      <c r="CH26" s="591"/>
      <c r="CI26" s="591"/>
      <c r="CJ26" s="592"/>
      <c r="CK26" s="590"/>
      <c r="CL26" s="591"/>
      <c r="CM26" s="591"/>
      <c r="CN26" s="592"/>
      <c r="CO26" s="590"/>
      <c r="CP26" s="591"/>
      <c r="CQ26" s="591"/>
      <c r="CR26" s="592"/>
      <c r="CS26" s="590"/>
      <c r="CT26" s="591"/>
      <c r="CU26" s="591"/>
      <c r="CV26" s="592"/>
      <c r="CW26" s="590"/>
      <c r="CX26" s="591"/>
      <c r="CY26" s="591"/>
      <c r="CZ26" s="592"/>
      <c r="DA26" s="590"/>
      <c r="DB26" s="591"/>
      <c r="DC26" s="591"/>
      <c r="DD26" s="592"/>
      <c r="DE26" s="590"/>
      <c r="DF26" s="591"/>
      <c r="DG26" s="591"/>
      <c r="DH26" s="592"/>
      <c r="DI26" s="590"/>
      <c r="DJ26" s="591"/>
      <c r="DK26" s="591"/>
      <c r="DL26" s="592"/>
      <c r="DM26" s="590"/>
      <c r="DN26" s="591"/>
      <c r="DO26" s="591"/>
      <c r="DP26" s="592"/>
      <c r="DQ26" s="590"/>
      <c r="DR26" s="591"/>
      <c r="DS26" s="591"/>
      <c r="DT26" s="592"/>
      <c r="DU26" s="590"/>
      <c r="DV26" s="591"/>
      <c r="DW26" s="591"/>
      <c r="DX26" s="592"/>
      <c r="DY26" s="590"/>
      <c r="DZ26" s="591"/>
      <c r="EA26" s="591"/>
      <c r="EB26" s="592"/>
      <c r="EC26" s="590"/>
      <c r="ED26" s="591"/>
      <c r="EE26" s="591"/>
      <c r="EF26" s="592"/>
      <c r="EG26" s="590"/>
      <c r="EH26" s="591"/>
      <c r="EI26" s="591"/>
      <c r="EJ26" s="592"/>
      <c r="EK26" s="590"/>
      <c r="EL26" s="591"/>
      <c r="EM26" s="591"/>
      <c r="EN26" s="592"/>
      <c r="EO26" s="246"/>
    </row>
    <row r="27" spans="1:151" ht="21" customHeight="1">
      <c r="A27" s="48"/>
      <c r="B27" s="173"/>
      <c r="C27" s="174"/>
      <c r="D27" s="175"/>
      <c r="E27" s="578">
        <f>E14+F14+G14+H14</f>
        <v>703200</v>
      </c>
      <c r="F27" s="579"/>
      <c r="G27" s="579"/>
      <c r="H27" s="579"/>
      <c r="I27" s="578">
        <f t="shared" ref="I27" si="153">I14+J14+K14+L14</f>
        <v>601308</v>
      </c>
      <c r="J27" s="579"/>
      <c r="K27" s="579"/>
      <c r="L27" s="579"/>
      <c r="M27" s="578">
        <f t="shared" ref="M27" si="154">M14+N14+O14+P14</f>
        <v>604916</v>
      </c>
      <c r="N27" s="579"/>
      <c r="O27" s="579"/>
      <c r="P27" s="579"/>
      <c r="Q27" s="578">
        <f t="shared" ref="Q27" si="155">Q14+R14+S14+T14</f>
        <v>608544</v>
      </c>
      <c r="R27" s="579"/>
      <c r="S27" s="579"/>
      <c r="T27" s="579"/>
      <c r="U27" s="578">
        <f t="shared" ref="U27" si="156">U14+V14+W14+X14</f>
        <v>612196</v>
      </c>
      <c r="V27" s="579"/>
      <c r="W27" s="579"/>
      <c r="X27" s="579"/>
      <c r="Y27" s="578">
        <f t="shared" ref="Y27" si="157">Y14+Z14+AA14+AB14</f>
        <v>615872</v>
      </c>
      <c r="Z27" s="579"/>
      <c r="AA27" s="579"/>
      <c r="AB27" s="579"/>
      <c r="AC27" s="578">
        <f t="shared" ref="AC27" si="158">AC14+AD14+AE14+AF14</f>
        <v>619568</v>
      </c>
      <c r="AD27" s="579"/>
      <c r="AE27" s="579"/>
      <c r="AF27" s="579"/>
      <c r="AG27" s="578">
        <f t="shared" ref="AG27" si="159">AG14+AH14+AI14+AJ14</f>
        <v>623284</v>
      </c>
      <c r="AH27" s="579"/>
      <c r="AI27" s="579"/>
      <c r="AJ27" s="579"/>
      <c r="AK27" s="578">
        <f t="shared" ref="AK27" si="160">AK14+AL14+AM14+AN14</f>
        <v>627024</v>
      </c>
      <c r="AL27" s="579"/>
      <c r="AM27" s="579"/>
      <c r="AN27" s="579"/>
      <c r="AO27" s="578">
        <f t="shared" ref="AO27" si="161">AO14+AP14+AQ14+AR14</f>
        <v>630788</v>
      </c>
      <c r="AP27" s="579"/>
      <c r="AQ27" s="579"/>
      <c r="AR27" s="579"/>
      <c r="AS27" s="578">
        <f t="shared" ref="AS27" si="162">AS14+AT14+AU14+AV14</f>
        <v>634572</v>
      </c>
      <c r="AT27" s="579"/>
      <c r="AU27" s="579"/>
      <c r="AV27" s="579"/>
      <c r="AW27" s="578">
        <f t="shared" ref="AW27" si="163">AW14+AX14+AY14+AZ14</f>
        <v>638380</v>
      </c>
      <c r="AX27" s="579"/>
      <c r="AY27" s="579"/>
      <c r="AZ27" s="579"/>
      <c r="BA27" s="578">
        <f t="shared" ref="BA27" si="164">BA14+BB14+BC14+BD14</f>
        <v>642212</v>
      </c>
      <c r="BB27" s="579"/>
      <c r="BC27" s="579"/>
      <c r="BD27" s="579"/>
      <c r="BE27" s="578">
        <f t="shared" ref="BE27" si="165">BE14+BF14+BG14+BH14</f>
        <v>646064</v>
      </c>
      <c r="BF27" s="579"/>
      <c r="BG27" s="579"/>
      <c r="BH27" s="579"/>
      <c r="BI27" s="578">
        <f t="shared" ref="BI27" si="166">BI14+BJ14+BK14+BL14</f>
        <v>649940</v>
      </c>
      <c r="BJ27" s="579"/>
      <c r="BK27" s="579"/>
      <c r="BL27" s="579"/>
      <c r="BM27" s="578">
        <f t="shared" ref="BM27" si="167">BM14+BN14+BO14+BP14</f>
        <v>653840</v>
      </c>
      <c r="BN27" s="579"/>
      <c r="BO27" s="579"/>
      <c r="BP27" s="579"/>
      <c r="BQ27" s="578">
        <f t="shared" ref="BQ27" si="168">BQ14+BR14+BS14+BT14</f>
        <v>657764</v>
      </c>
      <c r="BR27" s="579"/>
      <c r="BS27" s="579"/>
      <c r="BT27" s="579"/>
      <c r="BU27" s="578">
        <f t="shared" ref="BU27" si="169">BU14+BV14+BW14+BX14</f>
        <v>661712</v>
      </c>
      <c r="BV27" s="579"/>
      <c r="BW27" s="579"/>
      <c r="BX27" s="579"/>
      <c r="BY27" s="578">
        <f t="shared" ref="BY27" si="170">BY14+BZ14+CA14+CB14</f>
        <v>665684</v>
      </c>
      <c r="BZ27" s="579"/>
      <c r="CA27" s="579"/>
      <c r="CB27" s="579"/>
      <c r="CC27" s="578">
        <f t="shared" ref="CC27" si="171">CC14+CD14+CE14+CF14</f>
        <v>669680</v>
      </c>
      <c r="CD27" s="579"/>
      <c r="CE27" s="579"/>
      <c r="CF27" s="579"/>
      <c r="CG27" s="578">
        <f t="shared" ref="CG27" si="172">CG14+CH14+CI14+CJ14</f>
        <v>673696</v>
      </c>
      <c r="CH27" s="579"/>
      <c r="CI27" s="579"/>
      <c r="CJ27" s="579"/>
      <c r="EU27" s="30"/>
    </row>
    <row r="28" spans="1:151" ht="21" customHeight="1">
      <c r="A28" s="48"/>
      <c r="B28" s="173"/>
      <c r="C28" s="174"/>
      <c r="D28" s="175"/>
      <c r="E28" s="580">
        <f>I27/E27-1</f>
        <v>-0.14489761092150166</v>
      </c>
      <c r="F28" s="580"/>
      <c r="G28" s="580"/>
      <c r="H28" s="580"/>
      <c r="I28" s="580">
        <f t="shared" ref="I28" si="173">M27/I27-1</f>
        <v>6.0002527822680118E-3</v>
      </c>
      <c r="J28" s="580"/>
      <c r="K28" s="580"/>
      <c r="L28" s="580"/>
      <c r="M28" s="580">
        <f t="shared" ref="M28" si="174">Q27/M27-1</f>
        <v>5.9975269293588429E-3</v>
      </c>
      <c r="N28" s="580"/>
      <c r="O28" s="580"/>
      <c r="P28" s="580"/>
      <c r="Q28" s="580">
        <f t="shared" ref="Q28" si="175">U27/Q27-1</f>
        <v>6.0012094441814767E-3</v>
      </c>
      <c r="R28" s="580"/>
      <c r="S28" s="580"/>
      <c r="T28" s="580"/>
      <c r="U28" s="580">
        <f t="shared" ref="U28" si="176">Y27/U27-1</f>
        <v>6.0046129017503613E-3</v>
      </c>
      <c r="V28" s="580"/>
      <c r="W28" s="580"/>
      <c r="X28" s="580"/>
      <c r="Y28" s="580">
        <f t="shared" ref="Y28" si="177">AC27/Y27-1</f>
        <v>6.001247012366262E-3</v>
      </c>
      <c r="Z28" s="580"/>
      <c r="AA28" s="580"/>
      <c r="AB28" s="580"/>
      <c r="AC28" s="580">
        <f t="shared" ref="AC28" si="178">AG27/AC27-1</f>
        <v>5.997727448803003E-3</v>
      </c>
      <c r="AD28" s="580"/>
      <c r="AE28" s="580"/>
      <c r="AF28" s="580"/>
      <c r="AG28" s="580">
        <f t="shared" ref="AG28" si="179">AK27/AG27-1</f>
        <v>6.0004749038962135E-3</v>
      </c>
      <c r="AH28" s="580"/>
      <c r="AI28" s="580"/>
      <c r="AJ28" s="580"/>
      <c r="AK28" s="580">
        <f t="shared" ref="AK28" si="180">AO27/AK27-1</f>
        <v>6.0029600142896822E-3</v>
      </c>
      <c r="AL28" s="580"/>
      <c r="AM28" s="580"/>
      <c r="AN28" s="580"/>
      <c r="AO28" s="580">
        <f t="shared" ref="AO28" si="181">AS27/AO27-1</f>
        <v>5.9988458880004814E-3</v>
      </c>
      <c r="AP28" s="580"/>
      <c r="AQ28" s="580"/>
      <c r="AR28" s="580"/>
      <c r="AS28" s="580">
        <f t="shared" ref="AS28" si="182">AW27/AS27-1</f>
        <v>6.0008950914947068E-3</v>
      </c>
      <c r="AT28" s="580"/>
      <c r="AU28" s="580"/>
      <c r="AV28" s="580"/>
      <c r="AW28" s="580">
        <f t="shared" ref="AW28" si="183">BA27/AW27-1</f>
        <v>6.0026943199975591E-3</v>
      </c>
      <c r="AX28" s="580"/>
      <c r="AY28" s="580"/>
      <c r="AZ28" s="580"/>
      <c r="BA28" s="580">
        <f t="shared" ref="BA28" si="184">BE27/BA27-1</f>
        <v>5.998019345636596E-3</v>
      </c>
      <c r="BB28" s="580"/>
      <c r="BC28" s="580"/>
      <c r="BD28" s="580"/>
      <c r="BE28" s="580">
        <f t="shared" ref="BE28" si="185">BI27/BE27-1</f>
        <v>5.9994056316401423E-3</v>
      </c>
      <c r="BF28" s="580"/>
      <c r="BG28" s="580"/>
      <c r="BH28" s="580"/>
      <c r="BI28" s="580">
        <f t="shared" ref="BI28" si="186">BM27/BI27-1</f>
        <v>6.0005538972829342E-3</v>
      </c>
      <c r="BJ28" s="580"/>
      <c r="BK28" s="580"/>
      <c r="BL28" s="580"/>
      <c r="BM28" s="580">
        <f t="shared" ref="BM28" si="187">BQ27/BM27-1</f>
        <v>6.0014682491129623E-3</v>
      </c>
      <c r="BN28" s="580"/>
      <c r="BO28" s="580"/>
      <c r="BP28" s="580"/>
      <c r="BQ28" s="580">
        <f t="shared" ref="BQ28" si="188">BU27/BQ27-1</f>
        <v>6.0021527477940317E-3</v>
      </c>
      <c r="BR28" s="580"/>
      <c r="BS28" s="580"/>
      <c r="BT28" s="580"/>
      <c r="BU28" s="580">
        <f t="shared" ref="BU28" si="189">BY27/BU27-1</f>
        <v>6.002611407984082E-3</v>
      </c>
      <c r="BV28" s="580"/>
      <c r="BW28" s="580"/>
      <c r="BX28" s="580"/>
      <c r="BY28" s="580">
        <f t="shared" ref="BY28" si="190">CC27/BY27-1</f>
        <v>6.0028481982441484E-3</v>
      </c>
      <c r="BZ28" s="580"/>
      <c r="CA28" s="580"/>
      <c r="CB28" s="580"/>
      <c r="CC28" s="580">
        <f>CG27/CC27-1</f>
        <v>5.9968940389438785E-3</v>
      </c>
      <c r="CD28" s="580"/>
      <c r="CE28" s="580"/>
      <c r="CF28" s="580"/>
      <c r="CG28" s="580"/>
      <c r="CH28" s="580"/>
      <c r="CI28" s="580"/>
      <c r="CJ28" s="580"/>
      <c r="EU28" s="30"/>
    </row>
    <row r="29" spans="1:151" ht="21" customHeight="1">
      <c r="A29" s="48"/>
      <c r="B29" s="173"/>
      <c r="C29" s="174"/>
      <c r="D29" s="175"/>
      <c r="E29" s="49"/>
      <c r="F29" s="50"/>
      <c r="G29" s="51"/>
      <c r="H29" s="75"/>
      <c r="I29" s="50"/>
      <c r="EU29" s="30"/>
    </row>
    <row r="30" spans="1:151" ht="21" customHeight="1">
      <c r="A30" s="48"/>
      <c r="B30" s="173"/>
      <c r="C30" s="174"/>
      <c r="D30" s="175"/>
      <c r="E30" s="49"/>
      <c r="F30" s="50"/>
      <c r="G30" s="51"/>
      <c r="H30" s="75"/>
      <c r="I30" s="50"/>
      <c r="EU30" s="30"/>
    </row>
    <row r="31" spans="1:151" ht="21" customHeight="1">
      <c r="A31" s="48"/>
      <c r="B31" s="173"/>
      <c r="C31" s="174"/>
      <c r="D31" s="175"/>
      <c r="E31" s="49"/>
      <c r="F31" s="50"/>
      <c r="G31" s="51"/>
      <c r="H31" s="75"/>
      <c r="I31" s="50"/>
      <c r="EU31" s="30"/>
    </row>
    <row r="32" spans="1:151" ht="21" customHeight="1">
      <c r="A32" s="48"/>
      <c r="B32" s="173"/>
      <c r="C32" s="174"/>
      <c r="D32" s="175"/>
      <c r="E32" s="49"/>
      <c r="F32" s="50"/>
      <c r="G32" s="51"/>
      <c r="H32" s="75"/>
      <c r="I32" s="50"/>
      <c r="EU32" s="30"/>
    </row>
    <row r="33" spans="1:151" ht="21" customHeight="1">
      <c r="A33" s="48"/>
      <c r="B33" s="173"/>
      <c r="C33" s="174"/>
      <c r="D33" s="175"/>
      <c r="E33" s="49"/>
      <c r="F33" s="50"/>
      <c r="G33" s="51"/>
      <c r="H33" s="75"/>
      <c r="I33" s="50"/>
      <c r="EU33" s="30"/>
    </row>
    <row r="34" spans="1:151" ht="21" customHeight="1">
      <c r="A34" s="48"/>
      <c r="B34" s="173"/>
      <c r="C34" s="174"/>
      <c r="D34" s="175"/>
      <c r="E34" s="49"/>
      <c r="F34" s="50"/>
      <c r="G34" s="51"/>
      <c r="H34" s="75"/>
      <c r="I34" s="50"/>
      <c r="EU34" s="30"/>
    </row>
    <row r="35" spans="1:151" ht="21" customHeight="1">
      <c r="A35" s="48"/>
      <c r="B35" s="173"/>
      <c r="C35" s="174">
        <f>地下车库现金流!C32</f>
        <v>0</v>
      </c>
      <c r="D35" s="175"/>
      <c r="E35" s="49"/>
      <c r="F35" s="50"/>
      <c r="G35" s="51"/>
      <c r="H35" s="75"/>
      <c r="I35" s="50"/>
      <c r="EU35" s="30"/>
    </row>
    <row r="36" spans="1:151" ht="21" customHeight="1">
      <c r="A36" s="48"/>
      <c r="B36" s="173"/>
      <c r="C36" s="174"/>
      <c r="D36" s="175"/>
      <c r="E36" s="49"/>
      <c r="F36" s="50"/>
      <c r="G36" s="51"/>
      <c r="H36" s="75"/>
      <c r="I36" s="50"/>
      <c r="EU36" s="30"/>
    </row>
    <row r="37" spans="1:151" ht="21" customHeight="1">
      <c r="A37" s="48"/>
      <c r="B37" s="173"/>
      <c r="C37" s="174"/>
      <c r="D37" s="175"/>
      <c r="E37" s="49"/>
      <c r="F37" s="50"/>
      <c r="G37" s="51"/>
      <c r="H37" s="75"/>
      <c r="I37" s="50"/>
      <c r="EU37" s="30"/>
    </row>
    <row r="38" spans="1:151" ht="21" customHeight="1">
      <c r="A38" s="48"/>
      <c r="B38" s="173"/>
      <c r="C38" s="174"/>
      <c r="D38" s="175"/>
      <c r="E38" s="49"/>
      <c r="F38" s="50"/>
      <c r="G38" s="51"/>
      <c r="H38" s="75"/>
      <c r="I38" s="50"/>
      <c r="EU38" s="30"/>
    </row>
    <row r="39" spans="1:151" ht="21" customHeight="1">
      <c r="A39" s="48"/>
      <c r="B39" s="173"/>
      <c r="C39" s="174"/>
      <c r="D39" s="175"/>
      <c r="E39" s="49"/>
      <c r="F39" s="50"/>
      <c r="G39" s="51"/>
      <c r="H39" s="75"/>
      <c r="I39" s="50"/>
      <c r="EU39" s="30"/>
    </row>
    <row r="40" spans="1:151" ht="21" customHeight="1">
      <c r="A40" s="48"/>
      <c r="B40" s="173"/>
      <c r="C40" s="174"/>
      <c r="D40" s="175"/>
      <c r="E40" s="49"/>
      <c r="F40" s="50"/>
      <c r="G40" s="51"/>
      <c r="H40" s="75"/>
      <c r="I40" s="50"/>
      <c r="EU40" s="30"/>
    </row>
    <row r="41" spans="1:151" ht="21" customHeight="1">
      <c r="A41" s="48"/>
      <c r="B41" s="173"/>
      <c r="C41" s="174"/>
      <c r="D41" s="175"/>
      <c r="E41" s="49"/>
      <c r="F41" s="50"/>
      <c r="G41" s="51"/>
      <c r="H41" s="75"/>
      <c r="I41" s="50"/>
      <c r="EU41" s="30"/>
    </row>
    <row r="42" spans="1:151" ht="21" customHeight="1">
      <c r="A42" s="48"/>
      <c r="B42" s="173"/>
      <c r="C42" s="174"/>
      <c r="D42" s="175"/>
      <c r="E42" s="49"/>
      <c r="F42" s="50"/>
      <c r="G42" s="51"/>
      <c r="H42" s="75"/>
      <c r="I42" s="50"/>
      <c r="EU42" s="30"/>
    </row>
    <row r="43" spans="1:151" ht="21" customHeight="1">
      <c r="A43" s="48"/>
      <c r="B43" s="76"/>
      <c r="C43" s="2"/>
      <c r="D43" s="77"/>
      <c r="E43" s="49"/>
      <c r="F43" s="50"/>
      <c r="G43" s="51"/>
      <c r="H43" s="75"/>
      <c r="I43" s="50"/>
    </row>
    <row r="44" spans="1:151" ht="21" customHeight="1">
      <c r="A44" s="48"/>
      <c r="B44" s="76"/>
      <c r="C44" s="2"/>
      <c r="D44" s="77"/>
      <c r="E44" s="49"/>
      <c r="F44" s="50"/>
      <c r="G44" s="51"/>
      <c r="H44" s="75"/>
      <c r="I44" s="50"/>
    </row>
    <row r="45" spans="1:151" ht="21" customHeight="1">
      <c r="A45" s="48"/>
      <c r="B45" s="76"/>
      <c r="C45" s="2"/>
      <c r="D45" s="77"/>
      <c r="E45" s="49"/>
      <c r="F45" s="50"/>
      <c r="G45" s="51"/>
      <c r="H45" s="75"/>
      <c r="I45" s="50"/>
    </row>
    <row r="46" spans="1:151" ht="21" customHeight="1">
      <c r="A46" s="48"/>
      <c r="B46" s="76"/>
      <c r="C46" s="2"/>
      <c r="D46" s="77"/>
      <c r="E46" s="49"/>
      <c r="F46" s="50"/>
      <c r="G46" s="51"/>
      <c r="H46" s="75"/>
      <c r="I46" s="50"/>
    </row>
    <row r="47" spans="1:151" ht="21" customHeight="1">
      <c r="A47" s="48"/>
      <c r="B47" s="76"/>
      <c r="C47" s="2"/>
      <c r="D47" s="77"/>
      <c r="E47" s="49"/>
      <c r="F47" s="50"/>
      <c r="G47" s="51"/>
      <c r="H47" s="75"/>
      <c r="I47" s="50"/>
    </row>
    <row r="48" spans="1:151" ht="21" customHeight="1">
      <c r="A48" s="48"/>
      <c r="B48" s="76"/>
      <c r="C48" s="2"/>
      <c r="D48" s="77"/>
      <c r="E48" s="49"/>
      <c r="F48" s="50"/>
      <c r="G48" s="51"/>
      <c r="H48" s="75"/>
      <c r="I48" s="50"/>
    </row>
    <row r="49" spans="1:9" ht="21" customHeight="1">
      <c r="A49" s="48"/>
      <c r="B49" s="76"/>
      <c r="C49" s="2"/>
      <c r="D49" s="77"/>
      <c r="E49" s="49"/>
      <c r="F49" s="50"/>
      <c r="G49" s="51"/>
      <c r="H49" s="75"/>
      <c r="I49" s="50"/>
    </row>
    <row r="50" spans="1:9" ht="21" customHeight="1">
      <c r="A50" s="48"/>
      <c r="B50" s="76"/>
      <c r="C50" s="2"/>
      <c r="D50" s="77"/>
      <c r="E50" s="49"/>
      <c r="F50" s="50"/>
      <c r="G50" s="51"/>
      <c r="H50" s="75"/>
      <c r="I50" s="50"/>
    </row>
    <row r="51" spans="1:9" ht="21" customHeight="1">
      <c r="A51" s="48"/>
      <c r="B51" s="76"/>
      <c r="C51" s="2"/>
      <c r="D51" s="77"/>
      <c r="E51" s="49"/>
      <c r="F51" s="50"/>
      <c r="G51" s="51"/>
      <c r="H51" s="75"/>
      <c r="I51" s="50"/>
    </row>
    <row r="52" spans="1:9" ht="21" customHeight="1">
      <c r="A52" s="48"/>
      <c r="B52" s="76"/>
      <c r="C52" s="2"/>
      <c r="D52" s="77"/>
      <c r="E52" s="49"/>
      <c r="F52" s="50"/>
      <c r="G52" s="51"/>
      <c r="H52" s="75"/>
      <c r="I52" s="50"/>
    </row>
    <row r="53" spans="1:9" ht="21" customHeight="1">
      <c r="A53" s="48"/>
      <c r="B53" s="76"/>
      <c r="C53" s="2"/>
      <c r="D53" s="77"/>
      <c r="E53" s="49"/>
      <c r="F53" s="50"/>
      <c r="G53" s="51"/>
      <c r="H53" s="75"/>
      <c r="I53" s="50"/>
    </row>
    <row r="54" spans="1:9" ht="21" customHeight="1">
      <c r="A54" s="48"/>
      <c r="B54" s="76"/>
      <c r="C54" s="2"/>
      <c r="D54" s="77"/>
      <c r="E54" s="49"/>
      <c r="F54" s="50"/>
      <c r="G54" s="51"/>
      <c r="H54" s="75"/>
      <c r="I54" s="50"/>
    </row>
    <row r="55" spans="1:9" ht="21" customHeight="1">
      <c r="A55" s="48"/>
      <c r="B55" s="76"/>
      <c r="C55" s="2"/>
      <c r="D55" s="77"/>
      <c r="E55" s="49"/>
      <c r="F55" s="50"/>
      <c r="G55" s="51"/>
      <c r="H55" s="75"/>
      <c r="I55" s="50"/>
    </row>
    <row r="56" spans="1:9" ht="21" customHeight="1">
      <c r="A56" s="48"/>
      <c r="B56" s="76"/>
      <c r="C56" s="2"/>
      <c r="D56" s="77"/>
      <c r="E56" s="49"/>
      <c r="F56" s="50"/>
      <c r="G56" s="51"/>
      <c r="H56" s="75"/>
      <c r="I56" s="50"/>
    </row>
    <row r="57" spans="1:9" ht="21" customHeight="1">
      <c r="A57" s="48"/>
      <c r="B57" s="76"/>
      <c r="C57" s="2"/>
      <c r="D57" s="77"/>
      <c r="E57" s="49"/>
      <c r="F57" s="50"/>
      <c r="G57" s="51"/>
      <c r="H57" s="75"/>
      <c r="I57" s="50"/>
    </row>
    <row r="58" spans="1:9" ht="21" customHeight="1">
      <c r="A58" s="48"/>
      <c r="B58" s="76"/>
      <c r="C58" s="2"/>
      <c r="D58" s="77"/>
      <c r="E58" s="49"/>
      <c r="F58" s="50"/>
      <c r="G58" s="51"/>
      <c r="H58" s="75"/>
      <c r="I58" s="50"/>
    </row>
    <row r="59" spans="1:9" ht="21" customHeight="1">
      <c r="A59" s="48"/>
      <c r="B59" s="76"/>
      <c r="C59" s="2"/>
      <c r="D59" s="77"/>
      <c r="E59" s="49"/>
      <c r="F59" s="50"/>
      <c r="G59" s="51"/>
      <c r="H59" s="75"/>
      <c r="I59" s="50"/>
    </row>
    <row r="60" spans="1:9" ht="21" customHeight="1">
      <c r="A60" s="48"/>
      <c r="B60" s="76"/>
      <c r="C60" s="2"/>
      <c r="D60" s="77"/>
      <c r="E60" s="49"/>
      <c r="F60" s="50"/>
      <c r="G60" s="51"/>
      <c r="H60" s="75"/>
      <c r="I60" s="50"/>
    </row>
    <row r="61" spans="1:9" ht="21" customHeight="1">
      <c r="A61" s="48"/>
      <c r="B61" s="76"/>
      <c r="C61" s="2"/>
      <c r="D61" s="77"/>
      <c r="E61" s="49"/>
      <c r="F61" s="50"/>
      <c r="G61" s="51"/>
      <c r="H61" s="75"/>
      <c r="I61" s="50"/>
    </row>
    <row r="62" spans="1:9" ht="21" customHeight="1">
      <c r="A62" s="48"/>
      <c r="B62" s="76"/>
      <c r="C62" s="2"/>
      <c r="D62" s="77"/>
      <c r="E62" s="49"/>
      <c r="F62" s="50"/>
      <c r="G62" s="51"/>
      <c r="H62" s="75"/>
      <c r="I62" s="50"/>
    </row>
    <row r="63" spans="1:9" ht="21" customHeight="1">
      <c r="A63" s="48"/>
      <c r="B63" s="76"/>
      <c r="C63" s="2"/>
      <c r="D63" s="77"/>
      <c r="E63" s="49"/>
      <c r="F63" s="50"/>
      <c r="G63" s="51"/>
      <c r="H63" s="75"/>
      <c r="I63" s="50"/>
    </row>
    <row r="64" spans="1:9" ht="21" customHeight="1">
      <c r="A64" s="48"/>
      <c r="B64" s="76"/>
      <c r="C64" s="2"/>
      <c r="D64" s="77"/>
      <c r="E64" s="49"/>
      <c r="F64" s="50"/>
      <c r="G64" s="51"/>
      <c r="H64" s="75"/>
      <c r="I64" s="50"/>
    </row>
    <row r="65" spans="1:9" ht="21" customHeight="1">
      <c r="A65" s="48"/>
      <c r="B65" s="76"/>
      <c r="C65" s="2"/>
      <c r="D65" s="77"/>
      <c r="E65" s="49"/>
      <c r="F65" s="50"/>
      <c r="G65" s="51"/>
      <c r="H65" s="75"/>
      <c r="I65" s="50"/>
    </row>
    <row r="66" spans="1:9" ht="21" customHeight="1">
      <c r="A66" s="48"/>
      <c r="B66" s="76"/>
      <c r="C66" s="2"/>
      <c r="D66" s="77"/>
      <c r="E66" s="49"/>
      <c r="F66" s="50"/>
      <c r="G66" s="51"/>
      <c r="H66" s="75"/>
      <c r="I66" s="50"/>
    </row>
    <row r="67" spans="1:9" ht="21" customHeight="1">
      <c r="A67" s="48"/>
      <c r="B67" s="76"/>
      <c r="C67" s="2"/>
      <c r="D67" s="77"/>
      <c r="E67" s="49"/>
      <c r="F67" s="50"/>
      <c r="G67" s="51"/>
      <c r="H67" s="75"/>
      <c r="I67" s="50"/>
    </row>
    <row r="68" spans="1:9" ht="21" customHeight="1">
      <c r="A68" s="48"/>
      <c r="B68" s="76"/>
      <c r="C68" s="2"/>
      <c r="D68" s="77"/>
      <c r="E68" s="49"/>
      <c r="F68" s="50"/>
      <c r="G68" s="51"/>
      <c r="H68" s="75"/>
      <c r="I68" s="50"/>
    </row>
    <row r="69" spans="1:9" ht="21" customHeight="1">
      <c r="A69" s="48"/>
      <c r="B69" s="76"/>
      <c r="C69" s="2"/>
      <c r="D69" s="77"/>
      <c r="E69" s="49"/>
      <c r="F69" s="50"/>
      <c r="G69" s="51"/>
      <c r="H69" s="75"/>
      <c r="I69" s="50"/>
    </row>
    <row r="70" spans="1:9" ht="21" customHeight="1">
      <c r="A70" s="48"/>
      <c r="B70" s="76"/>
      <c r="C70" s="2"/>
      <c r="D70" s="77"/>
      <c r="E70" s="49"/>
      <c r="F70" s="50"/>
      <c r="G70" s="51"/>
      <c r="H70" s="75"/>
      <c r="I70" s="50"/>
    </row>
    <row r="71" spans="1:9">
      <c r="A71" s="48"/>
      <c r="B71" s="76"/>
      <c r="C71" s="2"/>
      <c r="D71" s="77"/>
      <c r="E71" s="49"/>
      <c r="F71" s="50"/>
      <c r="G71" s="51"/>
      <c r="H71" s="75"/>
      <c r="I71" s="50"/>
    </row>
    <row r="72" spans="1:9">
      <c r="A72" s="48"/>
      <c r="B72" s="76"/>
      <c r="C72" s="2"/>
      <c r="D72" s="77"/>
      <c r="E72" s="49"/>
      <c r="F72" s="50"/>
      <c r="G72" s="51"/>
      <c r="H72" s="75"/>
      <c r="I72" s="50"/>
    </row>
    <row r="73" spans="1:9">
      <c r="A73" s="48"/>
      <c r="B73" s="76"/>
      <c r="C73" s="2"/>
      <c r="D73" s="77"/>
      <c r="E73" s="49"/>
      <c r="F73" s="50"/>
      <c r="G73" s="51"/>
      <c r="H73" s="75"/>
      <c r="I73" s="50"/>
    </row>
    <row r="74" spans="1:9">
      <c r="A74" s="48"/>
      <c r="B74" s="76"/>
      <c r="C74" s="2"/>
      <c r="D74" s="77"/>
      <c r="E74" s="49"/>
      <c r="F74" s="50"/>
      <c r="G74" s="51"/>
      <c r="H74" s="75"/>
      <c r="I74" s="50"/>
    </row>
    <row r="75" spans="1:9">
      <c r="A75" s="48"/>
      <c r="B75" s="76"/>
      <c r="C75" s="2"/>
      <c r="D75" s="77"/>
      <c r="E75" s="49"/>
      <c r="F75" s="50"/>
      <c r="G75" s="51"/>
      <c r="H75" s="75"/>
      <c r="I75" s="50"/>
    </row>
    <row r="76" spans="1:9">
      <c r="A76" s="48"/>
      <c r="B76" s="76"/>
      <c r="C76" s="2"/>
      <c r="D76" s="77"/>
      <c r="E76" s="49"/>
      <c r="F76" s="50"/>
      <c r="G76" s="51"/>
      <c r="H76" s="75"/>
      <c r="I76" s="50"/>
    </row>
    <row r="77" spans="1:9">
      <c r="A77" s="48"/>
      <c r="B77" s="76"/>
      <c r="C77" s="2"/>
      <c r="D77" s="77"/>
      <c r="E77" s="49"/>
      <c r="F77" s="50"/>
      <c r="G77" s="51"/>
      <c r="H77" s="75"/>
      <c r="I77" s="50"/>
    </row>
    <row r="78" spans="1:9">
      <c r="A78" s="48"/>
      <c r="B78" s="76"/>
      <c r="C78" s="2"/>
      <c r="D78" s="77"/>
      <c r="E78" s="49"/>
      <c r="F78" s="50"/>
      <c r="G78" s="51"/>
      <c r="H78" s="75"/>
      <c r="I78" s="50"/>
    </row>
    <row r="79" spans="1:9">
      <c r="A79" s="48"/>
      <c r="B79" s="76"/>
      <c r="C79" s="2"/>
      <c r="D79" s="77"/>
      <c r="E79" s="49"/>
      <c r="F79" s="50"/>
      <c r="G79" s="51"/>
      <c r="H79" s="75"/>
      <c r="I79" s="50"/>
    </row>
    <row r="80" spans="1:9">
      <c r="A80" s="48"/>
      <c r="B80" s="76"/>
      <c r="C80" s="2"/>
      <c r="D80" s="77"/>
      <c r="E80" s="49"/>
      <c r="F80" s="50"/>
      <c r="G80" s="51"/>
      <c r="H80" s="75"/>
      <c r="I80" s="50"/>
    </row>
    <row r="81" spans="1:9">
      <c r="A81" s="48"/>
      <c r="B81" s="76"/>
      <c r="C81" s="2"/>
      <c r="D81" s="77"/>
      <c r="E81" s="49"/>
      <c r="F81" s="50"/>
      <c r="G81" s="51"/>
      <c r="H81" s="75"/>
      <c r="I81" s="50"/>
    </row>
    <row r="82" spans="1:9">
      <c r="A82" s="48"/>
      <c r="B82" s="76"/>
      <c r="C82" s="2"/>
      <c r="D82" s="77"/>
      <c r="E82" s="49"/>
      <c r="F82" s="50"/>
      <c r="G82" s="51"/>
      <c r="H82" s="75"/>
      <c r="I82" s="50"/>
    </row>
    <row r="83" spans="1:9">
      <c r="A83" s="48"/>
      <c r="B83" s="76"/>
      <c r="C83" s="2"/>
      <c r="D83" s="77"/>
      <c r="E83" s="49"/>
      <c r="F83" s="50"/>
      <c r="G83" s="51"/>
      <c r="H83" s="75"/>
      <c r="I83" s="50"/>
    </row>
    <row r="84" spans="1:9">
      <c r="A84" s="48"/>
      <c r="B84" s="76"/>
      <c r="C84" s="2"/>
      <c r="D84" s="77"/>
      <c r="E84" s="49"/>
      <c r="F84" s="50"/>
      <c r="G84" s="51"/>
      <c r="H84" s="75"/>
      <c r="I84" s="50"/>
    </row>
    <row r="85" spans="1:9">
      <c r="A85" s="48"/>
      <c r="B85" s="76"/>
      <c r="C85" s="2"/>
      <c r="D85" s="77"/>
      <c r="E85" s="49"/>
      <c r="F85" s="50"/>
      <c r="G85" s="51"/>
      <c r="H85" s="75"/>
      <c r="I85" s="50"/>
    </row>
    <row r="86" spans="1:9">
      <c r="A86" s="48"/>
      <c r="B86" s="76"/>
      <c r="C86" s="2"/>
      <c r="D86" s="77"/>
      <c r="E86" s="49"/>
      <c r="F86" s="50"/>
      <c r="G86" s="51"/>
      <c r="H86" s="75"/>
      <c r="I86" s="50"/>
    </row>
    <row r="87" spans="1:9">
      <c r="A87" s="48"/>
      <c r="B87" s="76"/>
      <c r="C87" s="2"/>
      <c r="D87" s="77"/>
      <c r="E87" s="49"/>
      <c r="F87" s="50"/>
      <c r="G87" s="51"/>
      <c r="H87" s="75"/>
      <c r="I87" s="50"/>
    </row>
    <row r="88" spans="1:9">
      <c r="A88" s="48"/>
      <c r="B88" s="76"/>
      <c r="C88" s="2"/>
      <c r="D88" s="77"/>
      <c r="E88" s="49"/>
      <c r="F88" s="50"/>
      <c r="G88" s="51"/>
      <c r="H88" s="75"/>
      <c r="I88" s="50"/>
    </row>
    <row r="89" spans="1:9">
      <c r="A89" s="48"/>
      <c r="B89" s="76"/>
      <c r="C89" s="2"/>
      <c r="D89" s="77"/>
      <c r="E89" s="49"/>
      <c r="F89" s="50"/>
      <c r="G89" s="51"/>
      <c r="H89" s="75"/>
      <c r="I89" s="50"/>
    </row>
    <row r="90" spans="1:9">
      <c r="A90" s="48"/>
      <c r="B90" s="76"/>
      <c r="C90" s="2"/>
      <c r="D90" s="77"/>
      <c r="E90" s="49"/>
      <c r="F90" s="50"/>
      <c r="G90" s="51"/>
      <c r="H90" s="75"/>
      <c r="I90" s="50"/>
    </row>
    <row r="91" spans="1:9">
      <c r="A91" s="48"/>
      <c r="B91" s="76"/>
      <c r="C91" s="2"/>
      <c r="D91" s="77"/>
      <c r="E91" s="49"/>
      <c r="F91" s="50"/>
      <c r="G91" s="51"/>
      <c r="H91" s="75"/>
      <c r="I91" s="50"/>
    </row>
    <row r="92" spans="1:9">
      <c r="A92" s="48"/>
      <c r="B92" s="76"/>
      <c r="C92" s="2"/>
      <c r="D92" s="77"/>
      <c r="E92" s="49"/>
      <c r="F92" s="50"/>
      <c r="G92" s="51"/>
      <c r="H92" s="75"/>
      <c r="I92" s="50"/>
    </row>
    <row r="93" spans="1:9">
      <c r="A93" s="48"/>
      <c r="B93" s="76"/>
      <c r="C93" s="2"/>
      <c r="D93" s="77"/>
      <c r="E93" s="49"/>
      <c r="F93" s="50"/>
      <c r="G93" s="51"/>
      <c r="H93" s="75"/>
      <c r="I93" s="50"/>
    </row>
    <row r="94" spans="1:9">
      <c r="A94" s="48"/>
      <c r="B94" s="76"/>
      <c r="C94" s="2"/>
      <c r="D94" s="77"/>
      <c r="E94" s="49"/>
      <c r="F94" s="50"/>
      <c r="G94" s="51"/>
      <c r="H94" s="75"/>
      <c r="I94" s="50"/>
    </row>
    <row r="95" spans="1:9">
      <c r="A95" s="48"/>
      <c r="B95" s="76"/>
      <c r="C95" s="2"/>
      <c r="D95" s="77"/>
      <c r="E95" s="49"/>
      <c r="F95" s="50"/>
      <c r="G95" s="51"/>
      <c r="H95" s="75"/>
      <c r="I95" s="50"/>
    </row>
    <row r="96" spans="1:9">
      <c r="A96" s="48"/>
      <c r="B96" s="76"/>
      <c r="C96" s="2"/>
      <c r="D96" s="77"/>
      <c r="E96" s="49"/>
      <c r="F96" s="50"/>
      <c r="G96" s="51"/>
      <c r="H96" s="75"/>
      <c r="I96" s="50"/>
    </row>
    <row r="97" spans="1:9">
      <c r="A97" s="48"/>
      <c r="B97" s="76"/>
      <c r="C97" s="2"/>
      <c r="D97" s="77"/>
      <c r="E97" s="49"/>
      <c r="F97" s="50"/>
      <c r="G97" s="51"/>
      <c r="H97" s="75"/>
      <c r="I97" s="50"/>
    </row>
    <row r="98" spans="1:9">
      <c r="A98" s="48"/>
      <c r="B98" s="76"/>
      <c r="C98" s="2"/>
      <c r="D98" s="77"/>
      <c r="E98" s="49"/>
      <c r="F98" s="50"/>
      <c r="G98" s="51"/>
      <c r="H98" s="75"/>
      <c r="I98" s="50"/>
    </row>
    <row r="99" spans="1:9">
      <c r="A99" s="48"/>
      <c r="B99" s="76"/>
      <c r="C99" s="2"/>
      <c r="D99" s="77"/>
      <c r="E99" s="49"/>
      <c r="F99" s="50"/>
      <c r="G99" s="51"/>
      <c r="H99" s="75"/>
      <c r="I99" s="50"/>
    </row>
    <row r="100" spans="1:9">
      <c r="A100" s="48"/>
      <c r="B100" s="76"/>
      <c r="C100" s="2"/>
      <c r="D100" s="77"/>
      <c r="E100" s="49"/>
      <c r="F100" s="50"/>
      <c r="G100" s="51"/>
      <c r="H100" s="75"/>
      <c r="I100" s="50"/>
    </row>
    <row r="101" spans="1:9">
      <c r="A101" s="48"/>
      <c r="B101" s="76"/>
      <c r="C101" s="2"/>
      <c r="D101" s="77"/>
      <c r="E101" s="49"/>
      <c r="F101" s="50"/>
      <c r="G101" s="51"/>
      <c r="H101" s="75"/>
      <c r="I101" s="50"/>
    </row>
    <row r="102" spans="1:9">
      <c r="A102" s="48"/>
      <c r="B102" s="76"/>
      <c r="C102" s="2"/>
      <c r="D102" s="77"/>
      <c r="E102" s="49"/>
      <c r="F102" s="50"/>
      <c r="G102" s="51"/>
      <c r="H102" s="75"/>
      <c r="I102" s="50"/>
    </row>
    <row r="103" spans="1:9">
      <c r="A103" s="48"/>
      <c r="B103" s="76"/>
      <c r="C103" s="2"/>
      <c r="D103" s="77"/>
      <c r="E103" s="49"/>
      <c r="F103" s="50"/>
      <c r="G103" s="51"/>
      <c r="H103" s="75"/>
      <c r="I103" s="50"/>
    </row>
    <row r="104" spans="1:9">
      <c r="A104" s="48"/>
      <c r="B104" s="76"/>
      <c r="C104" s="2"/>
      <c r="D104" s="77"/>
      <c r="E104" s="49"/>
      <c r="F104" s="50"/>
      <c r="G104" s="51"/>
      <c r="H104" s="75"/>
      <c r="I104" s="50"/>
    </row>
    <row r="105" spans="1:9">
      <c r="A105" s="48"/>
      <c r="B105" s="76"/>
      <c r="C105" s="2"/>
      <c r="D105" s="77"/>
      <c r="E105" s="49"/>
      <c r="F105" s="50"/>
      <c r="G105" s="51"/>
      <c r="H105" s="75"/>
      <c r="I105" s="50"/>
    </row>
    <row r="106" spans="1:9">
      <c r="A106" s="48"/>
      <c r="B106" s="76"/>
      <c r="C106" s="2"/>
      <c r="D106" s="77"/>
      <c r="E106" s="49"/>
      <c r="F106" s="50"/>
      <c r="G106" s="51"/>
      <c r="H106" s="75"/>
      <c r="I106" s="50"/>
    </row>
    <row r="107" spans="1:9">
      <c r="A107" s="48"/>
      <c r="B107" s="76"/>
      <c r="C107" s="2"/>
      <c r="D107" s="77"/>
      <c r="E107" s="49"/>
      <c r="F107" s="50"/>
      <c r="G107" s="51"/>
      <c r="H107" s="75"/>
      <c r="I107" s="50"/>
    </row>
    <row r="108" spans="1:9">
      <c r="A108" s="48"/>
      <c r="B108" s="76"/>
      <c r="C108" s="2"/>
      <c r="D108" s="77"/>
      <c r="E108" s="49"/>
      <c r="F108" s="50"/>
      <c r="G108" s="51"/>
      <c r="H108" s="75"/>
      <c r="I108" s="50"/>
    </row>
    <row r="109" spans="1:9">
      <c r="A109" s="48"/>
      <c r="B109" s="76"/>
      <c r="C109" s="2"/>
      <c r="D109" s="77"/>
      <c r="E109" s="49"/>
      <c r="F109" s="50"/>
      <c r="G109" s="51"/>
      <c r="H109" s="75"/>
      <c r="I109" s="50"/>
    </row>
    <row r="110" spans="1:9">
      <c r="A110" s="48"/>
      <c r="B110" s="76"/>
      <c r="C110" s="2"/>
      <c r="D110" s="77"/>
      <c r="E110" s="49"/>
      <c r="F110" s="50"/>
      <c r="G110" s="51"/>
      <c r="H110" s="75"/>
      <c r="I110" s="50"/>
    </row>
    <row r="111" spans="1:9">
      <c r="A111" s="48"/>
      <c r="B111" s="76"/>
      <c r="C111" s="2"/>
      <c r="D111" s="77"/>
      <c r="E111" s="49"/>
      <c r="F111" s="50"/>
      <c r="G111" s="51"/>
      <c r="H111" s="75"/>
      <c r="I111" s="50"/>
    </row>
    <row r="112" spans="1:9">
      <c r="A112" s="48"/>
      <c r="B112" s="76"/>
      <c r="C112" s="2"/>
      <c r="D112" s="77"/>
      <c r="E112" s="49"/>
      <c r="F112" s="50"/>
      <c r="G112" s="51"/>
      <c r="H112" s="75"/>
      <c r="I112" s="50"/>
    </row>
    <row r="113" spans="1:9">
      <c r="A113" s="48"/>
      <c r="B113" s="76"/>
      <c r="C113" s="2"/>
      <c r="D113" s="77"/>
      <c r="E113" s="49"/>
      <c r="F113" s="50"/>
      <c r="G113" s="51"/>
      <c r="H113" s="75"/>
      <c r="I113" s="50"/>
    </row>
    <row r="114" spans="1:9">
      <c r="A114" s="48"/>
      <c r="B114" s="76"/>
      <c r="C114" s="2"/>
      <c r="D114" s="77"/>
      <c r="E114" s="49"/>
      <c r="F114" s="50"/>
      <c r="G114" s="51"/>
      <c r="H114" s="75"/>
      <c r="I114" s="50"/>
    </row>
    <row r="115" spans="1:9">
      <c r="A115" s="48"/>
      <c r="B115" s="76"/>
      <c r="C115" s="2"/>
      <c r="D115" s="77"/>
      <c r="E115" s="49"/>
      <c r="F115" s="50"/>
      <c r="G115" s="51"/>
      <c r="H115" s="75"/>
      <c r="I115" s="50"/>
    </row>
    <row r="116" spans="1:9">
      <c r="A116" s="48"/>
      <c r="B116" s="76"/>
      <c r="C116" s="2"/>
      <c r="D116" s="77"/>
      <c r="E116" s="49"/>
      <c r="F116" s="50"/>
      <c r="G116" s="51"/>
      <c r="H116" s="75"/>
      <c r="I116" s="50"/>
    </row>
    <row r="117" spans="1:9">
      <c r="A117" s="48"/>
      <c r="B117" s="76"/>
      <c r="C117" s="2"/>
      <c r="D117" s="77"/>
      <c r="E117" s="49"/>
      <c r="F117" s="50"/>
      <c r="G117" s="51"/>
      <c r="H117" s="75"/>
      <c r="I117" s="50"/>
    </row>
    <row r="118" spans="1:9">
      <c r="A118" s="48"/>
      <c r="B118" s="76"/>
      <c r="C118" s="2"/>
      <c r="D118" s="77"/>
      <c r="E118" s="49"/>
      <c r="F118" s="50"/>
      <c r="G118" s="51"/>
      <c r="H118" s="75"/>
      <c r="I118" s="50"/>
    </row>
    <row r="119" spans="1:9">
      <c r="A119" s="48"/>
      <c r="B119" s="76"/>
      <c r="C119" s="2"/>
      <c r="D119" s="77"/>
      <c r="E119" s="49"/>
      <c r="F119" s="50"/>
      <c r="G119" s="51"/>
      <c r="H119" s="75"/>
      <c r="I119" s="50"/>
    </row>
    <row r="120" spans="1:9">
      <c r="A120" s="48"/>
      <c r="B120" s="76"/>
      <c r="C120" s="2"/>
      <c r="D120" s="77"/>
      <c r="E120" s="49"/>
      <c r="F120" s="50"/>
      <c r="G120" s="51"/>
      <c r="H120" s="75"/>
      <c r="I120" s="50"/>
    </row>
    <row r="121" spans="1:9">
      <c r="A121" s="48"/>
      <c r="B121" s="76"/>
      <c r="C121" s="2"/>
      <c r="D121" s="77"/>
      <c r="E121" s="49"/>
      <c r="F121" s="50"/>
      <c r="G121" s="51"/>
      <c r="H121" s="75"/>
      <c r="I121" s="50"/>
    </row>
    <row r="122" spans="1:9">
      <c r="A122" s="48"/>
      <c r="B122" s="76"/>
      <c r="C122" s="2"/>
      <c r="D122" s="77"/>
      <c r="E122" s="49"/>
      <c r="F122" s="50"/>
      <c r="G122" s="51"/>
      <c r="H122" s="75"/>
      <c r="I122" s="50"/>
    </row>
    <row r="123" spans="1:9">
      <c r="A123" s="48"/>
      <c r="B123" s="76"/>
      <c r="C123" s="2"/>
      <c r="D123" s="77"/>
      <c r="E123" s="49"/>
      <c r="F123" s="50"/>
      <c r="G123" s="51"/>
      <c r="H123" s="75"/>
      <c r="I123" s="50"/>
    </row>
    <row r="124" spans="1:9">
      <c r="A124" s="48"/>
      <c r="B124" s="76"/>
      <c r="C124" s="2"/>
      <c r="D124" s="77"/>
      <c r="E124" s="49"/>
      <c r="F124" s="50"/>
      <c r="G124" s="51"/>
      <c r="H124" s="75"/>
      <c r="I124" s="50"/>
    </row>
    <row r="125" spans="1:9">
      <c r="A125" s="48"/>
      <c r="B125" s="76"/>
      <c r="C125" s="2"/>
      <c r="D125" s="77"/>
      <c r="E125" s="49"/>
      <c r="F125" s="50"/>
      <c r="G125" s="51"/>
      <c r="H125" s="75"/>
      <c r="I125" s="50"/>
    </row>
    <row r="126" spans="1:9">
      <c r="A126" s="48"/>
      <c r="B126" s="76"/>
      <c r="C126" s="2"/>
      <c r="D126" s="77"/>
      <c r="E126" s="49"/>
      <c r="F126" s="50"/>
      <c r="G126" s="51"/>
      <c r="H126" s="75"/>
      <c r="I126" s="50"/>
    </row>
    <row r="127" spans="1:9">
      <c r="A127" s="48"/>
      <c r="B127" s="76"/>
      <c r="C127" s="2"/>
      <c r="D127" s="77"/>
      <c r="E127" s="49"/>
      <c r="F127" s="50"/>
      <c r="G127" s="51"/>
      <c r="H127" s="75"/>
      <c r="I127" s="50"/>
    </row>
    <row r="128" spans="1:9">
      <c r="A128" s="48"/>
      <c r="B128" s="76"/>
      <c r="C128" s="2"/>
      <c r="D128" s="77"/>
      <c r="E128" s="49"/>
      <c r="F128" s="50"/>
      <c r="G128" s="51"/>
      <c r="H128" s="75"/>
      <c r="I128" s="50"/>
    </row>
    <row r="129" spans="1:9">
      <c r="A129" s="48"/>
      <c r="B129" s="76"/>
      <c r="C129" s="2"/>
      <c r="D129" s="77"/>
      <c r="E129" s="49"/>
      <c r="F129" s="50"/>
      <c r="G129" s="51"/>
      <c r="H129" s="75"/>
      <c r="I129" s="50"/>
    </row>
    <row r="130" spans="1:9">
      <c r="A130" s="48"/>
      <c r="B130" s="76"/>
      <c r="C130" s="2"/>
      <c r="D130" s="77"/>
      <c r="E130" s="49"/>
      <c r="F130" s="50"/>
      <c r="G130" s="51"/>
      <c r="H130" s="75"/>
      <c r="I130" s="50"/>
    </row>
    <row r="131" spans="1:9">
      <c r="A131" s="48"/>
      <c r="B131" s="76"/>
      <c r="C131" s="2"/>
      <c r="D131" s="77"/>
      <c r="E131" s="49"/>
      <c r="F131" s="50"/>
      <c r="G131" s="51"/>
      <c r="H131" s="75"/>
      <c r="I131" s="50"/>
    </row>
    <row r="132" spans="1:9">
      <c r="A132" s="48"/>
      <c r="B132" s="76"/>
      <c r="C132" s="2"/>
      <c r="D132" s="77"/>
      <c r="E132" s="49"/>
      <c r="F132" s="50"/>
      <c r="G132" s="51"/>
      <c r="H132" s="75"/>
      <c r="I132" s="50"/>
    </row>
    <row r="133" spans="1:9">
      <c r="A133" s="48"/>
      <c r="B133" s="76"/>
      <c r="C133" s="2"/>
      <c r="D133" s="77"/>
      <c r="E133" s="49"/>
      <c r="F133" s="50"/>
      <c r="G133" s="51"/>
      <c r="H133" s="75"/>
      <c r="I133" s="50"/>
    </row>
    <row r="134" spans="1:9">
      <c r="A134" s="48"/>
      <c r="B134" s="76"/>
      <c r="C134" s="2"/>
      <c r="D134" s="77"/>
      <c r="E134" s="49"/>
      <c r="F134" s="50"/>
      <c r="G134" s="51"/>
      <c r="H134" s="75"/>
      <c r="I134" s="50"/>
    </row>
    <row r="135" spans="1:9">
      <c r="A135" s="48"/>
      <c r="B135" s="76"/>
      <c r="C135" s="2"/>
      <c r="D135" s="77"/>
      <c r="E135" s="49"/>
      <c r="F135" s="50"/>
      <c r="G135" s="51"/>
      <c r="H135" s="75"/>
      <c r="I135" s="50"/>
    </row>
    <row r="136" spans="1:9">
      <c r="A136" s="48"/>
      <c r="B136" s="76"/>
      <c r="C136" s="2"/>
      <c r="D136" s="77"/>
      <c r="E136" s="49"/>
      <c r="F136" s="50"/>
      <c r="G136" s="51"/>
      <c r="H136" s="75"/>
      <c r="I136" s="50"/>
    </row>
    <row r="137" spans="1:9">
      <c r="A137" s="48"/>
      <c r="B137" s="76"/>
      <c r="C137" s="2"/>
      <c r="D137" s="77"/>
      <c r="E137" s="49"/>
      <c r="F137" s="50"/>
      <c r="G137" s="51"/>
      <c r="H137" s="75"/>
      <c r="I137" s="50"/>
    </row>
    <row r="138" spans="1:9">
      <c r="A138" s="48"/>
      <c r="B138" s="76"/>
      <c r="C138" s="2"/>
      <c r="D138" s="77"/>
      <c r="E138" s="49"/>
      <c r="F138" s="50"/>
      <c r="G138" s="51"/>
      <c r="H138" s="75"/>
      <c r="I138" s="50"/>
    </row>
    <row r="139" spans="1:9">
      <c r="A139" s="48"/>
      <c r="B139" s="76"/>
      <c r="C139" s="2"/>
      <c r="D139" s="77"/>
      <c r="E139" s="49"/>
      <c r="F139" s="50"/>
      <c r="G139" s="51"/>
      <c r="H139" s="75"/>
      <c r="I139" s="50"/>
    </row>
    <row r="140" spans="1:9">
      <c r="A140" s="48"/>
      <c r="B140" s="76"/>
      <c r="C140" s="2"/>
      <c r="D140" s="77"/>
      <c r="E140" s="49"/>
      <c r="F140" s="50"/>
      <c r="G140" s="51"/>
      <c r="H140" s="75"/>
      <c r="I140" s="50"/>
    </row>
    <row r="141" spans="1:9">
      <c r="A141" s="48"/>
      <c r="B141" s="76"/>
      <c r="C141" s="2"/>
      <c r="D141" s="77"/>
      <c r="E141" s="49"/>
      <c r="F141" s="50"/>
      <c r="G141" s="51"/>
      <c r="H141" s="75"/>
      <c r="I141" s="50"/>
    </row>
    <row r="142" spans="1:9">
      <c r="A142" s="48"/>
      <c r="B142" s="76"/>
      <c r="C142" s="2"/>
      <c r="D142" s="77"/>
      <c r="E142" s="49"/>
      <c r="F142" s="50"/>
      <c r="G142" s="51"/>
      <c r="H142" s="75"/>
      <c r="I142" s="50"/>
    </row>
    <row r="143" spans="1:9">
      <c r="A143" s="48"/>
      <c r="B143" s="76"/>
      <c r="C143" s="2"/>
      <c r="D143" s="77"/>
      <c r="E143" s="49"/>
      <c r="F143" s="50"/>
      <c r="G143" s="51"/>
      <c r="H143" s="75"/>
      <c r="I143" s="50"/>
    </row>
    <row r="144" spans="1:9">
      <c r="A144" s="48"/>
      <c r="B144" s="76"/>
      <c r="C144" s="2"/>
      <c r="D144" s="77"/>
      <c r="E144" s="49"/>
      <c r="F144" s="50"/>
      <c r="G144" s="51"/>
      <c r="H144" s="75"/>
      <c r="I144" s="50"/>
    </row>
    <row r="145" spans="1:9">
      <c r="A145" s="48"/>
      <c r="B145" s="76"/>
      <c r="C145" s="2"/>
      <c r="D145" s="77"/>
      <c r="E145" s="49"/>
      <c r="F145" s="50"/>
      <c r="G145" s="51"/>
      <c r="H145" s="75"/>
      <c r="I145" s="50"/>
    </row>
    <row r="146" spans="1:9">
      <c r="A146" s="48"/>
      <c r="B146" s="76"/>
      <c r="C146" s="2"/>
      <c r="D146" s="77"/>
      <c r="E146" s="49"/>
      <c r="F146" s="50"/>
      <c r="G146" s="51"/>
      <c r="H146" s="75"/>
      <c r="I146" s="50"/>
    </row>
    <row r="147" spans="1:9">
      <c r="A147" s="48"/>
      <c r="B147" s="76"/>
      <c r="C147" s="2"/>
      <c r="D147" s="77"/>
      <c r="E147" s="49"/>
      <c r="F147" s="50"/>
      <c r="G147" s="51"/>
      <c r="H147" s="75"/>
      <c r="I147" s="50"/>
    </row>
    <row r="148" spans="1:9">
      <c r="A148" s="48"/>
      <c r="B148" s="76"/>
      <c r="C148" s="2"/>
      <c r="D148" s="77"/>
      <c r="E148" s="49"/>
      <c r="F148" s="50"/>
      <c r="G148" s="51"/>
      <c r="H148" s="75"/>
      <c r="I148" s="50"/>
    </row>
    <row r="149" spans="1:9">
      <c r="A149" s="48"/>
      <c r="B149" s="76"/>
      <c r="C149" s="2"/>
      <c r="D149" s="77"/>
      <c r="E149" s="49"/>
      <c r="F149" s="50"/>
      <c r="G149" s="51"/>
      <c r="H149" s="75"/>
      <c r="I149" s="50"/>
    </row>
    <row r="150" spans="1:9">
      <c r="A150" s="48"/>
      <c r="B150" s="76"/>
      <c r="C150" s="2"/>
      <c r="D150" s="77"/>
      <c r="E150" s="49"/>
      <c r="F150" s="50"/>
      <c r="G150" s="51"/>
      <c r="H150" s="75"/>
      <c r="I150" s="50"/>
    </row>
    <row r="151" spans="1:9">
      <c r="A151" s="48"/>
      <c r="B151" s="76"/>
      <c r="C151" s="2"/>
      <c r="D151" s="77"/>
      <c r="E151" s="49"/>
      <c r="F151" s="50"/>
      <c r="G151" s="51"/>
      <c r="H151" s="75"/>
      <c r="I151" s="50"/>
    </row>
    <row r="152" spans="1:9">
      <c r="A152" s="48"/>
      <c r="B152" s="76"/>
      <c r="C152" s="2"/>
      <c r="D152" s="77"/>
      <c r="E152" s="49"/>
      <c r="F152" s="50"/>
      <c r="G152" s="51"/>
      <c r="H152" s="75"/>
      <c r="I152" s="50"/>
    </row>
    <row r="153" spans="1:9">
      <c r="A153" s="48"/>
      <c r="B153" s="76"/>
      <c r="C153" s="2"/>
      <c r="D153" s="77"/>
      <c r="E153" s="49"/>
      <c r="F153" s="50"/>
      <c r="G153" s="51"/>
      <c r="H153" s="75"/>
      <c r="I153" s="50"/>
    </row>
    <row r="154" spans="1:9">
      <c r="A154" s="48"/>
      <c r="B154" s="76"/>
      <c r="C154" s="2"/>
      <c r="D154" s="77"/>
      <c r="E154" s="49"/>
      <c r="F154" s="50"/>
      <c r="G154" s="51"/>
      <c r="H154" s="75"/>
      <c r="I154" s="50"/>
    </row>
    <row r="155" spans="1:9">
      <c r="A155" s="48"/>
      <c r="B155" s="76"/>
      <c r="C155" s="2"/>
      <c r="D155" s="77"/>
      <c r="E155" s="49"/>
      <c r="F155" s="50"/>
      <c r="G155" s="51"/>
      <c r="H155" s="75"/>
      <c r="I155" s="50"/>
    </row>
    <row r="156" spans="1:9">
      <c r="A156" s="48"/>
      <c r="B156" s="76"/>
      <c r="C156" s="2"/>
      <c r="D156" s="77"/>
      <c r="E156" s="49"/>
      <c r="F156" s="50"/>
      <c r="G156" s="51"/>
      <c r="H156" s="75"/>
      <c r="I156" s="50"/>
    </row>
    <row r="157" spans="1:9">
      <c r="A157" s="48"/>
      <c r="B157" s="76"/>
      <c r="C157" s="2"/>
      <c r="D157" s="77"/>
      <c r="E157" s="49"/>
      <c r="F157" s="50"/>
      <c r="G157" s="51"/>
      <c r="H157" s="75"/>
      <c r="I157" s="50"/>
    </row>
    <row r="158" spans="1:9">
      <c r="A158" s="48"/>
      <c r="B158" s="76"/>
      <c r="C158" s="2"/>
      <c r="D158" s="77"/>
      <c r="E158" s="49"/>
      <c r="F158" s="50"/>
      <c r="G158" s="51"/>
      <c r="H158" s="75"/>
      <c r="I158" s="50"/>
    </row>
    <row r="159" spans="1:9">
      <c r="A159" s="48"/>
      <c r="B159" s="76"/>
      <c r="C159" s="2"/>
      <c r="D159" s="77"/>
      <c r="E159" s="49"/>
      <c r="F159" s="50"/>
      <c r="G159" s="51"/>
      <c r="H159" s="75"/>
      <c r="I159" s="50"/>
    </row>
    <row r="160" spans="1:9">
      <c r="A160" s="48"/>
      <c r="B160" s="76"/>
      <c r="C160" s="2"/>
      <c r="D160" s="77"/>
      <c r="E160" s="49"/>
      <c r="F160" s="50"/>
      <c r="G160" s="51"/>
      <c r="H160" s="75"/>
      <c r="I160" s="50"/>
    </row>
    <row r="161" spans="1:9">
      <c r="A161" s="48"/>
      <c r="B161" s="76"/>
      <c r="C161" s="2"/>
      <c r="D161" s="77"/>
      <c r="E161" s="49"/>
      <c r="F161" s="50"/>
      <c r="G161" s="51"/>
      <c r="H161" s="75"/>
      <c r="I161" s="50"/>
    </row>
    <row r="162" spans="1:9">
      <c r="A162" s="48"/>
      <c r="B162" s="76"/>
      <c r="C162" s="2"/>
      <c r="D162" s="77"/>
      <c r="E162" s="49"/>
      <c r="F162" s="50"/>
      <c r="G162" s="51"/>
      <c r="H162" s="75"/>
      <c r="I162" s="50"/>
    </row>
    <row r="163" spans="1:9">
      <c r="A163" s="48"/>
      <c r="B163" s="76"/>
      <c r="C163" s="2"/>
      <c r="D163" s="77"/>
      <c r="E163" s="49"/>
      <c r="F163" s="50"/>
      <c r="G163" s="51"/>
      <c r="H163" s="75"/>
      <c r="I163" s="50"/>
    </row>
    <row r="164" spans="1:9">
      <c r="A164" s="48"/>
      <c r="B164" s="76"/>
      <c r="C164" s="2"/>
      <c r="D164" s="77"/>
      <c r="E164" s="49"/>
      <c r="F164" s="50"/>
      <c r="G164" s="51"/>
      <c r="H164" s="75"/>
      <c r="I164" s="50"/>
    </row>
    <row r="165" spans="1:9">
      <c r="A165" s="48"/>
      <c r="B165" s="76"/>
      <c r="C165" s="2"/>
      <c r="D165" s="77"/>
      <c r="E165" s="49"/>
      <c r="F165" s="50"/>
      <c r="G165" s="51"/>
      <c r="H165" s="75"/>
      <c r="I165" s="50"/>
    </row>
    <row r="166" spans="1:9">
      <c r="A166" s="48"/>
      <c r="B166" s="76"/>
      <c r="C166" s="2"/>
      <c r="D166" s="77"/>
      <c r="E166" s="49"/>
      <c r="F166" s="50"/>
      <c r="G166" s="51"/>
      <c r="H166" s="75"/>
      <c r="I166" s="50"/>
    </row>
    <row r="167" spans="1:9">
      <c r="A167" s="48"/>
      <c r="B167" s="76"/>
      <c r="C167" s="2"/>
      <c r="D167" s="77"/>
      <c r="E167" s="49"/>
      <c r="F167" s="50"/>
      <c r="G167" s="51"/>
      <c r="H167" s="75"/>
      <c r="I167" s="50"/>
    </row>
    <row r="168" spans="1:9">
      <c r="A168" s="48"/>
      <c r="B168" s="76"/>
      <c r="C168" s="2"/>
      <c r="D168" s="77"/>
      <c r="E168" s="49"/>
      <c r="F168" s="50"/>
      <c r="G168" s="51"/>
      <c r="H168" s="75"/>
      <c r="I168" s="50"/>
    </row>
    <row r="169" spans="1:9">
      <c r="A169" s="48"/>
      <c r="B169" s="76"/>
      <c r="C169" s="2"/>
      <c r="D169" s="77"/>
      <c r="E169" s="49"/>
      <c r="F169" s="50"/>
      <c r="G169" s="51"/>
      <c r="H169" s="75"/>
      <c r="I169" s="50"/>
    </row>
    <row r="170" spans="1:9">
      <c r="A170" s="48"/>
      <c r="B170" s="76"/>
      <c r="C170" s="2"/>
      <c r="D170" s="77"/>
      <c r="E170" s="49"/>
      <c r="F170" s="50"/>
      <c r="G170" s="51"/>
      <c r="H170" s="75"/>
      <c r="I170" s="50"/>
    </row>
    <row r="171" spans="1:9">
      <c r="A171" s="48"/>
      <c r="B171" s="76"/>
      <c r="C171" s="2"/>
      <c r="D171" s="77"/>
      <c r="E171" s="49"/>
      <c r="F171" s="50"/>
      <c r="G171" s="51"/>
      <c r="H171" s="75"/>
      <c r="I171" s="50"/>
    </row>
    <row r="172" spans="1:9">
      <c r="A172" s="48"/>
      <c r="B172" s="76"/>
      <c r="C172" s="2"/>
      <c r="D172" s="77"/>
      <c r="E172" s="49"/>
      <c r="F172" s="50"/>
      <c r="G172" s="51"/>
      <c r="H172" s="75"/>
      <c r="I172" s="50"/>
    </row>
    <row r="173" spans="1:9">
      <c r="A173" s="48"/>
      <c r="B173" s="76"/>
      <c r="C173" s="2"/>
      <c r="D173" s="77"/>
      <c r="E173" s="49"/>
      <c r="F173" s="50"/>
      <c r="G173" s="51"/>
      <c r="H173" s="75"/>
      <c r="I173" s="50"/>
    </row>
    <row r="174" spans="1:9">
      <c r="A174" s="48"/>
      <c r="B174" s="76"/>
      <c r="C174" s="2"/>
      <c r="D174" s="77"/>
      <c r="E174" s="49"/>
      <c r="F174" s="50"/>
      <c r="G174" s="51"/>
      <c r="H174" s="75"/>
      <c r="I174" s="50"/>
    </row>
    <row r="175" spans="1:9">
      <c r="A175" s="48"/>
      <c r="B175" s="76"/>
      <c r="C175" s="2"/>
      <c r="D175" s="77"/>
      <c r="E175" s="49"/>
      <c r="F175" s="50"/>
      <c r="G175" s="51"/>
      <c r="H175" s="75"/>
      <c r="I175" s="50"/>
    </row>
    <row r="176" spans="1:9">
      <c r="A176" s="48"/>
      <c r="B176" s="76"/>
      <c r="C176" s="2"/>
      <c r="D176" s="77"/>
      <c r="E176" s="49"/>
      <c r="F176" s="50"/>
      <c r="G176" s="51"/>
      <c r="H176" s="75"/>
      <c r="I176" s="50"/>
    </row>
    <row r="177" spans="1:9">
      <c r="A177" s="48"/>
      <c r="B177" s="76"/>
      <c r="C177" s="2"/>
      <c r="D177" s="77"/>
      <c r="E177" s="49"/>
      <c r="F177" s="50"/>
      <c r="G177" s="51"/>
      <c r="H177" s="75"/>
      <c r="I177" s="50"/>
    </row>
    <row r="178" spans="1:9">
      <c r="A178" s="48"/>
      <c r="B178" s="76"/>
      <c r="C178" s="2"/>
      <c r="D178" s="77"/>
      <c r="E178" s="49"/>
      <c r="F178" s="50"/>
      <c r="G178" s="51"/>
      <c r="H178" s="75"/>
      <c r="I178" s="50"/>
    </row>
    <row r="179" spans="1:9">
      <c r="A179" s="48"/>
      <c r="B179" s="76"/>
      <c r="C179" s="2"/>
      <c r="D179" s="77"/>
      <c r="E179" s="49"/>
      <c r="F179" s="50"/>
      <c r="G179" s="51"/>
      <c r="H179" s="75"/>
      <c r="I179" s="50"/>
    </row>
    <row r="180" spans="1:9">
      <c r="A180" s="48"/>
      <c r="B180" s="76"/>
      <c r="C180" s="2"/>
      <c r="D180" s="77"/>
      <c r="E180" s="49"/>
      <c r="F180" s="50"/>
      <c r="G180" s="51"/>
      <c r="H180" s="75"/>
      <c r="I180" s="50"/>
    </row>
    <row r="181" spans="1:9">
      <c r="A181" s="48"/>
      <c r="B181" s="76"/>
      <c r="C181" s="2"/>
      <c r="D181" s="77"/>
      <c r="E181" s="49"/>
      <c r="F181" s="50"/>
      <c r="G181" s="51"/>
      <c r="H181" s="75"/>
      <c r="I181" s="50"/>
    </row>
    <row r="182" spans="1:9">
      <c r="A182" s="48"/>
      <c r="B182" s="76"/>
      <c r="C182" s="2"/>
      <c r="D182" s="77"/>
      <c r="E182" s="49"/>
      <c r="F182" s="50"/>
      <c r="G182" s="51"/>
      <c r="H182" s="75"/>
      <c r="I182" s="50"/>
    </row>
    <row r="183" spans="1:9">
      <c r="A183" s="48"/>
      <c r="B183" s="76"/>
      <c r="C183" s="2"/>
      <c r="D183" s="77"/>
      <c r="E183" s="49"/>
      <c r="F183" s="50"/>
      <c r="G183" s="51"/>
      <c r="H183" s="75"/>
      <c r="I183" s="50"/>
    </row>
    <row r="184" spans="1:9">
      <c r="A184" s="48"/>
      <c r="B184" s="76"/>
      <c r="C184" s="2"/>
      <c r="D184" s="77"/>
      <c r="E184" s="49"/>
      <c r="F184" s="50"/>
      <c r="G184" s="51"/>
      <c r="H184" s="75"/>
      <c r="I184" s="50"/>
    </row>
    <row r="185" spans="1:9">
      <c r="A185" s="48"/>
      <c r="B185" s="76"/>
      <c r="C185" s="2"/>
      <c r="D185" s="77"/>
      <c r="E185" s="49"/>
      <c r="F185" s="50"/>
      <c r="G185" s="51"/>
      <c r="H185" s="75"/>
      <c r="I185" s="50"/>
    </row>
    <row r="186" spans="1:9">
      <c r="A186" s="48"/>
      <c r="B186" s="76"/>
      <c r="C186" s="2"/>
      <c r="D186" s="77"/>
      <c r="E186" s="49"/>
      <c r="F186" s="50"/>
      <c r="G186" s="51"/>
      <c r="H186" s="75"/>
      <c r="I186" s="50"/>
    </row>
    <row r="187" spans="1:9">
      <c r="A187" s="48"/>
      <c r="B187" s="76"/>
      <c r="C187" s="2"/>
      <c r="D187" s="77"/>
      <c r="E187" s="49"/>
      <c r="F187" s="50"/>
      <c r="G187" s="51"/>
      <c r="H187" s="75"/>
      <c r="I187" s="50"/>
    </row>
    <row r="188" spans="1:9">
      <c r="A188" s="48"/>
      <c r="B188" s="76"/>
      <c r="C188" s="2"/>
      <c r="D188" s="77"/>
      <c r="E188" s="49"/>
      <c r="F188" s="50"/>
      <c r="G188" s="51"/>
      <c r="H188" s="75"/>
      <c r="I188" s="50"/>
    </row>
    <row r="189" spans="1:9">
      <c r="A189" s="48"/>
      <c r="B189" s="76"/>
      <c r="C189" s="2"/>
      <c r="D189" s="77"/>
      <c r="E189" s="49"/>
      <c r="F189" s="50"/>
      <c r="G189" s="51"/>
      <c r="H189" s="75"/>
      <c r="I189" s="50"/>
    </row>
    <row r="190" spans="1:9">
      <c r="A190" s="48"/>
      <c r="B190" s="76"/>
      <c r="C190" s="2"/>
      <c r="D190" s="77"/>
      <c r="E190" s="49"/>
      <c r="F190" s="50"/>
      <c r="G190" s="51"/>
      <c r="H190" s="75"/>
      <c r="I190" s="50"/>
    </row>
    <row r="191" spans="1:9">
      <c r="A191" s="48"/>
      <c r="B191" s="76"/>
      <c r="C191" s="2"/>
      <c r="D191" s="77"/>
      <c r="E191" s="49"/>
      <c r="F191" s="50"/>
      <c r="G191" s="51"/>
      <c r="H191" s="75"/>
      <c r="I191" s="50"/>
    </row>
    <row r="192" spans="1:9">
      <c r="A192" s="48"/>
      <c r="B192" s="76"/>
      <c r="C192" s="2"/>
      <c r="D192" s="77"/>
      <c r="E192" s="49"/>
      <c r="F192" s="50"/>
      <c r="G192" s="51"/>
      <c r="H192" s="75"/>
      <c r="I192" s="50"/>
    </row>
    <row r="193" spans="1:9">
      <c r="A193" s="48"/>
      <c r="B193" s="76"/>
      <c r="C193" s="2"/>
      <c r="D193" s="77"/>
      <c r="E193" s="49"/>
      <c r="F193" s="50"/>
      <c r="G193" s="51"/>
      <c r="H193" s="75"/>
      <c r="I193" s="50"/>
    </row>
    <row r="194" spans="1:9">
      <c r="A194" s="48"/>
      <c r="B194" s="76"/>
      <c r="C194" s="2"/>
      <c r="D194" s="77"/>
      <c r="E194" s="49"/>
      <c r="F194" s="50"/>
      <c r="G194" s="51"/>
      <c r="H194" s="75"/>
      <c r="I194" s="50"/>
    </row>
    <row r="195" spans="1:9">
      <c r="A195" s="48"/>
      <c r="B195" s="76"/>
      <c r="C195" s="2"/>
      <c r="D195" s="77"/>
      <c r="E195" s="49"/>
      <c r="F195" s="50"/>
      <c r="G195" s="51"/>
      <c r="H195" s="75"/>
      <c r="I195" s="50"/>
    </row>
    <row r="196" spans="1:9">
      <c r="A196" s="48"/>
      <c r="B196" s="76"/>
      <c r="C196" s="2"/>
      <c r="D196" s="77"/>
      <c r="E196" s="49"/>
      <c r="F196" s="50"/>
      <c r="G196" s="51"/>
      <c r="H196" s="75"/>
      <c r="I196" s="50"/>
    </row>
    <row r="197" spans="1:9">
      <c r="A197" s="48"/>
      <c r="B197" s="76"/>
      <c r="C197" s="2"/>
      <c r="D197" s="77"/>
      <c r="E197" s="49"/>
      <c r="F197" s="50"/>
      <c r="G197" s="51"/>
      <c r="H197" s="75"/>
      <c r="I197" s="50"/>
    </row>
    <row r="198" spans="1:9">
      <c r="A198" s="48"/>
      <c r="B198" s="76"/>
      <c r="C198" s="2"/>
      <c r="D198" s="77"/>
      <c r="E198" s="49"/>
      <c r="F198" s="50"/>
      <c r="G198" s="51"/>
      <c r="H198" s="75"/>
      <c r="I198" s="50"/>
    </row>
    <row r="199" spans="1:9">
      <c r="A199" s="48"/>
      <c r="B199" s="76"/>
      <c r="C199" s="2"/>
      <c r="D199" s="77"/>
      <c r="E199" s="49"/>
      <c r="F199" s="50"/>
      <c r="G199" s="51"/>
      <c r="H199" s="75"/>
      <c r="I199" s="50"/>
    </row>
    <row r="200" spans="1:9">
      <c r="A200" s="48"/>
      <c r="B200" s="76"/>
      <c r="C200" s="2"/>
      <c r="D200" s="77"/>
      <c r="E200" s="49"/>
      <c r="F200" s="50"/>
      <c r="G200" s="51"/>
      <c r="H200" s="75"/>
      <c r="I200" s="50"/>
    </row>
    <row r="201" spans="1:9">
      <c r="A201" s="48"/>
      <c r="B201" s="76"/>
      <c r="C201" s="2"/>
      <c r="D201" s="77"/>
      <c r="E201" s="49"/>
      <c r="F201" s="50"/>
      <c r="G201" s="51"/>
      <c r="H201" s="75"/>
      <c r="I201" s="50"/>
    </row>
    <row r="202" spans="1:9">
      <c r="A202" s="48"/>
      <c r="B202" s="76"/>
      <c r="C202" s="2"/>
      <c r="D202" s="77"/>
      <c r="E202" s="49"/>
      <c r="F202" s="50"/>
      <c r="G202" s="51"/>
      <c r="H202" s="75"/>
      <c r="I202" s="50"/>
    </row>
    <row r="203" spans="1:9">
      <c r="A203" s="48"/>
      <c r="B203" s="76"/>
      <c r="C203" s="2"/>
      <c r="D203" s="77"/>
      <c r="E203" s="49"/>
      <c r="F203" s="50"/>
      <c r="G203" s="51"/>
      <c r="H203" s="75"/>
      <c r="I203" s="50"/>
    </row>
    <row r="204" spans="1:9">
      <c r="A204" s="48"/>
      <c r="B204" s="76"/>
      <c r="C204" s="2"/>
      <c r="D204" s="77"/>
      <c r="E204" s="49"/>
      <c r="F204" s="50"/>
      <c r="G204" s="51"/>
      <c r="H204" s="75"/>
      <c r="I204" s="50"/>
    </row>
    <row r="205" spans="1:9">
      <c r="A205" s="48"/>
      <c r="B205" s="76"/>
      <c r="C205" s="2"/>
      <c r="D205" s="77"/>
      <c r="E205" s="49"/>
      <c r="F205" s="50"/>
      <c r="G205" s="51"/>
      <c r="H205" s="75"/>
      <c r="I205" s="50"/>
    </row>
    <row r="206" spans="1:9">
      <c r="A206" s="48"/>
      <c r="B206" s="76"/>
      <c r="C206" s="2"/>
      <c r="D206" s="77"/>
      <c r="E206" s="49"/>
      <c r="F206" s="50"/>
      <c r="G206" s="51"/>
      <c r="H206" s="75"/>
      <c r="I206" s="50"/>
    </row>
    <row r="207" spans="1:9">
      <c r="A207" s="48"/>
      <c r="B207" s="76"/>
      <c r="C207" s="2"/>
      <c r="D207" s="77"/>
      <c r="E207" s="49"/>
      <c r="F207" s="50"/>
      <c r="G207" s="51"/>
      <c r="H207" s="75"/>
      <c r="I207" s="50"/>
    </row>
    <row r="208" spans="1:9">
      <c r="A208" s="48"/>
      <c r="B208" s="76"/>
      <c r="C208" s="2"/>
      <c r="D208" s="77"/>
      <c r="E208" s="49"/>
      <c r="F208" s="50"/>
      <c r="G208" s="51"/>
      <c r="H208" s="75"/>
      <c r="I208" s="50"/>
    </row>
    <row r="209" spans="1:9">
      <c r="A209" s="48"/>
      <c r="B209" s="76"/>
      <c r="C209" s="2"/>
      <c r="D209" s="77"/>
      <c r="E209" s="49"/>
      <c r="F209" s="50"/>
      <c r="G209" s="51"/>
      <c r="H209" s="75"/>
      <c r="I209" s="50"/>
    </row>
    <row r="210" spans="1:9">
      <c r="A210" s="48"/>
      <c r="B210" s="76"/>
      <c r="C210" s="2"/>
      <c r="D210" s="77"/>
      <c r="E210" s="49"/>
      <c r="F210" s="50"/>
      <c r="G210" s="51"/>
      <c r="H210" s="75"/>
      <c r="I210" s="50"/>
    </row>
    <row r="211" spans="1:9">
      <c r="A211" s="48"/>
      <c r="B211" s="76"/>
      <c r="C211" s="2"/>
      <c r="D211" s="77"/>
      <c r="E211" s="49"/>
      <c r="F211" s="50"/>
      <c r="G211" s="51"/>
      <c r="H211" s="75"/>
      <c r="I211" s="50"/>
    </row>
    <row r="212" spans="1:9">
      <c r="A212" s="48"/>
      <c r="B212" s="76"/>
      <c r="C212" s="2"/>
      <c r="D212" s="77"/>
      <c r="E212" s="49"/>
      <c r="F212" s="50"/>
      <c r="G212" s="51"/>
      <c r="H212" s="75"/>
      <c r="I212" s="50"/>
    </row>
    <row r="213" spans="1:9">
      <c r="A213" s="48"/>
      <c r="B213" s="76"/>
      <c r="C213" s="2"/>
      <c r="D213" s="77"/>
      <c r="E213" s="49"/>
      <c r="F213" s="50"/>
      <c r="G213" s="51"/>
      <c r="H213" s="75"/>
      <c r="I213" s="50"/>
    </row>
    <row r="214" spans="1:9">
      <c r="A214" s="48"/>
      <c r="B214" s="76"/>
      <c r="C214" s="2"/>
      <c r="D214" s="77"/>
      <c r="E214" s="49"/>
      <c r="F214" s="50"/>
      <c r="G214" s="51"/>
      <c r="H214" s="75"/>
      <c r="I214" s="50"/>
    </row>
    <row r="215" spans="1:9">
      <c r="A215" s="48"/>
      <c r="B215" s="76"/>
      <c r="C215" s="2"/>
      <c r="D215" s="77"/>
      <c r="E215" s="49"/>
      <c r="F215" s="50"/>
      <c r="G215" s="51"/>
      <c r="H215" s="75"/>
      <c r="I215" s="50"/>
    </row>
    <row r="216" spans="1:9">
      <c r="A216" s="48"/>
      <c r="B216" s="76"/>
      <c r="C216" s="2"/>
      <c r="D216" s="77"/>
      <c r="E216" s="49"/>
      <c r="F216" s="50"/>
      <c r="G216" s="51"/>
      <c r="H216" s="75"/>
      <c r="I216" s="50"/>
    </row>
    <row r="217" spans="1:9">
      <c r="A217" s="48"/>
      <c r="B217" s="76"/>
      <c r="C217" s="2"/>
      <c r="D217" s="77"/>
      <c r="E217" s="49"/>
      <c r="F217" s="50"/>
      <c r="G217" s="51"/>
      <c r="H217" s="75"/>
      <c r="I217" s="50"/>
    </row>
    <row r="218" spans="1:9">
      <c r="A218" s="48"/>
      <c r="B218" s="76"/>
      <c r="C218" s="2"/>
      <c r="D218" s="77"/>
      <c r="E218" s="49"/>
      <c r="F218" s="50"/>
      <c r="G218" s="51"/>
      <c r="H218" s="75"/>
      <c r="I218" s="50"/>
    </row>
    <row r="219" spans="1:9">
      <c r="A219" s="48"/>
      <c r="B219" s="76"/>
      <c r="C219" s="2"/>
      <c r="D219" s="77"/>
      <c r="E219" s="49"/>
      <c r="F219" s="50"/>
      <c r="G219" s="51"/>
      <c r="H219" s="75"/>
      <c r="I219" s="50"/>
    </row>
    <row r="220" spans="1:9">
      <c r="A220" s="48"/>
      <c r="B220" s="76"/>
      <c r="C220" s="2"/>
      <c r="D220" s="77"/>
      <c r="E220" s="49"/>
      <c r="F220" s="50"/>
      <c r="G220" s="51"/>
      <c r="H220" s="75"/>
      <c r="I220" s="50"/>
    </row>
    <row r="221" spans="1:9">
      <c r="A221" s="48"/>
      <c r="B221" s="76"/>
      <c r="C221" s="2"/>
      <c r="D221" s="77"/>
      <c r="E221" s="49"/>
      <c r="F221" s="50"/>
      <c r="G221" s="51"/>
      <c r="H221" s="75"/>
      <c r="I221" s="50"/>
    </row>
    <row r="222" spans="1:9">
      <c r="A222" s="48"/>
      <c r="B222" s="76"/>
      <c r="C222" s="2"/>
      <c r="D222" s="77"/>
      <c r="E222" s="49"/>
      <c r="F222" s="50"/>
      <c r="G222" s="51"/>
      <c r="H222" s="75"/>
      <c r="I222" s="50"/>
    </row>
    <row r="223" spans="1:9">
      <c r="A223" s="48"/>
      <c r="B223" s="76"/>
      <c r="C223" s="2"/>
      <c r="D223" s="77"/>
      <c r="E223" s="49"/>
      <c r="F223" s="50"/>
      <c r="G223" s="51"/>
      <c r="H223" s="75"/>
      <c r="I223" s="50"/>
    </row>
    <row r="224" spans="1:9">
      <c r="A224" s="48"/>
      <c r="B224" s="76"/>
      <c r="C224" s="2"/>
      <c r="D224" s="77"/>
      <c r="E224" s="49"/>
      <c r="F224" s="50"/>
      <c r="G224" s="51"/>
      <c r="H224" s="75"/>
      <c r="I224" s="50"/>
    </row>
    <row r="225" spans="1:9">
      <c r="A225" s="48"/>
      <c r="B225" s="76"/>
      <c r="C225" s="2"/>
      <c r="D225" s="77"/>
      <c r="E225" s="49"/>
      <c r="F225" s="50"/>
      <c r="G225" s="51"/>
      <c r="H225" s="75"/>
      <c r="I225" s="50"/>
    </row>
    <row r="226" spans="1:9">
      <c r="A226" s="48"/>
      <c r="B226" s="76"/>
      <c r="C226" s="2"/>
      <c r="D226" s="77"/>
      <c r="E226" s="49"/>
      <c r="F226" s="50"/>
      <c r="G226" s="51"/>
      <c r="H226" s="75"/>
      <c r="I226" s="50"/>
    </row>
    <row r="227" spans="1:9">
      <c r="A227" s="48"/>
      <c r="B227" s="76"/>
      <c r="C227" s="2"/>
      <c r="D227" s="77"/>
      <c r="E227" s="49"/>
      <c r="F227" s="50"/>
      <c r="G227" s="51"/>
      <c r="H227" s="75"/>
      <c r="I227" s="50"/>
    </row>
    <row r="228" spans="1:9">
      <c r="A228" s="48"/>
      <c r="B228" s="76"/>
      <c r="C228" s="2"/>
      <c r="D228" s="77"/>
      <c r="E228" s="49"/>
      <c r="F228" s="50"/>
      <c r="G228" s="51"/>
      <c r="H228" s="75"/>
      <c r="I228" s="50"/>
    </row>
    <row r="229" spans="1:9">
      <c r="A229" s="48"/>
      <c r="B229" s="76"/>
      <c r="C229" s="2"/>
      <c r="D229" s="77"/>
      <c r="E229" s="49"/>
      <c r="F229" s="50"/>
      <c r="G229" s="51"/>
      <c r="H229" s="75"/>
      <c r="I229" s="50"/>
    </row>
    <row r="230" spans="1:9">
      <c r="A230" s="48"/>
      <c r="B230" s="76"/>
      <c r="C230" s="2"/>
      <c r="D230" s="77"/>
      <c r="E230" s="49"/>
      <c r="F230" s="50"/>
      <c r="G230" s="51"/>
      <c r="H230" s="75"/>
      <c r="I230" s="50"/>
    </row>
    <row r="231" spans="1:9">
      <c r="A231" s="48"/>
      <c r="B231" s="76"/>
      <c r="C231" s="2"/>
      <c r="D231" s="77"/>
      <c r="E231" s="49"/>
      <c r="F231" s="50"/>
      <c r="G231" s="51"/>
      <c r="H231" s="75"/>
      <c r="I231" s="50"/>
    </row>
    <row r="232" spans="1:9">
      <c r="A232" s="48"/>
      <c r="B232" s="76"/>
      <c r="C232" s="2"/>
      <c r="D232" s="77"/>
      <c r="E232" s="49"/>
      <c r="F232" s="50"/>
      <c r="G232" s="51"/>
      <c r="H232" s="75"/>
      <c r="I232" s="50"/>
    </row>
    <row r="233" spans="1:9">
      <c r="A233" s="48"/>
      <c r="B233" s="76"/>
      <c r="C233" s="2"/>
      <c r="D233" s="77"/>
      <c r="E233" s="49"/>
      <c r="F233" s="50"/>
      <c r="G233" s="51"/>
      <c r="H233" s="75"/>
      <c r="I233" s="50"/>
    </row>
    <row r="234" spans="1:9">
      <c r="A234" s="48"/>
      <c r="B234" s="76"/>
      <c r="C234" s="2"/>
      <c r="D234" s="77"/>
      <c r="E234" s="49"/>
      <c r="F234" s="50"/>
      <c r="G234" s="51"/>
      <c r="H234" s="75"/>
      <c r="I234" s="50"/>
    </row>
    <row r="235" spans="1:9">
      <c r="A235" s="48"/>
      <c r="B235" s="76"/>
      <c r="C235" s="2"/>
      <c r="D235" s="77"/>
      <c r="E235" s="49"/>
      <c r="F235" s="50"/>
      <c r="G235" s="51"/>
      <c r="H235" s="75"/>
      <c r="I235" s="50"/>
    </row>
    <row r="236" spans="1:9">
      <c r="A236" s="48"/>
      <c r="B236" s="76"/>
      <c r="C236" s="2"/>
      <c r="D236" s="77"/>
      <c r="E236" s="49"/>
      <c r="F236" s="50"/>
      <c r="G236" s="51"/>
      <c r="H236" s="75"/>
      <c r="I236" s="50"/>
    </row>
    <row r="237" spans="1:9">
      <c r="A237" s="48"/>
      <c r="B237" s="76"/>
      <c r="C237" s="2"/>
      <c r="D237" s="77"/>
      <c r="E237" s="49"/>
      <c r="F237" s="50"/>
      <c r="G237" s="51"/>
      <c r="H237" s="75"/>
      <c r="I237" s="50"/>
    </row>
    <row r="238" spans="1:9">
      <c r="A238" s="48"/>
      <c r="B238" s="76"/>
      <c r="C238" s="2"/>
      <c r="D238" s="77"/>
      <c r="E238" s="49"/>
      <c r="F238" s="50"/>
      <c r="G238" s="51"/>
      <c r="H238" s="75"/>
      <c r="I238" s="50"/>
    </row>
    <row r="239" spans="1:9">
      <c r="A239" s="48"/>
      <c r="B239" s="76"/>
      <c r="C239" s="2"/>
      <c r="D239" s="77"/>
      <c r="E239" s="49"/>
      <c r="F239" s="50"/>
      <c r="G239" s="51"/>
      <c r="H239" s="75"/>
      <c r="I239" s="50"/>
    </row>
    <row r="240" spans="1:9">
      <c r="A240" s="48"/>
      <c r="B240" s="76"/>
      <c r="C240" s="2"/>
      <c r="D240" s="77"/>
      <c r="E240" s="49"/>
      <c r="F240" s="50"/>
      <c r="G240" s="51"/>
      <c r="H240" s="75"/>
      <c r="I240" s="50"/>
    </row>
    <row r="241" spans="1:9">
      <c r="A241" s="48"/>
      <c r="B241" s="76"/>
      <c r="C241" s="2"/>
      <c r="D241" s="77"/>
      <c r="E241" s="49"/>
      <c r="F241" s="50"/>
      <c r="G241" s="51"/>
      <c r="H241" s="75"/>
      <c r="I241" s="50"/>
    </row>
    <row r="242" spans="1:9">
      <c r="A242" s="48"/>
      <c r="B242" s="76"/>
      <c r="C242" s="2"/>
      <c r="D242" s="77"/>
      <c r="E242" s="49"/>
      <c r="F242" s="50"/>
      <c r="G242" s="51"/>
      <c r="H242" s="75"/>
      <c r="I242" s="50"/>
    </row>
    <row r="243" spans="1:9">
      <c r="A243" s="48"/>
      <c r="B243" s="76"/>
      <c r="C243" s="2"/>
      <c r="D243" s="77"/>
      <c r="E243" s="49"/>
      <c r="F243" s="50"/>
      <c r="G243" s="51"/>
      <c r="H243" s="75"/>
      <c r="I243" s="50"/>
    </row>
    <row r="244" spans="1:9">
      <c r="A244" s="48"/>
      <c r="B244" s="76"/>
      <c r="C244" s="2"/>
      <c r="D244" s="77"/>
      <c r="E244" s="49"/>
      <c r="F244" s="50"/>
      <c r="G244" s="51"/>
      <c r="H244" s="75"/>
      <c r="I244" s="50"/>
    </row>
    <row r="245" spans="1:9">
      <c r="A245" s="48"/>
      <c r="B245" s="76"/>
      <c r="C245" s="2"/>
      <c r="D245" s="77"/>
      <c r="E245" s="49"/>
      <c r="F245" s="50"/>
      <c r="G245" s="51"/>
      <c r="H245" s="75"/>
      <c r="I245" s="50"/>
    </row>
    <row r="246" spans="1:9">
      <c r="A246" s="48"/>
      <c r="B246" s="76"/>
      <c r="C246" s="2"/>
      <c r="D246" s="77"/>
      <c r="E246" s="49"/>
      <c r="F246" s="50"/>
      <c r="G246" s="51"/>
      <c r="H246" s="75"/>
      <c r="I246" s="50"/>
    </row>
    <row r="247" spans="1:9">
      <c r="A247" s="48"/>
      <c r="B247" s="76"/>
      <c r="C247" s="2"/>
      <c r="D247" s="77"/>
      <c r="E247" s="49"/>
      <c r="F247" s="50"/>
      <c r="G247" s="51"/>
      <c r="H247" s="75"/>
      <c r="I247" s="50"/>
    </row>
    <row r="248" spans="1:9">
      <c r="A248" s="48"/>
      <c r="B248" s="76"/>
      <c r="C248" s="2"/>
      <c r="D248" s="77"/>
      <c r="E248" s="49"/>
      <c r="F248" s="50"/>
      <c r="G248" s="51"/>
      <c r="H248" s="75"/>
      <c r="I248" s="50"/>
    </row>
    <row r="249" spans="1:9">
      <c r="A249" s="48"/>
      <c r="B249" s="76"/>
      <c r="C249" s="2"/>
      <c r="D249" s="77"/>
      <c r="E249" s="49"/>
      <c r="F249" s="50"/>
      <c r="G249" s="51"/>
      <c r="H249" s="75"/>
      <c r="I249" s="50"/>
    </row>
    <row r="250" spans="1:9">
      <c r="A250" s="48"/>
      <c r="B250" s="76"/>
      <c r="C250" s="2"/>
      <c r="D250" s="77"/>
      <c r="E250" s="49"/>
      <c r="F250" s="50"/>
      <c r="G250" s="51"/>
      <c r="H250" s="75"/>
      <c r="I250" s="50"/>
    </row>
    <row r="251" spans="1:9">
      <c r="A251" s="48"/>
      <c r="B251" s="76"/>
      <c r="C251" s="2"/>
      <c r="D251" s="77"/>
      <c r="E251" s="49"/>
      <c r="F251" s="50"/>
      <c r="G251" s="51"/>
      <c r="H251" s="75"/>
      <c r="I251" s="50"/>
    </row>
    <row r="252" spans="1:9">
      <c r="A252" s="48"/>
      <c r="B252" s="76"/>
      <c r="C252" s="2"/>
      <c r="D252" s="77"/>
      <c r="E252" s="49"/>
      <c r="F252" s="50"/>
      <c r="G252" s="51"/>
      <c r="H252" s="75"/>
      <c r="I252" s="50"/>
    </row>
    <row r="253" spans="1:9">
      <c r="A253" s="48"/>
      <c r="B253" s="76"/>
      <c r="C253" s="2"/>
      <c r="D253" s="77"/>
      <c r="E253" s="49"/>
      <c r="F253" s="50"/>
      <c r="G253" s="51"/>
      <c r="H253" s="75"/>
      <c r="I253" s="50"/>
    </row>
    <row r="254" spans="1:9">
      <c r="A254" s="48"/>
      <c r="B254" s="76"/>
      <c r="C254" s="2"/>
      <c r="D254" s="77"/>
      <c r="E254" s="49"/>
      <c r="F254" s="50"/>
      <c r="G254" s="51"/>
      <c r="H254" s="75"/>
      <c r="I254" s="50"/>
    </row>
    <row r="255" spans="1:9">
      <c r="A255" s="48"/>
      <c r="B255" s="76"/>
      <c r="C255" s="2"/>
      <c r="D255" s="77"/>
      <c r="E255" s="49"/>
      <c r="F255" s="50"/>
      <c r="G255" s="51"/>
      <c r="H255" s="75"/>
      <c r="I255" s="50"/>
    </row>
    <row r="256" spans="1:9">
      <c r="A256" s="48"/>
      <c r="B256" s="76"/>
      <c r="C256" s="2"/>
      <c r="D256" s="77"/>
      <c r="E256" s="49"/>
      <c r="F256" s="50"/>
      <c r="G256" s="51"/>
      <c r="H256" s="75"/>
      <c r="I256" s="50"/>
    </row>
    <row r="257" spans="1:9">
      <c r="A257" s="48"/>
      <c r="B257" s="76"/>
      <c r="C257" s="2"/>
      <c r="D257" s="77"/>
      <c r="E257" s="49"/>
      <c r="F257" s="50"/>
      <c r="G257" s="51"/>
      <c r="H257" s="75"/>
      <c r="I257" s="50"/>
    </row>
    <row r="258" spans="1:9">
      <c r="A258" s="48"/>
      <c r="B258" s="76"/>
      <c r="C258" s="2"/>
      <c r="D258" s="77"/>
      <c r="E258" s="49"/>
      <c r="F258" s="50"/>
      <c r="G258" s="51"/>
      <c r="H258" s="75"/>
      <c r="I258" s="50"/>
    </row>
    <row r="259" spans="1:9">
      <c r="A259" s="48"/>
      <c r="B259" s="76"/>
      <c r="C259" s="2"/>
      <c r="D259" s="77"/>
      <c r="E259" s="49"/>
      <c r="F259" s="50"/>
      <c r="G259" s="51"/>
      <c r="H259" s="75"/>
      <c r="I259" s="50"/>
    </row>
    <row r="260" spans="1:9">
      <c r="A260" s="48"/>
      <c r="B260" s="76"/>
      <c r="C260" s="2"/>
      <c r="D260" s="77"/>
      <c r="E260" s="49"/>
      <c r="F260" s="50"/>
      <c r="G260" s="51"/>
      <c r="H260" s="75"/>
      <c r="I260" s="50"/>
    </row>
    <row r="261" spans="1:9">
      <c r="A261" s="48"/>
      <c r="B261" s="76"/>
      <c r="C261" s="2"/>
      <c r="D261" s="77"/>
      <c r="E261" s="49"/>
      <c r="F261" s="50"/>
      <c r="G261" s="51"/>
      <c r="H261" s="75"/>
      <c r="I261" s="50"/>
    </row>
    <row r="262" spans="1:9">
      <c r="A262" s="48"/>
      <c r="B262" s="76"/>
      <c r="C262" s="2"/>
      <c r="D262" s="77"/>
      <c r="E262" s="49"/>
      <c r="F262" s="50"/>
      <c r="G262" s="51"/>
      <c r="H262" s="75"/>
      <c r="I262" s="50"/>
    </row>
    <row r="263" spans="1:9">
      <c r="A263" s="48"/>
      <c r="B263" s="76"/>
      <c r="C263" s="2"/>
      <c r="D263" s="77"/>
      <c r="E263" s="49"/>
      <c r="F263" s="50"/>
      <c r="G263" s="51"/>
      <c r="H263" s="75"/>
      <c r="I263" s="50"/>
    </row>
    <row r="264" spans="1:9">
      <c r="A264" s="48"/>
      <c r="B264" s="76"/>
      <c r="C264" s="2"/>
      <c r="D264" s="77"/>
      <c r="E264" s="49"/>
      <c r="F264" s="50"/>
      <c r="G264" s="51"/>
      <c r="H264" s="75"/>
      <c r="I264" s="50"/>
    </row>
    <row r="265" spans="1:9">
      <c r="A265" s="48"/>
      <c r="B265" s="76"/>
      <c r="C265" s="2"/>
      <c r="D265" s="77"/>
      <c r="E265" s="49"/>
      <c r="F265" s="50"/>
      <c r="G265" s="51"/>
      <c r="H265" s="75"/>
      <c r="I265" s="50"/>
    </row>
    <row r="266" spans="1:9">
      <c r="A266" s="48"/>
      <c r="B266" s="76"/>
      <c r="C266" s="2"/>
      <c r="D266" s="77"/>
      <c r="E266" s="49"/>
      <c r="F266" s="50"/>
      <c r="G266" s="51"/>
      <c r="H266" s="75"/>
      <c r="I266" s="50"/>
    </row>
    <row r="267" spans="1:9">
      <c r="A267" s="48"/>
      <c r="B267" s="76"/>
      <c r="C267" s="2"/>
      <c r="D267" s="77"/>
      <c r="E267" s="49"/>
      <c r="F267" s="50"/>
      <c r="G267" s="51"/>
      <c r="H267" s="75"/>
      <c r="I267" s="50"/>
    </row>
    <row r="268" spans="1:9">
      <c r="A268" s="48"/>
      <c r="B268" s="76"/>
      <c r="C268" s="2"/>
      <c r="D268" s="77"/>
      <c r="E268" s="49"/>
      <c r="F268" s="50"/>
      <c r="G268" s="51"/>
      <c r="H268" s="75"/>
      <c r="I268" s="50"/>
    </row>
    <row r="269" spans="1:9">
      <c r="A269" s="48"/>
      <c r="B269" s="76"/>
      <c r="C269" s="2"/>
      <c r="D269" s="77"/>
      <c r="E269" s="49"/>
      <c r="F269" s="50"/>
      <c r="G269" s="51"/>
      <c r="H269" s="75"/>
      <c r="I269" s="50"/>
    </row>
    <row r="270" spans="1:9">
      <c r="A270" s="48"/>
      <c r="B270" s="76"/>
      <c r="C270" s="2"/>
      <c r="D270" s="77"/>
      <c r="E270" s="49"/>
      <c r="F270" s="50"/>
      <c r="G270" s="51"/>
      <c r="H270" s="75"/>
      <c r="I270" s="50"/>
    </row>
    <row r="271" spans="1:9">
      <c r="A271" s="48"/>
      <c r="B271" s="76"/>
      <c r="C271" s="2"/>
      <c r="D271" s="77"/>
      <c r="E271" s="49"/>
      <c r="F271" s="50"/>
      <c r="G271" s="51"/>
      <c r="H271" s="75"/>
      <c r="I271" s="50"/>
    </row>
    <row r="272" spans="1:9">
      <c r="A272" s="48"/>
      <c r="B272" s="76"/>
      <c r="C272" s="2"/>
      <c r="D272" s="77"/>
      <c r="E272" s="49"/>
      <c r="F272" s="50"/>
      <c r="G272" s="51"/>
      <c r="H272" s="75"/>
      <c r="I272" s="50"/>
    </row>
    <row r="273" spans="1:9">
      <c r="A273" s="48"/>
      <c r="B273" s="76"/>
      <c r="C273" s="2"/>
      <c r="D273" s="77"/>
      <c r="E273" s="49"/>
      <c r="F273" s="50"/>
      <c r="G273" s="51"/>
      <c r="H273" s="75"/>
      <c r="I273" s="50"/>
    </row>
    <row r="274" spans="1:9">
      <c r="A274" s="48"/>
      <c r="B274" s="76"/>
      <c r="C274" s="2"/>
      <c r="D274" s="77"/>
      <c r="E274" s="49"/>
      <c r="F274" s="50"/>
      <c r="G274" s="51"/>
      <c r="H274" s="75"/>
      <c r="I274" s="50"/>
    </row>
    <row r="275" spans="1:9">
      <c r="A275" s="48"/>
      <c r="B275" s="76"/>
      <c r="C275" s="2"/>
      <c r="D275" s="77"/>
      <c r="E275" s="49"/>
      <c r="F275" s="50"/>
      <c r="G275" s="51"/>
      <c r="H275" s="75"/>
      <c r="I275" s="50"/>
    </row>
    <row r="276" spans="1:9">
      <c r="A276" s="48"/>
      <c r="B276" s="76"/>
      <c r="C276" s="2"/>
      <c r="D276" s="77"/>
      <c r="E276" s="49"/>
      <c r="F276" s="50"/>
      <c r="G276" s="51"/>
      <c r="H276" s="75"/>
      <c r="I276" s="50"/>
    </row>
    <row r="277" spans="1:9">
      <c r="A277" s="48"/>
      <c r="B277" s="76"/>
      <c r="C277" s="2"/>
      <c r="D277" s="77"/>
      <c r="E277" s="49"/>
      <c r="F277" s="50"/>
      <c r="G277" s="51"/>
      <c r="H277" s="75"/>
      <c r="I277" s="50"/>
    </row>
    <row r="278" spans="1:9">
      <c r="A278" s="48"/>
      <c r="B278" s="76"/>
      <c r="C278" s="2"/>
      <c r="D278" s="77"/>
      <c r="E278" s="49"/>
      <c r="F278" s="50"/>
      <c r="G278" s="51"/>
      <c r="H278" s="75"/>
      <c r="I278" s="50"/>
    </row>
    <row r="279" spans="1:9">
      <c r="A279" s="48"/>
      <c r="B279" s="76"/>
      <c r="C279" s="2"/>
      <c r="D279" s="77"/>
      <c r="E279" s="49"/>
      <c r="F279" s="50"/>
      <c r="G279" s="51"/>
      <c r="H279" s="75"/>
      <c r="I279" s="50"/>
    </row>
    <row r="280" spans="1:9">
      <c r="A280" s="48"/>
      <c r="B280" s="76"/>
      <c r="C280" s="2"/>
      <c r="D280" s="77"/>
      <c r="E280" s="49"/>
      <c r="F280" s="50"/>
      <c r="G280" s="51"/>
      <c r="H280" s="75"/>
      <c r="I280" s="50"/>
    </row>
    <row r="281" spans="1:9">
      <c r="A281" s="48"/>
      <c r="B281" s="76"/>
      <c r="C281" s="2"/>
      <c r="D281" s="77"/>
      <c r="E281" s="49"/>
      <c r="F281" s="50"/>
      <c r="G281" s="51"/>
      <c r="H281" s="75"/>
      <c r="I281" s="50"/>
    </row>
    <row r="282" spans="1:9">
      <c r="A282" s="48"/>
      <c r="B282" s="76"/>
      <c r="C282" s="2"/>
      <c r="D282" s="77"/>
      <c r="E282" s="49"/>
      <c r="F282" s="50"/>
      <c r="G282" s="51"/>
      <c r="H282" s="75"/>
      <c r="I282" s="50"/>
    </row>
    <row r="283" spans="1:9">
      <c r="A283" s="48"/>
      <c r="B283" s="76"/>
      <c r="C283" s="2"/>
      <c r="D283" s="77"/>
      <c r="E283" s="49"/>
      <c r="F283" s="50"/>
      <c r="G283" s="51"/>
      <c r="H283" s="75"/>
      <c r="I283" s="50"/>
    </row>
    <row r="284" spans="1:9">
      <c r="A284" s="48"/>
      <c r="B284" s="76"/>
      <c r="C284" s="2"/>
      <c r="D284" s="77"/>
      <c r="E284" s="49"/>
      <c r="F284" s="50"/>
      <c r="G284" s="51"/>
      <c r="H284" s="75"/>
      <c r="I284" s="50"/>
    </row>
    <row r="285" spans="1:9">
      <c r="A285" s="48"/>
      <c r="B285" s="76"/>
      <c r="C285" s="2"/>
      <c r="D285" s="77"/>
      <c r="E285" s="49"/>
      <c r="F285" s="50"/>
      <c r="G285" s="51"/>
      <c r="H285" s="75"/>
      <c r="I285" s="50"/>
    </row>
    <row r="286" spans="1:9">
      <c r="A286" s="48"/>
      <c r="B286" s="76"/>
      <c r="C286" s="2"/>
      <c r="D286" s="77"/>
      <c r="E286" s="49"/>
      <c r="F286" s="50"/>
      <c r="G286" s="51"/>
      <c r="H286" s="75"/>
      <c r="I286" s="50"/>
    </row>
    <row r="287" spans="1:9">
      <c r="A287" s="48"/>
      <c r="B287" s="76"/>
      <c r="C287" s="2"/>
      <c r="D287" s="77"/>
      <c r="E287" s="49"/>
      <c r="F287" s="50"/>
      <c r="G287" s="51"/>
      <c r="H287" s="75"/>
      <c r="I287" s="50"/>
    </row>
    <row r="288" spans="1:9">
      <c r="A288" s="48"/>
      <c r="B288" s="76"/>
      <c r="C288" s="2"/>
      <c r="D288" s="77"/>
      <c r="E288" s="49"/>
      <c r="F288" s="50"/>
      <c r="G288" s="51"/>
      <c r="H288" s="75"/>
      <c r="I288" s="50"/>
    </row>
    <row r="289" spans="1:9">
      <c r="A289" s="48"/>
      <c r="B289" s="76"/>
      <c r="C289" s="2"/>
      <c r="D289" s="77"/>
      <c r="E289" s="49"/>
      <c r="F289" s="50"/>
      <c r="G289" s="51"/>
      <c r="H289" s="75"/>
      <c r="I289" s="50"/>
    </row>
    <row r="290" spans="1:9">
      <c r="A290" s="48"/>
      <c r="B290" s="76"/>
      <c r="C290" s="2"/>
      <c r="D290" s="77"/>
      <c r="E290" s="49"/>
      <c r="F290" s="50"/>
      <c r="G290" s="51"/>
      <c r="H290" s="75"/>
      <c r="I290" s="50"/>
    </row>
    <row r="291" spans="1:9">
      <c r="A291" s="48"/>
      <c r="B291" s="76"/>
      <c r="C291" s="2"/>
      <c r="D291" s="77"/>
      <c r="E291" s="49"/>
      <c r="F291" s="50"/>
      <c r="G291" s="51"/>
      <c r="H291" s="75"/>
      <c r="I291" s="50"/>
    </row>
    <row r="292" spans="1:9">
      <c r="A292" s="48"/>
      <c r="B292" s="76"/>
      <c r="C292" s="2"/>
      <c r="D292" s="77"/>
      <c r="E292" s="49"/>
      <c r="F292" s="50"/>
      <c r="G292" s="51"/>
      <c r="H292" s="75"/>
      <c r="I292" s="50"/>
    </row>
    <row r="293" spans="1:9">
      <c r="A293" s="48"/>
      <c r="B293" s="76"/>
      <c r="C293" s="2"/>
      <c r="D293" s="77"/>
      <c r="E293" s="49"/>
      <c r="F293" s="50"/>
      <c r="G293" s="51"/>
      <c r="H293" s="75"/>
      <c r="I293" s="50"/>
    </row>
    <row r="294" spans="1:9">
      <c r="A294" s="48"/>
      <c r="B294" s="76"/>
      <c r="C294" s="2"/>
      <c r="D294" s="77"/>
      <c r="E294" s="49"/>
      <c r="F294" s="50"/>
      <c r="G294" s="51"/>
      <c r="H294" s="75"/>
      <c r="I294" s="50"/>
    </row>
    <row r="295" spans="1:9">
      <c r="A295" s="48"/>
      <c r="B295" s="76"/>
      <c r="C295" s="2"/>
      <c r="D295" s="77"/>
      <c r="E295" s="49"/>
      <c r="F295" s="50"/>
      <c r="G295" s="51"/>
      <c r="H295" s="75"/>
      <c r="I295" s="50"/>
    </row>
    <row r="296" spans="1:9">
      <c r="A296" s="48"/>
      <c r="B296" s="76"/>
      <c r="C296" s="2"/>
      <c r="D296" s="77"/>
      <c r="E296" s="49"/>
      <c r="F296" s="50"/>
      <c r="G296" s="51"/>
      <c r="H296" s="75"/>
      <c r="I296" s="50"/>
    </row>
    <row r="297" spans="1:9">
      <c r="A297" s="48"/>
      <c r="B297" s="76"/>
      <c r="C297" s="2"/>
      <c r="D297" s="77"/>
      <c r="E297" s="49"/>
      <c r="F297" s="50"/>
      <c r="G297" s="51"/>
      <c r="H297" s="75"/>
      <c r="I297" s="50"/>
    </row>
    <row r="298" spans="1:9">
      <c r="A298" s="48"/>
      <c r="B298" s="76"/>
      <c r="C298" s="2"/>
      <c r="D298" s="77"/>
      <c r="E298" s="49"/>
      <c r="F298" s="50"/>
      <c r="G298" s="51"/>
      <c r="H298" s="75"/>
      <c r="I298" s="50"/>
    </row>
    <row r="299" spans="1:9">
      <c r="A299" s="48"/>
      <c r="B299" s="76"/>
      <c r="C299" s="2"/>
      <c r="D299" s="77"/>
      <c r="E299" s="49"/>
      <c r="F299" s="50"/>
      <c r="G299" s="51"/>
      <c r="H299" s="75"/>
      <c r="I299" s="50"/>
    </row>
    <row r="300" spans="1:9">
      <c r="A300" s="48"/>
      <c r="B300" s="76"/>
      <c r="C300" s="2"/>
      <c r="D300" s="77"/>
      <c r="E300" s="49"/>
      <c r="F300" s="50"/>
      <c r="G300" s="51"/>
      <c r="H300" s="75"/>
      <c r="I300" s="50"/>
    </row>
    <row r="301" spans="1:9">
      <c r="A301" s="48"/>
      <c r="B301" s="76"/>
      <c r="C301" s="2"/>
      <c r="D301" s="77"/>
      <c r="E301" s="49"/>
      <c r="F301" s="50"/>
      <c r="G301" s="51"/>
      <c r="H301" s="75"/>
      <c r="I301" s="50"/>
    </row>
    <row r="302" spans="1:9">
      <c r="A302" s="48"/>
      <c r="B302" s="76"/>
      <c r="C302" s="2"/>
      <c r="D302" s="77"/>
      <c r="E302" s="49"/>
      <c r="F302" s="50"/>
      <c r="G302" s="51"/>
      <c r="H302" s="75"/>
      <c r="I302" s="50"/>
    </row>
    <row r="303" spans="1:9">
      <c r="A303" s="48"/>
      <c r="B303" s="76"/>
      <c r="C303" s="2"/>
      <c r="D303" s="77"/>
      <c r="E303" s="49"/>
      <c r="F303" s="50"/>
      <c r="G303" s="51"/>
      <c r="H303" s="75"/>
      <c r="I303" s="50"/>
    </row>
    <row r="304" spans="1:9">
      <c r="A304" s="48"/>
      <c r="B304" s="76"/>
      <c r="C304" s="2"/>
      <c r="D304" s="77"/>
      <c r="E304" s="49"/>
      <c r="F304" s="50"/>
      <c r="G304" s="51"/>
      <c r="H304" s="75"/>
      <c r="I304" s="50"/>
    </row>
    <row r="305" spans="1:9">
      <c r="A305" s="48"/>
      <c r="B305" s="76"/>
      <c r="C305" s="2"/>
      <c r="D305" s="77"/>
      <c r="E305" s="49"/>
      <c r="F305" s="50"/>
      <c r="G305" s="51"/>
      <c r="H305" s="75"/>
      <c r="I305" s="50"/>
    </row>
    <row r="306" spans="1:9">
      <c r="A306" s="48"/>
      <c r="B306" s="76"/>
      <c r="C306" s="2"/>
      <c r="D306" s="77"/>
      <c r="E306" s="49"/>
      <c r="F306" s="50"/>
      <c r="G306" s="51"/>
      <c r="H306" s="75"/>
      <c r="I306" s="50"/>
    </row>
    <row r="307" spans="1:9">
      <c r="A307" s="48"/>
      <c r="B307" s="76"/>
      <c r="C307" s="2"/>
      <c r="D307" s="77"/>
      <c r="E307" s="49"/>
      <c r="F307" s="50"/>
      <c r="G307" s="51"/>
      <c r="H307" s="75"/>
      <c r="I307" s="50"/>
    </row>
    <row r="308" spans="1:9">
      <c r="A308" s="48"/>
      <c r="B308" s="76"/>
      <c r="C308" s="2"/>
      <c r="D308" s="77"/>
      <c r="E308" s="49"/>
      <c r="F308" s="50"/>
      <c r="G308" s="51"/>
      <c r="H308" s="75"/>
      <c r="I308" s="50"/>
    </row>
    <row r="309" spans="1:9">
      <c r="A309" s="48"/>
      <c r="B309" s="76"/>
      <c r="C309" s="2"/>
      <c r="D309" s="77"/>
      <c r="E309" s="49"/>
      <c r="F309" s="50"/>
      <c r="G309" s="51"/>
      <c r="H309" s="75"/>
      <c r="I309" s="50"/>
    </row>
    <row r="310" spans="1:9">
      <c r="A310" s="48"/>
      <c r="B310" s="76"/>
      <c r="C310" s="2"/>
      <c r="D310" s="77"/>
      <c r="E310" s="49"/>
      <c r="F310" s="50"/>
      <c r="G310" s="51"/>
      <c r="H310" s="75"/>
      <c r="I310" s="50"/>
    </row>
    <row r="311" spans="1:9">
      <c r="A311" s="48"/>
      <c r="B311" s="76"/>
      <c r="C311" s="2"/>
      <c r="D311" s="77"/>
      <c r="E311" s="49"/>
      <c r="F311" s="50"/>
      <c r="G311" s="51"/>
      <c r="H311" s="75"/>
      <c r="I311" s="50"/>
    </row>
    <row r="312" spans="1:9">
      <c r="A312" s="48"/>
      <c r="B312" s="76"/>
      <c r="C312" s="2"/>
      <c r="D312" s="77"/>
      <c r="E312" s="49"/>
      <c r="F312" s="50"/>
      <c r="G312" s="51"/>
      <c r="H312" s="75"/>
      <c r="I312" s="50"/>
    </row>
    <row r="313" spans="1:9">
      <c r="A313" s="48"/>
      <c r="B313" s="76"/>
      <c r="C313" s="2"/>
      <c r="D313" s="77"/>
      <c r="E313" s="49"/>
      <c r="F313" s="50"/>
      <c r="G313" s="51"/>
      <c r="H313" s="75"/>
      <c r="I313" s="50"/>
    </row>
    <row r="314" spans="1:9">
      <c r="A314" s="48"/>
      <c r="B314" s="76"/>
      <c r="C314" s="2"/>
      <c r="D314" s="77"/>
      <c r="E314" s="49"/>
      <c r="F314" s="50"/>
      <c r="G314" s="51"/>
      <c r="H314" s="75"/>
      <c r="I314" s="50"/>
    </row>
    <row r="315" spans="1:9">
      <c r="A315" s="48"/>
      <c r="B315" s="76"/>
      <c r="C315" s="2"/>
      <c r="D315" s="77"/>
      <c r="E315" s="49"/>
      <c r="F315" s="50"/>
      <c r="G315" s="51"/>
      <c r="H315" s="75"/>
      <c r="I315" s="50"/>
    </row>
    <row r="316" spans="1:9">
      <c r="A316" s="48"/>
      <c r="B316" s="76"/>
      <c r="C316" s="2"/>
      <c r="D316" s="77"/>
      <c r="E316" s="49"/>
      <c r="F316" s="50"/>
      <c r="G316" s="51"/>
      <c r="H316" s="75"/>
      <c r="I316" s="50"/>
    </row>
    <row r="317" spans="1:9">
      <c r="A317" s="48"/>
      <c r="B317" s="76"/>
      <c r="C317" s="2"/>
      <c r="D317" s="77"/>
      <c r="E317" s="49"/>
      <c r="F317" s="50"/>
      <c r="G317" s="51"/>
      <c r="H317" s="75"/>
      <c r="I317" s="50"/>
    </row>
    <row r="318" spans="1:9">
      <c r="A318" s="48"/>
      <c r="B318" s="76"/>
      <c r="C318" s="2"/>
      <c r="D318" s="77"/>
      <c r="E318" s="49"/>
      <c r="F318" s="50"/>
      <c r="G318" s="51"/>
      <c r="H318" s="75"/>
      <c r="I318" s="50"/>
    </row>
    <row r="319" spans="1:9">
      <c r="A319" s="48"/>
      <c r="B319" s="76"/>
      <c r="C319" s="2"/>
      <c r="D319" s="77"/>
      <c r="E319" s="49"/>
      <c r="F319" s="50"/>
      <c r="G319" s="51"/>
      <c r="H319" s="75"/>
      <c r="I319" s="50"/>
    </row>
    <row r="320" spans="1:9">
      <c r="A320" s="48"/>
      <c r="B320" s="76"/>
      <c r="C320" s="2"/>
      <c r="D320" s="77"/>
      <c r="E320" s="49"/>
      <c r="F320" s="50"/>
      <c r="G320" s="51"/>
      <c r="H320" s="75"/>
      <c r="I320" s="50"/>
    </row>
    <row r="321" spans="1:9">
      <c r="A321" s="48"/>
      <c r="B321" s="76"/>
      <c r="C321" s="2"/>
      <c r="D321" s="77"/>
      <c r="E321" s="49"/>
      <c r="F321" s="50"/>
      <c r="G321" s="51"/>
      <c r="H321" s="75"/>
      <c r="I321" s="50"/>
    </row>
    <row r="322" spans="1:9">
      <c r="A322" s="48"/>
      <c r="B322" s="76"/>
      <c r="C322" s="2"/>
      <c r="D322" s="77"/>
      <c r="E322" s="49"/>
      <c r="F322" s="50"/>
      <c r="G322" s="51"/>
      <c r="H322" s="75"/>
      <c r="I322" s="50"/>
    </row>
    <row r="323" spans="1:9">
      <c r="A323" s="48"/>
      <c r="B323" s="76"/>
      <c r="C323" s="2"/>
      <c r="D323" s="77"/>
      <c r="E323" s="49"/>
      <c r="F323" s="50"/>
      <c r="G323" s="51"/>
      <c r="H323" s="75"/>
      <c r="I323" s="50"/>
    </row>
    <row r="324" spans="1:9">
      <c r="A324" s="48"/>
      <c r="B324" s="76"/>
      <c r="C324" s="2"/>
      <c r="D324" s="77"/>
      <c r="E324" s="49"/>
      <c r="F324" s="50"/>
      <c r="G324" s="51"/>
      <c r="H324" s="75"/>
      <c r="I324" s="50"/>
    </row>
    <row r="325" spans="1:9">
      <c r="A325" s="48"/>
      <c r="B325" s="76"/>
      <c r="C325" s="2"/>
      <c r="D325" s="77"/>
      <c r="E325" s="49"/>
      <c r="F325" s="50"/>
      <c r="G325" s="51"/>
      <c r="H325" s="75"/>
      <c r="I325" s="50"/>
    </row>
    <row r="326" spans="1:9">
      <c r="A326" s="48"/>
      <c r="B326" s="76"/>
      <c r="C326" s="2"/>
      <c r="D326" s="77"/>
      <c r="E326" s="49"/>
      <c r="F326" s="50"/>
      <c r="G326" s="51"/>
      <c r="H326" s="75"/>
      <c r="I326" s="50"/>
    </row>
    <row r="327" spans="1:9">
      <c r="A327" s="48"/>
      <c r="B327" s="76"/>
      <c r="C327" s="2"/>
      <c r="D327" s="77"/>
      <c r="E327" s="49"/>
      <c r="F327" s="50"/>
      <c r="G327" s="51"/>
      <c r="H327" s="75"/>
      <c r="I327" s="50"/>
    </row>
    <row r="328" spans="1:9">
      <c r="A328" s="48"/>
      <c r="B328" s="76"/>
      <c r="C328" s="2"/>
      <c r="D328" s="77"/>
      <c r="E328" s="49"/>
      <c r="F328" s="50"/>
      <c r="G328" s="51"/>
      <c r="H328" s="75"/>
      <c r="I328" s="50"/>
    </row>
    <row r="329" spans="1:9">
      <c r="A329" s="48"/>
      <c r="B329" s="76"/>
      <c r="C329" s="2"/>
      <c r="D329" s="77"/>
      <c r="E329" s="49"/>
      <c r="F329" s="50"/>
      <c r="G329" s="51"/>
      <c r="H329" s="75"/>
      <c r="I329" s="50"/>
    </row>
    <row r="330" spans="1:9">
      <c r="A330" s="48"/>
      <c r="B330" s="76"/>
      <c r="C330" s="2"/>
      <c r="D330" s="77"/>
      <c r="E330" s="49"/>
      <c r="F330" s="50"/>
      <c r="G330" s="51"/>
      <c r="H330" s="75"/>
      <c r="I330" s="50"/>
    </row>
    <row r="331" spans="1:9">
      <c r="A331" s="48"/>
      <c r="B331" s="76"/>
      <c r="C331" s="2"/>
      <c r="D331" s="77"/>
      <c r="E331" s="49"/>
      <c r="F331" s="50"/>
      <c r="G331" s="51"/>
      <c r="H331" s="75"/>
      <c r="I331" s="50"/>
    </row>
    <row r="332" spans="1:9">
      <c r="A332" s="48"/>
      <c r="B332" s="76"/>
      <c r="C332" s="2"/>
      <c r="D332" s="77"/>
      <c r="E332" s="49"/>
      <c r="F332" s="50"/>
      <c r="G332" s="51"/>
      <c r="H332" s="75"/>
      <c r="I332" s="50"/>
    </row>
    <row r="333" spans="1:9">
      <c r="A333" s="48"/>
      <c r="B333" s="76"/>
      <c r="C333" s="2"/>
      <c r="D333" s="77"/>
      <c r="E333" s="49"/>
      <c r="F333" s="50"/>
      <c r="G333" s="51"/>
      <c r="H333" s="75"/>
      <c r="I333" s="50"/>
    </row>
    <row r="334" spans="1:9">
      <c r="A334" s="48"/>
      <c r="B334" s="76"/>
      <c r="C334" s="2"/>
      <c r="D334" s="77"/>
      <c r="E334" s="49"/>
      <c r="F334" s="50"/>
      <c r="G334" s="51"/>
      <c r="H334" s="75"/>
      <c r="I334" s="50"/>
    </row>
    <row r="335" spans="1:9">
      <c r="A335" s="48"/>
      <c r="B335" s="76"/>
      <c r="C335" s="2"/>
      <c r="D335" s="77"/>
      <c r="E335" s="49"/>
      <c r="F335" s="50"/>
      <c r="G335" s="51"/>
      <c r="H335" s="75"/>
      <c r="I335" s="50"/>
    </row>
    <row r="336" spans="1:9">
      <c r="A336" s="48"/>
      <c r="B336" s="76"/>
      <c r="C336" s="2"/>
      <c r="D336" s="77"/>
      <c r="E336" s="49"/>
      <c r="F336" s="50"/>
      <c r="G336" s="51"/>
      <c r="H336" s="75"/>
      <c r="I336" s="50"/>
    </row>
    <row r="337" spans="1:9">
      <c r="A337" s="48"/>
      <c r="B337" s="76"/>
      <c r="C337" s="2"/>
      <c r="D337" s="77"/>
      <c r="E337" s="49"/>
      <c r="F337" s="50"/>
      <c r="G337" s="51"/>
      <c r="H337" s="75"/>
      <c r="I337" s="50"/>
    </row>
    <row r="338" spans="1:9">
      <c r="A338" s="48"/>
      <c r="B338" s="76"/>
      <c r="C338" s="2"/>
      <c r="D338" s="77"/>
      <c r="E338" s="49"/>
      <c r="F338" s="50"/>
      <c r="G338" s="51"/>
      <c r="H338" s="75"/>
      <c r="I338" s="50"/>
    </row>
    <row r="339" spans="1:9">
      <c r="A339" s="48"/>
      <c r="B339" s="76"/>
      <c r="C339" s="2"/>
      <c r="D339" s="77"/>
      <c r="E339" s="49"/>
      <c r="F339" s="50"/>
      <c r="G339" s="51"/>
      <c r="H339" s="75"/>
      <c r="I339" s="50"/>
    </row>
    <row r="340" spans="1:9">
      <c r="A340" s="48"/>
      <c r="B340" s="76"/>
      <c r="C340" s="2"/>
      <c r="D340" s="77"/>
      <c r="E340" s="49"/>
      <c r="F340" s="50"/>
      <c r="G340" s="51"/>
      <c r="H340" s="75"/>
      <c r="I340" s="50"/>
    </row>
    <row r="341" spans="1:9">
      <c r="A341" s="48"/>
      <c r="B341" s="76"/>
      <c r="C341" s="2"/>
      <c r="D341" s="77"/>
      <c r="E341" s="49"/>
      <c r="F341" s="50"/>
      <c r="G341" s="51"/>
      <c r="H341" s="75"/>
      <c r="I341" s="50"/>
    </row>
    <row r="342" spans="1:9">
      <c r="A342" s="48"/>
      <c r="B342" s="76"/>
      <c r="C342" s="2"/>
      <c r="D342" s="77"/>
      <c r="E342" s="49"/>
      <c r="F342" s="50"/>
      <c r="G342" s="51"/>
      <c r="H342" s="75"/>
      <c r="I342" s="50"/>
    </row>
    <row r="343" spans="1:9">
      <c r="A343" s="48"/>
      <c r="B343" s="76"/>
      <c r="C343" s="2"/>
      <c r="D343" s="77"/>
      <c r="E343" s="49"/>
      <c r="F343" s="50"/>
      <c r="G343" s="51"/>
      <c r="H343" s="75"/>
      <c r="I343" s="50"/>
    </row>
    <row r="344" spans="1:9">
      <c r="A344" s="48"/>
      <c r="B344" s="76"/>
      <c r="C344" s="2"/>
      <c r="D344" s="77"/>
      <c r="E344" s="49"/>
      <c r="F344" s="50"/>
      <c r="G344" s="51"/>
      <c r="H344" s="75"/>
      <c r="I344" s="50"/>
    </row>
    <row r="345" spans="1:9">
      <c r="A345" s="48"/>
      <c r="B345" s="76"/>
      <c r="C345" s="2"/>
      <c r="D345" s="77"/>
      <c r="E345" s="49"/>
      <c r="F345" s="50"/>
      <c r="G345" s="51"/>
      <c r="H345" s="75"/>
      <c r="I345" s="50"/>
    </row>
    <row r="346" spans="1:9">
      <c r="A346" s="48"/>
      <c r="B346" s="76"/>
      <c r="C346" s="2"/>
      <c r="D346" s="77"/>
      <c r="E346" s="49"/>
      <c r="F346" s="50"/>
      <c r="G346" s="51"/>
      <c r="H346" s="75"/>
      <c r="I346" s="50"/>
    </row>
    <row r="347" spans="1:9">
      <c r="A347" s="48"/>
      <c r="B347" s="76"/>
      <c r="C347" s="2"/>
      <c r="D347" s="77"/>
      <c r="E347" s="49"/>
      <c r="F347" s="50"/>
      <c r="G347" s="51"/>
      <c r="H347" s="75"/>
      <c r="I347" s="50"/>
    </row>
    <row r="348" spans="1:9">
      <c r="A348" s="48"/>
      <c r="B348" s="76"/>
      <c r="C348" s="2"/>
      <c r="D348" s="77"/>
      <c r="E348" s="49"/>
      <c r="F348" s="50"/>
      <c r="G348" s="51"/>
      <c r="H348" s="75"/>
      <c r="I348" s="50"/>
    </row>
    <row r="349" spans="1:9">
      <c r="A349" s="48"/>
      <c r="B349" s="76"/>
      <c r="C349" s="2"/>
      <c r="D349" s="77"/>
      <c r="E349" s="49"/>
      <c r="F349" s="50"/>
      <c r="G349" s="51"/>
      <c r="H349" s="75"/>
      <c r="I349" s="50"/>
    </row>
    <row r="350" spans="1:9">
      <c r="A350" s="48"/>
      <c r="B350" s="76"/>
      <c r="C350" s="2"/>
      <c r="D350" s="77"/>
      <c r="E350" s="49"/>
      <c r="F350" s="50"/>
      <c r="G350" s="51"/>
      <c r="H350" s="75"/>
      <c r="I350" s="50"/>
    </row>
    <row r="351" spans="1:9">
      <c r="A351" s="48"/>
      <c r="B351" s="76"/>
      <c r="C351" s="2"/>
      <c r="D351" s="77"/>
      <c r="E351" s="49"/>
      <c r="F351" s="50"/>
      <c r="G351" s="51"/>
      <c r="H351" s="75"/>
      <c r="I351" s="50"/>
    </row>
    <row r="352" spans="1:9">
      <c r="A352" s="48"/>
      <c r="B352" s="76"/>
      <c r="C352" s="2"/>
      <c r="D352" s="77"/>
      <c r="E352" s="49"/>
      <c r="F352" s="50"/>
      <c r="G352" s="51"/>
      <c r="H352" s="75"/>
      <c r="I352" s="50"/>
    </row>
    <row r="353" spans="1:9">
      <c r="A353" s="48"/>
      <c r="B353" s="76"/>
      <c r="C353" s="2"/>
      <c r="D353" s="77"/>
      <c r="E353" s="49"/>
      <c r="F353" s="50"/>
      <c r="G353" s="51"/>
      <c r="H353" s="75"/>
      <c r="I353" s="50"/>
    </row>
    <row r="354" spans="1:9">
      <c r="A354" s="48"/>
      <c r="B354" s="76"/>
      <c r="C354" s="2"/>
      <c r="D354" s="77"/>
      <c r="E354" s="49"/>
      <c r="F354" s="50"/>
      <c r="G354" s="51"/>
      <c r="H354" s="75"/>
      <c r="I354" s="50"/>
    </row>
    <row r="355" spans="1:9">
      <c r="A355" s="48"/>
      <c r="B355" s="76"/>
      <c r="C355" s="2"/>
      <c r="D355" s="77"/>
      <c r="E355" s="49"/>
      <c r="F355" s="50"/>
      <c r="G355" s="51"/>
      <c r="H355" s="75"/>
      <c r="I355" s="50"/>
    </row>
    <row r="356" spans="1:9">
      <c r="A356" s="48"/>
      <c r="B356" s="76"/>
      <c r="C356" s="2"/>
      <c r="D356" s="77"/>
      <c r="E356" s="49"/>
      <c r="F356" s="50"/>
      <c r="G356" s="51"/>
      <c r="H356" s="75"/>
      <c r="I356" s="50"/>
    </row>
    <row r="357" spans="1:9">
      <c r="A357" s="48"/>
      <c r="B357" s="76"/>
      <c r="C357" s="2"/>
      <c r="D357" s="77"/>
      <c r="E357" s="49"/>
      <c r="F357" s="50"/>
      <c r="G357" s="51"/>
      <c r="H357" s="75"/>
      <c r="I357" s="50"/>
    </row>
    <row r="358" spans="1:9">
      <c r="A358" s="48"/>
      <c r="B358" s="76"/>
      <c r="C358" s="2"/>
      <c r="D358" s="77"/>
      <c r="E358" s="49"/>
      <c r="F358" s="50"/>
      <c r="G358" s="51"/>
      <c r="H358" s="75"/>
      <c r="I358" s="50"/>
    </row>
    <row r="359" spans="1:9">
      <c r="A359" s="48"/>
      <c r="B359" s="76"/>
      <c r="C359" s="2"/>
      <c r="D359" s="77"/>
      <c r="E359" s="49"/>
      <c r="F359" s="50"/>
      <c r="G359" s="51"/>
      <c r="H359" s="75"/>
      <c r="I359" s="50"/>
    </row>
    <row r="360" spans="1:9">
      <c r="A360" s="48"/>
      <c r="B360" s="76"/>
      <c r="C360" s="2"/>
      <c r="D360" s="77"/>
      <c r="E360" s="49"/>
      <c r="F360" s="50"/>
      <c r="G360" s="51"/>
      <c r="H360" s="75"/>
      <c r="I360" s="50"/>
    </row>
    <row r="361" spans="1:9">
      <c r="A361" s="48"/>
      <c r="B361" s="76"/>
      <c r="C361" s="2"/>
      <c r="D361" s="77"/>
      <c r="E361" s="49"/>
      <c r="F361" s="50"/>
      <c r="G361" s="51"/>
      <c r="H361" s="75"/>
      <c r="I361" s="50"/>
    </row>
    <row r="362" spans="1:9">
      <c r="A362" s="48"/>
      <c r="B362" s="76"/>
      <c r="C362" s="2"/>
      <c r="D362" s="77"/>
      <c r="E362" s="49"/>
      <c r="F362" s="50"/>
      <c r="G362" s="51"/>
      <c r="H362" s="75"/>
      <c r="I362" s="50"/>
    </row>
    <row r="363" spans="1:9">
      <c r="A363" s="48"/>
      <c r="B363" s="76"/>
      <c r="C363" s="2"/>
      <c r="D363" s="77"/>
      <c r="E363" s="49"/>
      <c r="F363" s="50"/>
      <c r="G363" s="51"/>
      <c r="H363" s="75"/>
      <c r="I363" s="50"/>
    </row>
    <row r="364" spans="1:9">
      <c r="A364" s="48"/>
      <c r="B364" s="76"/>
      <c r="C364" s="2"/>
      <c r="D364" s="77"/>
      <c r="E364" s="49"/>
      <c r="F364" s="50"/>
      <c r="G364" s="51"/>
      <c r="H364" s="75"/>
      <c r="I364" s="50"/>
    </row>
    <row r="365" spans="1:9">
      <c r="A365" s="48"/>
      <c r="B365" s="76"/>
      <c r="C365" s="2"/>
      <c r="D365" s="77"/>
      <c r="E365" s="49"/>
      <c r="F365" s="50"/>
      <c r="G365" s="51"/>
      <c r="H365" s="75"/>
      <c r="I365" s="50"/>
    </row>
    <row r="366" spans="1:9">
      <c r="A366" s="48"/>
      <c r="B366" s="76"/>
      <c r="C366" s="2"/>
      <c r="D366" s="77"/>
      <c r="E366" s="49"/>
      <c r="F366" s="50"/>
      <c r="G366" s="51"/>
      <c r="H366" s="75"/>
      <c r="I366" s="50"/>
    </row>
    <row r="367" spans="1:9">
      <c r="A367" s="48"/>
      <c r="B367" s="76"/>
      <c r="C367" s="2"/>
      <c r="D367" s="77"/>
      <c r="E367" s="49"/>
      <c r="F367" s="50"/>
      <c r="G367" s="51"/>
      <c r="H367" s="75"/>
      <c r="I367" s="50"/>
    </row>
    <row r="368" spans="1:9">
      <c r="A368" s="48"/>
      <c r="B368" s="76"/>
      <c r="C368" s="2"/>
      <c r="D368" s="77"/>
      <c r="E368" s="49"/>
      <c r="F368" s="50"/>
      <c r="G368" s="51"/>
      <c r="H368" s="75"/>
      <c r="I368" s="50"/>
    </row>
    <row r="369" spans="1:9">
      <c r="A369" s="48"/>
      <c r="B369" s="76"/>
      <c r="C369" s="2"/>
      <c r="D369" s="77"/>
      <c r="E369" s="49"/>
      <c r="F369" s="50"/>
      <c r="G369" s="51"/>
      <c r="H369" s="75"/>
      <c r="I369" s="50"/>
    </row>
    <row r="370" spans="1:9">
      <c r="A370" s="48"/>
      <c r="B370" s="76"/>
      <c r="C370" s="2"/>
      <c r="D370" s="77"/>
      <c r="E370" s="49"/>
      <c r="F370" s="50"/>
      <c r="G370" s="51"/>
      <c r="H370" s="75"/>
      <c r="I370" s="50"/>
    </row>
    <row r="371" spans="1:9">
      <c r="A371" s="48"/>
      <c r="B371" s="76"/>
      <c r="C371" s="2"/>
      <c r="D371" s="77"/>
      <c r="E371" s="49"/>
      <c r="F371" s="50"/>
      <c r="G371" s="51"/>
      <c r="H371" s="75"/>
      <c r="I371" s="50"/>
    </row>
    <row r="372" spans="1:9">
      <c r="A372" s="48"/>
      <c r="B372" s="76"/>
      <c r="C372" s="2"/>
      <c r="D372" s="77"/>
      <c r="E372" s="49"/>
      <c r="F372" s="50"/>
      <c r="G372" s="51"/>
      <c r="H372" s="75"/>
      <c r="I372" s="50"/>
    </row>
    <row r="373" spans="1:9">
      <c r="A373" s="48"/>
      <c r="B373" s="76"/>
      <c r="C373" s="2"/>
      <c r="D373" s="77"/>
      <c r="E373" s="49"/>
      <c r="F373" s="50"/>
      <c r="G373" s="51"/>
      <c r="H373" s="75"/>
      <c r="I373" s="50"/>
    </row>
    <row r="374" spans="1:9">
      <c r="A374" s="48"/>
      <c r="B374" s="76"/>
      <c r="C374" s="2"/>
      <c r="D374" s="77"/>
      <c r="E374" s="49"/>
      <c r="F374" s="50"/>
      <c r="G374" s="51"/>
      <c r="H374" s="75"/>
      <c r="I374" s="50"/>
    </row>
    <row r="375" spans="1:9">
      <c r="A375" s="48"/>
      <c r="B375" s="76"/>
      <c r="C375" s="2"/>
      <c r="D375" s="77"/>
      <c r="E375" s="49"/>
      <c r="F375" s="50"/>
      <c r="G375" s="51"/>
      <c r="H375" s="75"/>
      <c r="I375" s="50"/>
    </row>
    <row r="376" spans="1:9">
      <c r="A376" s="48"/>
      <c r="B376" s="76"/>
      <c r="C376" s="2"/>
      <c r="D376" s="77"/>
      <c r="E376" s="49"/>
      <c r="F376" s="50"/>
      <c r="G376" s="51"/>
      <c r="H376" s="75"/>
      <c r="I376" s="50"/>
    </row>
    <row r="377" spans="1:9">
      <c r="A377" s="48"/>
      <c r="B377" s="76"/>
      <c r="C377" s="2"/>
      <c r="D377" s="77"/>
      <c r="E377" s="49"/>
      <c r="F377" s="50"/>
      <c r="G377" s="51"/>
      <c r="H377" s="75"/>
      <c r="I377" s="50"/>
    </row>
    <row r="378" spans="1:9">
      <c r="A378" s="48"/>
      <c r="B378" s="76"/>
      <c r="C378" s="2"/>
      <c r="D378" s="77"/>
      <c r="E378" s="49"/>
      <c r="F378" s="50"/>
      <c r="G378" s="51"/>
      <c r="H378" s="75"/>
      <c r="I378" s="50"/>
    </row>
    <row r="379" spans="1:9">
      <c r="A379" s="48"/>
      <c r="B379" s="76"/>
      <c r="C379" s="2"/>
      <c r="D379" s="77"/>
      <c r="E379" s="49"/>
      <c r="F379" s="50"/>
      <c r="G379" s="51"/>
      <c r="H379" s="75"/>
      <c r="I379" s="50"/>
    </row>
    <row r="380" spans="1:9">
      <c r="A380" s="48"/>
      <c r="B380" s="76"/>
      <c r="C380" s="2"/>
      <c r="D380" s="77"/>
      <c r="E380" s="49"/>
      <c r="F380" s="50"/>
      <c r="G380" s="51"/>
      <c r="H380" s="75"/>
      <c r="I380" s="50"/>
    </row>
    <row r="381" spans="1:9">
      <c r="A381" s="48"/>
      <c r="B381" s="76"/>
      <c r="C381" s="2"/>
      <c r="D381" s="77"/>
      <c r="E381" s="49"/>
      <c r="F381" s="50"/>
      <c r="G381" s="51"/>
      <c r="H381" s="75"/>
      <c r="I381" s="50"/>
    </row>
    <row r="382" spans="1:9">
      <c r="A382" s="48"/>
      <c r="B382" s="76"/>
      <c r="C382" s="2"/>
      <c r="D382" s="77"/>
      <c r="E382" s="49"/>
      <c r="F382" s="50"/>
      <c r="G382" s="51"/>
      <c r="H382" s="75"/>
      <c r="I382" s="50"/>
    </row>
    <row r="383" spans="1:9">
      <c r="A383" s="48"/>
      <c r="B383" s="76"/>
      <c r="C383" s="2"/>
      <c r="D383" s="77"/>
      <c r="E383" s="49"/>
      <c r="F383" s="50"/>
      <c r="G383" s="51"/>
      <c r="H383" s="75"/>
      <c r="I383" s="50"/>
    </row>
    <row r="384" spans="1:9">
      <c r="A384" s="48"/>
      <c r="B384" s="76"/>
      <c r="C384" s="2"/>
      <c r="D384" s="77"/>
      <c r="E384" s="49"/>
      <c r="F384" s="50"/>
      <c r="G384" s="51"/>
      <c r="H384" s="75"/>
      <c r="I384" s="50"/>
    </row>
    <row r="385" spans="1:9">
      <c r="A385" s="48"/>
      <c r="B385" s="76"/>
      <c r="C385" s="2"/>
      <c r="D385" s="77"/>
      <c r="E385" s="49"/>
      <c r="F385" s="50"/>
      <c r="G385" s="51"/>
      <c r="H385" s="75"/>
      <c r="I385" s="50"/>
    </row>
    <row r="386" spans="1:9">
      <c r="A386" s="48"/>
      <c r="B386" s="76"/>
      <c r="C386" s="2"/>
      <c r="D386" s="77"/>
      <c r="E386" s="49"/>
      <c r="F386" s="50"/>
      <c r="G386" s="51"/>
      <c r="H386" s="75"/>
      <c r="I386" s="50"/>
    </row>
    <row r="387" spans="1:9">
      <c r="A387" s="48"/>
      <c r="B387" s="76"/>
      <c r="C387" s="2"/>
      <c r="D387" s="77"/>
      <c r="E387" s="49"/>
      <c r="F387" s="50"/>
      <c r="G387" s="51"/>
      <c r="H387" s="75"/>
      <c r="I387" s="50"/>
    </row>
    <row r="388" spans="1:9">
      <c r="A388" s="48"/>
      <c r="B388" s="76"/>
      <c r="C388" s="2"/>
      <c r="D388" s="77"/>
      <c r="E388" s="49"/>
      <c r="F388" s="50"/>
      <c r="G388" s="51"/>
      <c r="H388" s="75"/>
      <c r="I388" s="50"/>
    </row>
    <row r="389" spans="1:9">
      <c r="A389" s="48"/>
      <c r="B389" s="76"/>
      <c r="C389" s="2"/>
      <c r="D389" s="77"/>
      <c r="E389" s="49"/>
      <c r="F389" s="50"/>
      <c r="G389" s="51"/>
      <c r="H389" s="75"/>
      <c r="I389" s="50"/>
    </row>
    <row r="390" spans="1:9">
      <c r="A390" s="48"/>
      <c r="B390" s="76"/>
      <c r="C390" s="2"/>
      <c r="D390" s="77"/>
      <c r="E390" s="49"/>
      <c r="F390" s="50"/>
      <c r="G390" s="51"/>
      <c r="H390" s="75"/>
      <c r="I390" s="50"/>
    </row>
    <row r="391" spans="1:9">
      <c r="A391" s="48"/>
      <c r="B391" s="76"/>
      <c r="C391" s="2"/>
      <c r="D391" s="77"/>
      <c r="E391" s="49"/>
      <c r="F391" s="50"/>
      <c r="G391" s="51"/>
      <c r="H391" s="75"/>
      <c r="I391" s="50"/>
    </row>
    <row r="392" spans="1:9">
      <c r="A392" s="48"/>
      <c r="B392" s="76"/>
      <c r="C392" s="2"/>
      <c r="D392" s="77"/>
      <c r="E392" s="49"/>
      <c r="F392" s="50"/>
      <c r="G392" s="51"/>
      <c r="H392" s="75"/>
      <c r="I392" s="50"/>
    </row>
    <row r="393" spans="1:9">
      <c r="A393" s="48"/>
      <c r="B393" s="76"/>
      <c r="C393" s="2"/>
      <c r="D393" s="77"/>
      <c r="E393" s="49"/>
      <c r="F393" s="50"/>
      <c r="G393" s="51"/>
      <c r="H393" s="75"/>
      <c r="I393" s="50"/>
    </row>
    <row r="394" spans="1:9">
      <c r="A394" s="48"/>
      <c r="B394" s="76"/>
      <c r="C394" s="2"/>
      <c r="D394" s="77"/>
      <c r="E394" s="49"/>
      <c r="F394" s="50"/>
      <c r="G394" s="51"/>
      <c r="H394" s="75"/>
      <c r="I394" s="50"/>
    </row>
    <row r="395" spans="1:9">
      <c r="A395" s="48"/>
      <c r="B395" s="76"/>
      <c r="C395" s="2"/>
      <c r="D395" s="77"/>
      <c r="E395" s="49"/>
      <c r="F395" s="50"/>
      <c r="G395" s="51"/>
      <c r="H395" s="75"/>
      <c r="I395" s="50"/>
    </row>
    <row r="396" spans="1:9">
      <c r="A396" s="48"/>
      <c r="B396" s="76"/>
      <c r="C396" s="2"/>
      <c r="D396" s="77"/>
      <c r="E396" s="49"/>
      <c r="F396" s="50"/>
      <c r="G396" s="51"/>
      <c r="H396" s="75"/>
      <c r="I396" s="50"/>
    </row>
    <row r="397" spans="1:9">
      <c r="A397" s="48"/>
      <c r="B397" s="76"/>
      <c r="C397" s="2"/>
      <c r="D397" s="77"/>
      <c r="E397" s="49"/>
      <c r="F397" s="50"/>
      <c r="G397" s="51"/>
      <c r="H397" s="75"/>
      <c r="I397" s="50"/>
    </row>
    <row r="398" spans="1:9">
      <c r="A398" s="48"/>
      <c r="B398" s="76"/>
      <c r="C398" s="2"/>
      <c r="D398" s="77"/>
      <c r="E398" s="49"/>
      <c r="F398" s="50"/>
      <c r="G398" s="51"/>
      <c r="H398" s="75"/>
      <c r="I398" s="50"/>
    </row>
    <row r="399" spans="1:9">
      <c r="A399" s="48"/>
      <c r="B399" s="76"/>
      <c r="C399" s="2"/>
      <c r="D399" s="77"/>
      <c r="E399" s="49"/>
      <c r="F399" s="50"/>
      <c r="G399" s="51"/>
      <c r="H399" s="75"/>
      <c r="I399" s="50"/>
    </row>
    <row r="400" spans="1:9">
      <c r="A400" s="48"/>
      <c r="B400" s="76"/>
      <c r="C400" s="2"/>
      <c r="D400" s="77"/>
      <c r="E400" s="49"/>
      <c r="F400" s="50"/>
      <c r="G400" s="51"/>
      <c r="H400" s="75"/>
      <c r="I400" s="50"/>
    </row>
    <row r="401" spans="1:9">
      <c r="A401" s="48"/>
      <c r="B401" s="76"/>
      <c r="C401" s="2"/>
      <c r="D401" s="77"/>
      <c r="E401" s="49"/>
      <c r="F401" s="50"/>
      <c r="G401" s="51"/>
      <c r="H401" s="75"/>
      <c r="I401" s="50"/>
    </row>
    <row r="402" spans="1:9">
      <c r="A402" s="48"/>
      <c r="B402" s="76"/>
      <c r="C402" s="2"/>
      <c r="D402" s="77"/>
      <c r="E402" s="49"/>
      <c r="F402" s="50"/>
      <c r="G402" s="51"/>
      <c r="H402" s="75"/>
      <c r="I402" s="50"/>
    </row>
    <row r="403" spans="1:9">
      <c r="A403" s="48"/>
      <c r="B403" s="76"/>
      <c r="C403" s="2"/>
      <c r="D403" s="77"/>
      <c r="E403" s="49"/>
      <c r="F403" s="50"/>
      <c r="G403" s="51"/>
      <c r="H403" s="75"/>
      <c r="I403" s="50"/>
    </row>
    <row r="404" spans="1:9">
      <c r="A404" s="48"/>
      <c r="B404" s="76"/>
      <c r="C404" s="2"/>
      <c r="D404" s="77"/>
      <c r="E404" s="49"/>
      <c r="F404" s="50"/>
      <c r="G404" s="51"/>
      <c r="H404" s="75"/>
      <c r="I404" s="50"/>
    </row>
    <row r="405" spans="1:9">
      <c r="A405" s="48"/>
      <c r="B405" s="76"/>
      <c r="C405" s="2"/>
      <c r="D405" s="77"/>
      <c r="E405" s="49"/>
      <c r="F405" s="50"/>
      <c r="G405" s="51"/>
      <c r="H405" s="75"/>
      <c r="I405" s="50"/>
    </row>
    <row r="406" spans="1:9">
      <c r="A406" s="48"/>
      <c r="B406" s="76"/>
      <c r="C406" s="2"/>
      <c r="D406" s="77"/>
      <c r="E406" s="49"/>
      <c r="F406" s="50"/>
      <c r="G406" s="51"/>
      <c r="H406" s="75"/>
      <c r="I406" s="50"/>
    </row>
    <row r="407" spans="1:9">
      <c r="A407" s="48"/>
      <c r="B407" s="76"/>
      <c r="C407" s="2"/>
      <c r="D407" s="77"/>
      <c r="E407" s="49"/>
      <c r="F407" s="50"/>
      <c r="G407" s="51"/>
      <c r="H407" s="75"/>
      <c r="I407" s="50"/>
    </row>
    <row r="408" spans="1:9">
      <c r="A408" s="48"/>
      <c r="B408" s="76"/>
      <c r="C408" s="2"/>
      <c r="D408" s="77"/>
      <c r="E408" s="49"/>
      <c r="F408" s="50"/>
      <c r="G408" s="51"/>
      <c r="H408" s="75"/>
      <c r="I408" s="50"/>
    </row>
    <row r="409" spans="1:9">
      <c r="A409" s="48"/>
      <c r="B409" s="76"/>
      <c r="C409" s="2"/>
      <c r="D409" s="77"/>
      <c r="E409" s="49"/>
      <c r="F409" s="50"/>
      <c r="G409" s="51"/>
      <c r="H409" s="75"/>
      <c r="I409" s="50"/>
    </row>
    <row r="410" spans="1:9">
      <c r="A410" s="48"/>
      <c r="B410" s="76"/>
      <c r="C410" s="2"/>
      <c r="D410" s="77"/>
      <c r="E410" s="49"/>
      <c r="F410" s="50"/>
      <c r="G410" s="51"/>
      <c r="H410" s="75"/>
      <c r="I410" s="50"/>
    </row>
    <row r="411" spans="1:9">
      <c r="A411" s="48"/>
      <c r="B411" s="76"/>
      <c r="C411" s="2"/>
      <c r="D411" s="77"/>
      <c r="E411" s="49"/>
      <c r="F411" s="50"/>
      <c r="G411" s="51"/>
      <c r="H411" s="75"/>
      <c r="I411" s="50"/>
    </row>
    <row r="412" spans="1:9">
      <c r="A412" s="48"/>
      <c r="B412" s="76"/>
      <c r="C412" s="2"/>
      <c r="D412" s="77"/>
      <c r="E412" s="49"/>
      <c r="F412" s="50"/>
      <c r="G412" s="51"/>
      <c r="H412" s="75"/>
      <c r="I412" s="50"/>
    </row>
    <row r="413" spans="1:9">
      <c r="A413" s="48"/>
      <c r="B413" s="76"/>
      <c r="C413" s="2"/>
      <c r="D413" s="77"/>
      <c r="E413" s="49"/>
      <c r="F413" s="50"/>
      <c r="G413" s="51"/>
      <c r="H413" s="75"/>
      <c r="I413" s="50"/>
    </row>
    <row r="414" spans="1:9">
      <c r="A414" s="48"/>
      <c r="B414" s="76"/>
      <c r="C414" s="2"/>
      <c r="D414" s="77"/>
      <c r="E414" s="49"/>
      <c r="F414" s="50"/>
      <c r="G414" s="51"/>
      <c r="H414" s="75"/>
      <c r="I414" s="50"/>
    </row>
    <row r="415" spans="1:9">
      <c r="A415" s="48"/>
      <c r="B415" s="76"/>
      <c r="C415" s="2"/>
      <c r="D415" s="77"/>
      <c r="E415" s="49"/>
      <c r="F415" s="50"/>
      <c r="G415" s="51"/>
      <c r="H415" s="75"/>
      <c r="I415" s="50"/>
    </row>
    <row r="416" spans="1:9">
      <c r="A416" s="48"/>
      <c r="B416" s="76"/>
      <c r="C416" s="2"/>
      <c r="D416" s="77"/>
      <c r="E416" s="49"/>
      <c r="F416" s="50"/>
      <c r="G416" s="51"/>
      <c r="H416" s="75"/>
      <c r="I416" s="50"/>
    </row>
    <row r="417" spans="1:9">
      <c r="A417" s="48"/>
      <c r="B417" s="76"/>
      <c r="C417" s="2"/>
      <c r="D417" s="77"/>
      <c r="E417" s="49"/>
      <c r="F417" s="50"/>
      <c r="G417" s="51"/>
      <c r="H417" s="75"/>
      <c r="I417" s="50"/>
    </row>
    <row r="418" spans="1:9">
      <c r="A418" s="48"/>
      <c r="B418" s="76"/>
      <c r="C418" s="2"/>
      <c r="D418" s="77"/>
      <c r="E418" s="49"/>
      <c r="F418" s="50"/>
      <c r="G418" s="51"/>
      <c r="H418" s="75"/>
      <c r="I418" s="50"/>
    </row>
    <row r="419" spans="1:9">
      <c r="A419" s="48"/>
      <c r="B419" s="76"/>
      <c r="C419" s="2"/>
      <c r="D419" s="77"/>
      <c r="E419" s="49"/>
      <c r="F419" s="50"/>
      <c r="G419" s="51"/>
      <c r="H419" s="75"/>
      <c r="I419" s="50"/>
    </row>
    <row r="420" spans="1:9">
      <c r="A420" s="48"/>
      <c r="B420" s="76"/>
      <c r="C420" s="2"/>
      <c r="D420" s="77"/>
      <c r="E420" s="49"/>
      <c r="F420" s="50"/>
      <c r="G420" s="51"/>
      <c r="H420" s="75"/>
      <c r="I420" s="50"/>
    </row>
    <row r="421" spans="1:9">
      <c r="A421" s="48"/>
      <c r="B421" s="76"/>
      <c r="C421" s="2"/>
      <c r="D421" s="77"/>
      <c r="E421" s="49"/>
      <c r="F421" s="50"/>
      <c r="G421" s="51"/>
      <c r="H421" s="75"/>
      <c r="I421" s="50"/>
    </row>
    <row r="422" spans="1:9">
      <c r="A422" s="48"/>
      <c r="B422" s="76"/>
      <c r="C422" s="2"/>
      <c r="D422" s="77"/>
      <c r="E422" s="49"/>
      <c r="F422" s="50"/>
      <c r="G422" s="51"/>
      <c r="H422" s="75"/>
      <c r="I422" s="50"/>
    </row>
    <row r="423" spans="1:9">
      <c r="A423" s="48"/>
      <c r="B423" s="76"/>
      <c r="C423" s="2"/>
      <c r="D423" s="77"/>
      <c r="E423" s="49"/>
      <c r="F423" s="50"/>
      <c r="G423" s="51"/>
      <c r="H423" s="75"/>
      <c r="I423" s="50"/>
    </row>
    <row r="424" spans="1:9">
      <c r="A424" s="48"/>
      <c r="B424" s="76"/>
      <c r="C424" s="2"/>
      <c r="D424" s="77"/>
      <c r="E424" s="49"/>
      <c r="F424" s="50"/>
      <c r="G424" s="51"/>
      <c r="H424" s="75"/>
      <c r="I424" s="50"/>
    </row>
    <row r="425" spans="1:9">
      <c r="A425" s="48"/>
      <c r="B425" s="76"/>
      <c r="C425" s="2"/>
      <c r="D425" s="77"/>
      <c r="E425" s="49"/>
      <c r="F425" s="50"/>
      <c r="G425" s="51"/>
      <c r="H425" s="75"/>
      <c r="I425" s="50"/>
    </row>
    <row r="426" spans="1:9">
      <c r="A426" s="48"/>
      <c r="B426" s="76"/>
      <c r="C426" s="2"/>
      <c r="D426" s="77"/>
      <c r="E426" s="49"/>
      <c r="F426" s="50"/>
      <c r="G426" s="51"/>
      <c r="H426" s="75"/>
      <c r="I426" s="50"/>
    </row>
    <row r="427" spans="1:9">
      <c r="A427" s="48"/>
      <c r="B427" s="76"/>
      <c r="C427" s="2"/>
      <c r="D427" s="77"/>
      <c r="E427" s="49"/>
      <c r="F427" s="50"/>
      <c r="G427" s="51"/>
      <c r="H427" s="75"/>
      <c r="I427" s="50"/>
    </row>
    <row r="428" spans="1:9">
      <c r="A428" s="48"/>
      <c r="B428" s="76"/>
      <c r="C428" s="2"/>
      <c r="D428" s="77"/>
      <c r="E428" s="49"/>
      <c r="F428" s="50"/>
      <c r="G428" s="51"/>
      <c r="H428" s="75"/>
      <c r="I428" s="50"/>
    </row>
    <row r="429" spans="1:9">
      <c r="A429" s="48"/>
      <c r="B429" s="76"/>
      <c r="C429" s="2"/>
      <c r="D429" s="77"/>
      <c r="E429" s="49"/>
      <c r="F429" s="50"/>
      <c r="G429" s="51"/>
      <c r="H429" s="75"/>
      <c r="I429" s="50"/>
    </row>
    <row r="430" spans="1:9">
      <c r="A430" s="48"/>
      <c r="B430" s="76"/>
      <c r="C430" s="2"/>
      <c r="D430" s="77"/>
      <c r="E430" s="49"/>
      <c r="F430" s="50"/>
      <c r="G430" s="51"/>
      <c r="H430" s="75"/>
      <c r="I430" s="50"/>
    </row>
    <row r="431" spans="1:9">
      <c r="A431" s="48"/>
      <c r="B431" s="76"/>
      <c r="C431" s="2"/>
      <c r="D431" s="77"/>
      <c r="E431" s="49"/>
      <c r="F431" s="50"/>
      <c r="G431" s="51"/>
      <c r="H431" s="75"/>
      <c r="I431" s="50"/>
    </row>
    <row r="432" spans="1:9">
      <c r="A432" s="48"/>
      <c r="B432" s="76"/>
      <c r="C432" s="2"/>
      <c r="D432" s="77"/>
      <c r="E432" s="49"/>
      <c r="F432" s="50"/>
      <c r="G432" s="51"/>
      <c r="H432" s="75"/>
      <c r="I432" s="50"/>
    </row>
    <row r="433" spans="1:9">
      <c r="A433" s="48"/>
      <c r="B433" s="76"/>
      <c r="C433" s="2"/>
      <c r="D433" s="77"/>
      <c r="E433" s="49"/>
      <c r="F433" s="50"/>
      <c r="G433" s="51"/>
      <c r="H433" s="75"/>
      <c r="I433" s="50"/>
    </row>
    <row r="434" spans="1:9">
      <c r="A434" s="48"/>
      <c r="B434" s="76"/>
      <c r="C434" s="2"/>
      <c r="D434" s="77"/>
      <c r="E434" s="49"/>
      <c r="F434" s="50"/>
      <c r="G434" s="51"/>
      <c r="H434" s="75"/>
      <c r="I434" s="50"/>
    </row>
    <row r="435" spans="1:9">
      <c r="A435" s="48"/>
      <c r="B435" s="76"/>
      <c r="C435" s="2"/>
      <c r="D435" s="77"/>
      <c r="E435" s="49"/>
      <c r="F435" s="50"/>
      <c r="G435" s="51"/>
      <c r="H435" s="75"/>
      <c r="I435" s="50"/>
    </row>
    <row r="436" spans="1:9">
      <c r="A436" s="48"/>
      <c r="B436" s="76"/>
      <c r="C436" s="2"/>
      <c r="D436" s="77"/>
      <c r="E436" s="49"/>
      <c r="F436" s="50"/>
      <c r="G436" s="51"/>
      <c r="H436" s="75"/>
      <c r="I436" s="50"/>
    </row>
  </sheetData>
  <mergeCells count="249">
    <mergeCell ref="DU26:DX26"/>
    <mergeCell ref="DY26:EB26"/>
    <mergeCell ref="EC26:EF26"/>
    <mergeCell ref="EG26:EJ26"/>
    <mergeCell ref="EK26:EN26"/>
    <mergeCell ref="CK26:CN26"/>
    <mergeCell ref="CO26:CR26"/>
    <mergeCell ref="CS26:CV26"/>
    <mergeCell ref="CW26:CZ26"/>
    <mergeCell ref="DA26:DD26"/>
    <mergeCell ref="DE26:DH26"/>
    <mergeCell ref="DI26:DL26"/>
    <mergeCell ref="DM26:DP26"/>
    <mergeCell ref="DQ26:DT26"/>
    <mergeCell ref="BU26:BX26"/>
    <mergeCell ref="BY26:CB26"/>
    <mergeCell ref="CC26:CF26"/>
    <mergeCell ref="CG26:CJ26"/>
    <mergeCell ref="AW26:AZ26"/>
    <mergeCell ref="BA26:BD26"/>
    <mergeCell ref="BE26:BH26"/>
    <mergeCell ref="BI26:BL26"/>
    <mergeCell ref="BM26:BP26"/>
    <mergeCell ref="BQ26:BT26"/>
    <mergeCell ref="CC24:CF24"/>
    <mergeCell ref="CG24:CJ24"/>
    <mergeCell ref="E26:H26"/>
    <mergeCell ref="I26:L26"/>
    <mergeCell ref="M26:P26"/>
    <mergeCell ref="Q26:T26"/>
    <mergeCell ref="U26:X26"/>
    <mergeCell ref="Y26:AB26"/>
    <mergeCell ref="AC26:AF26"/>
    <mergeCell ref="AG26:AJ26"/>
    <mergeCell ref="BE24:BH24"/>
    <mergeCell ref="BI24:BL24"/>
    <mergeCell ref="BM24:BP24"/>
    <mergeCell ref="BQ24:BT24"/>
    <mergeCell ref="BU24:BX24"/>
    <mergeCell ref="BY24:CB24"/>
    <mergeCell ref="AG24:AJ24"/>
    <mergeCell ref="AK24:AN24"/>
    <mergeCell ref="AO24:AR24"/>
    <mergeCell ref="AS24:AV24"/>
    <mergeCell ref="AW24:AZ24"/>
    <mergeCell ref="BA24:BD24"/>
    <mergeCell ref="AK26:AN26"/>
    <mergeCell ref="AO26:AR26"/>
    <mergeCell ref="E24:H24"/>
    <mergeCell ref="I24:L24"/>
    <mergeCell ref="M24:P24"/>
    <mergeCell ref="Q24:T24"/>
    <mergeCell ref="U24:X24"/>
    <mergeCell ref="Y24:AB24"/>
    <mergeCell ref="AC24:AF24"/>
    <mergeCell ref="BA23:BD23"/>
    <mergeCell ref="BE23:BH23"/>
    <mergeCell ref="AC23:AF23"/>
    <mergeCell ref="AG23:AJ23"/>
    <mergeCell ref="AK23:AN23"/>
    <mergeCell ref="AO23:AR23"/>
    <mergeCell ref="AS23:AV23"/>
    <mergeCell ref="AW23:AZ23"/>
    <mergeCell ref="E23:H23"/>
    <mergeCell ref="I23:L23"/>
    <mergeCell ref="Y23:AB23"/>
    <mergeCell ref="BM11:BP11"/>
    <mergeCell ref="BQ11:BT11"/>
    <mergeCell ref="BU11:BX11"/>
    <mergeCell ref="BY11:CB11"/>
    <mergeCell ref="CC11:CF11"/>
    <mergeCell ref="BY23:CB23"/>
    <mergeCell ref="CC23:CF23"/>
    <mergeCell ref="CG23:CJ23"/>
    <mergeCell ref="BI23:BL23"/>
    <mergeCell ref="BM23:BP23"/>
    <mergeCell ref="BQ23:BT23"/>
    <mergeCell ref="BU23:BX23"/>
    <mergeCell ref="CG11:CJ11"/>
    <mergeCell ref="AO11:AR11"/>
    <mergeCell ref="AS11:AV11"/>
    <mergeCell ref="AW11:AZ11"/>
    <mergeCell ref="BA11:BD11"/>
    <mergeCell ref="BE11:BH11"/>
    <mergeCell ref="BI11:BL11"/>
    <mergeCell ref="Q11:T11"/>
    <mergeCell ref="U11:X11"/>
    <mergeCell ref="Y11:AB11"/>
    <mergeCell ref="AC11:AF11"/>
    <mergeCell ref="AG11:AJ11"/>
    <mergeCell ref="AK11:AN11"/>
    <mergeCell ref="AS26:AV26"/>
    <mergeCell ref="G3:G4"/>
    <mergeCell ref="H3:H4"/>
    <mergeCell ref="A3:A4"/>
    <mergeCell ref="B3:B4"/>
    <mergeCell ref="C3:C4"/>
    <mergeCell ref="D3:D4"/>
    <mergeCell ref="E3:E4"/>
    <mergeCell ref="F3:F4"/>
    <mergeCell ref="G5:G6"/>
    <mergeCell ref="H5:H6"/>
    <mergeCell ref="A8:D8"/>
    <mergeCell ref="E11:H11"/>
    <mergeCell ref="I11:L11"/>
    <mergeCell ref="M11:P11"/>
    <mergeCell ref="A5:A6"/>
    <mergeCell ref="B5:B6"/>
    <mergeCell ref="C5:C6"/>
    <mergeCell ref="D5:D6"/>
    <mergeCell ref="E5:E6"/>
    <mergeCell ref="F5:F6"/>
    <mergeCell ref="M23:P23"/>
    <mergeCell ref="Q23:T23"/>
    <mergeCell ref="U23:X23"/>
    <mergeCell ref="CO1:CO2"/>
    <mergeCell ref="CP1:CP2"/>
    <mergeCell ref="CI1:CI2"/>
    <mergeCell ref="CJ1:CJ2"/>
    <mergeCell ref="CK1:CK2"/>
    <mergeCell ref="CL1:CL2"/>
    <mergeCell ref="CM1:CM2"/>
    <mergeCell ref="CN1:CN2"/>
    <mergeCell ref="CC1:CC2"/>
    <mergeCell ref="CD1:CD2"/>
    <mergeCell ref="CE1:CE2"/>
    <mergeCell ref="CF1:CF2"/>
    <mergeCell ref="CG1:CG2"/>
    <mergeCell ref="CH1:CH2"/>
    <mergeCell ref="BW1:BW2"/>
    <mergeCell ref="BX1:BX2"/>
    <mergeCell ref="BY1:BY2"/>
    <mergeCell ref="BZ1:BZ2"/>
    <mergeCell ref="CA1:CA2"/>
    <mergeCell ref="CB1:CB2"/>
    <mergeCell ref="BQ1:BQ2"/>
    <mergeCell ref="BR1:BR2"/>
    <mergeCell ref="BS1:BS2"/>
    <mergeCell ref="BT1:BT2"/>
    <mergeCell ref="BU1:BU2"/>
    <mergeCell ref="BV1:BV2"/>
    <mergeCell ref="BK1:BK2"/>
    <mergeCell ref="BL1:BL2"/>
    <mergeCell ref="BM1:BM2"/>
    <mergeCell ref="BN1:BN2"/>
    <mergeCell ref="BO1:BO2"/>
    <mergeCell ref="BP1:BP2"/>
    <mergeCell ref="BE1:BE2"/>
    <mergeCell ref="BF1:BF2"/>
    <mergeCell ref="BG1:BG2"/>
    <mergeCell ref="BH1:BH2"/>
    <mergeCell ref="BI1:BI2"/>
    <mergeCell ref="BJ1:BJ2"/>
    <mergeCell ref="AY1:AY2"/>
    <mergeCell ref="AZ1:AZ2"/>
    <mergeCell ref="BA1:BA2"/>
    <mergeCell ref="BB1:BB2"/>
    <mergeCell ref="BC1:BC2"/>
    <mergeCell ref="BD1:BD2"/>
    <mergeCell ref="AS1:AS2"/>
    <mergeCell ref="AT1:AT2"/>
    <mergeCell ref="AU1:AU2"/>
    <mergeCell ref="AV1:AV2"/>
    <mergeCell ref="AW1:AW2"/>
    <mergeCell ref="AX1:AX2"/>
    <mergeCell ref="AM1:AM2"/>
    <mergeCell ref="AN1:AN2"/>
    <mergeCell ref="AO1:AO2"/>
    <mergeCell ref="AP1:AP2"/>
    <mergeCell ref="AQ1:AQ2"/>
    <mergeCell ref="AR1:AR2"/>
    <mergeCell ref="AG1:AG2"/>
    <mergeCell ref="AH1:AH2"/>
    <mergeCell ref="AI1:AI2"/>
    <mergeCell ref="AJ1:AJ2"/>
    <mergeCell ref="AK1:AK2"/>
    <mergeCell ref="AL1:AL2"/>
    <mergeCell ref="AA1:AA2"/>
    <mergeCell ref="AB1:AB2"/>
    <mergeCell ref="AC1:AC2"/>
    <mergeCell ref="AD1:AD2"/>
    <mergeCell ref="AE1:AE2"/>
    <mergeCell ref="AF1:AF2"/>
    <mergeCell ref="U1:U2"/>
    <mergeCell ref="V1:V2"/>
    <mergeCell ref="W1:W2"/>
    <mergeCell ref="X1:X2"/>
    <mergeCell ref="Y1:Y2"/>
    <mergeCell ref="Z1:Z2"/>
    <mergeCell ref="R1:R2"/>
    <mergeCell ref="S1:S2"/>
    <mergeCell ref="T1:T2"/>
    <mergeCell ref="I1:I2"/>
    <mergeCell ref="J1:J2"/>
    <mergeCell ref="K1:K2"/>
    <mergeCell ref="L1:L2"/>
    <mergeCell ref="M1:M2"/>
    <mergeCell ref="N1:N2"/>
    <mergeCell ref="A1:A2"/>
    <mergeCell ref="B1:B2"/>
    <mergeCell ref="C1:C2"/>
    <mergeCell ref="D1:D2"/>
    <mergeCell ref="E1:E2"/>
    <mergeCell ref="H1:H2"/>
    <mergeCell ref="O1:O2"/>
    <mergeCell ref="P1:P2"/>
    <mergeCell ref="Q1:Q2"/>
    <mergeCell ref="E27:H27"/>
    <mergeCell ref="I27:L27"/>
    <mergeCell ref="M27:P27"/>
    <mergeCell ref="Q27:T27"/>
    <mergeCell ref="U27:X27"/>
    <mergeCell ref="Y27:AB27"/>
    <mergeCell ref="AC27:AF27"/>
    <mergeCell ref="AG27:AJ27"/>
    <mergeCell ref="AK27:AN27"/>
    <mergeCell ref="AO27:AR27"/>
    <mergeCell ref="AS27:AV27"/>
    <mergeCell ref="AW27:AZ27"/>
    <mergeCell ref="BA27:BD27"/>
    <mergeCell ref="BE27:BH27"/>
    <mergeCell ref="BI27:BL27"/>
    <mergeCell ref="BM27:BP27"/>
    <mergeCell ref="BQ27:BT27"/>
    <mergeCell ref="BU27:BX27"/>
    <mergeCell ref="BY27:CB27"/>
    <mergeCell ref="CC27:CF27"/>
    <mergeCell ref="CG27:CJ27"/>
    <mergeCell ref="E28:H28"/>
    <mergeCell ref="I28:L28"/>
    <mergeCell ref="M28:P28"/>
    <mergeCell ref="Q28:T28"/>
    <mergeCell ref="U28:X28"/>
    <mergeCell ref="Y28:AB28"/>
    <mergeCell ref="AC28:AF28"/>
    <mergeCell ref="AG28:AJ28"/>
    <mergeCell ref="AK28:AN28"/>
    <mergeCell ref="AO28:AR28"/>
    <mergeCell ref="AS28:AV28"/>
    <mergeCell ref="AW28:AZ28"/>
    <mergeCell ref="BA28:BD28"/>
    <mergeCell ref="BE28:BH28"/>
    <mergeCell ref="BI28:BL28"/>
    <mergeCell ref="BM28:BP28"/>
    <mergeCell ref="BQ28:BT28"/>
    <mergeCell ref="BU28:BX28"/>
    <mergeCell ref="BY28:CB28"/>
    <mergeCell ref="CC28:CF28"/>
    <mergeCell ref="CG28:CJ28"/>
  </mergeCells>
  <phoneticPr fontId="2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D513"/>
  <sheetViews>
    <sheetView zoomScale="85" zoomScaleNormal="85" workbookViewId="0">
      <pane xSplit="5" ySplit="21" topLeftCell="CE82" activePane="bottomRight" state="frozen"/>
      <selection pane="topRight" activeCell="F1" sqref="F1"/>
      <selection pane="bottomLeft" activeCell="A22" sqref="A22"/>
      <selection pane="bottomRight" activeCell="M96" sqref="M96:P96"/>
    </sheetView>
  </sheetViews>
  <sheetFormatPr defaultColWidth="9" defaultRowHeight="12" outlineLevelCol="1"/>
  <cols>
    <col min="1" max="1" width="5" style="57" customWidth="1"/>
    <col min="2" max="2" width="15" style="169" customWidth="1"/>
    <col min="3" max="3" width="30.5" style="29" customWidth="1"/>
    <col min="4" max="4" width="17" style="145" customWidth="1"/>
    <col min="5" max="5" width="10.5" style="146" customWidth="1" outlineLevel="1"/>
    <col min="6" max="6" width="9.75" style="147" customWidth="1"/>
    <col min="7" max="7" width="10.375" style="148" customWidth="1"/>
    <col min="8" max="8" width="13.375" style="235" customWidth="1"/>
    <col min="9" max="9" width="12.375" style="147" customWidth="1"/>
    <col min="10" max="10" width="10.625" style="70" customWidth="1"/>
    <col min="11" max="88" width="10.625" style="58" customWidth="1"/>
    <col min="89" max="89" width="13.5" style="58" customWidth="1"/>
    <col min="90" max="93" width="10.625" style="58" customWidth="1"/>
    <col min="94" max="94" width="13.75" style="58" customWidth="1"/>
    <col min="95" max="144" width="10.625" style="58" customWidth="1"/>
    <col min="145" max="145" width="13" style="58" customWidth="1"/>
    <col min="146" max="149" width="10.625" style="58" customWidth="1"/>
    <col min="150" max="150" width="14.375" style="58" customWidth="1"/>
    <col min="151" max="151" width="24" style="58" customWidth="1"/>
    <col min="152" max="152" width="9" style="58" customWidth="1"/>
    <col min="153" max="153" width="11.75" style="58" customWidth="1"/>
    <col min="154" max="154" width="8.875" style="58" customWidth="1"/>
    <col min="155" max="155" width="12.375" style="58" customWidth="1"/>
    <col min="156" max="156" width="13" style="58" customWidth="1"/>
    <col min="157" max="157" width="12.375" style="58" customWidth="1"/>
    <col min="158" max="158" width="12.25" style="58" customWidth="1"/>
    <col min="159" max="159" width="12.125" style="58" customWidth="1"/>
    <col min="160" max="160" width="11.625" style="58" customWidth="1"/>
    <col min="161" max="161" width="12" style="58" customWidth="1"/>
    <col min="162" max="162" width="13" style="58" customWidth="1"/>
    <col min="163" max="163" width="11.625" style="58" customWidth="1"/>
    <col min="164" max="165" width="12" style="58" customWidth="1"/>
    <col min="166" max="168" width="11.625" style="58" customWidth="1"/>
    <col min="169" max="169" width="11.125" style="58" customWidth="1"/>
    <col min="170" max="170" width="12" style="58" customWidth="1"/>
    <col min="171" max="171" width="13" style="58" customWidth="1"/>
    <col min="172" max="172" width="13.625" style="58" customWidth="1"/>
    <col min="173" max="173" width="11.875" style="58" customWidth="1"/>
    <col min="174" max="175" width="11.625" style="58" customWidth="1"/>
    <col min="176" max="176" width="12" style="58" customWidth="1"/>
    <col min="177" max="177" width="12.75" style="58" customWidth="1"/>
    <col min="178" max="178" width="11.625" style="58" customWidth="1"/>
    <col min="179" max="179" width="12.125" style="58" customWidth="1"/>
    <col min="180" max="181" width="11.625" style="58" customWidth="1"/>
    <col min="182" max="182" width="12.5" style="58" customWidth="1"/>
    <col min="183" max="357" width="11.625" style="58" customWidth="1"/>
    <col min="358" max="358" width="17.75" style="58" customWidth="1"/>
    <col min="359" max="360" width="9" style="58" customWidth="1"/>
    <col min="361" max="361" width="16.25" style="58" customWidth="1"/>
    <col min="362" max="362" width="24" style="58" customWidth="1"/>
    <col min="363" max="363" width="9" style="58"/>
    <col min="364" max="364" width="11.75" style="58" customWidth="1"/>
    <col min="365" max="365" width="8.875" style="58" customWidth="1"/>
    <col min="366" max="366" width="17.375" style="58" customWidth="1"/>
    <col min="367" max="367" width="13.25" style="58" customWidth="1"/>
    <col min="368" max="368" width="25.75" style="58" customWidth="1"/>
    <col min="369" max="369" width="11.125" style="58" customWidth="1"/>
    <col min="370" max="370" width="10.75" style="58" customWidth="1"/>
    <col min="371" max="371" width="9" style="58" customWidth="1"/>
    <col min="372" max="372" width="9.75" style="58" customWidth="1"/>
    <col min="373" max="373" width="7.5" style="58" customWidth="1"/>
    <col min="374" max="374" width="13.25" style="58" customWidth="1"/>
    <col min="375" max="375" width="11.75" style="58" customWidth="1"/>
    <col min="376" max="376" width="8.875" style="58" customWidth="1"/>
    <col min="377" max="377" width="9.625" style="58" customWidth="1"/>
    <col min="378" max="379" width="11.875" style="58" customWidth="1"/>
    <col min="380" max="380" width="11.5" style="58" customWidth="1"/>
    <col min="381" max="396" width="12.25" style="58" customWidth="1"/>
    <col min="397" max="397" width="13" style="58" customWidth="1"/>
    <col min="398" max="402" width="12.375" style="58" customWidth="1"/>
    <col min="403" max="403" width="13" style="58" customWidth="1"/>
    <col min="404" max="405" width="12.375" style="58" customWidth="1"/>
    <col min="406" max="406" width="13" style="58" customWidth="1"/>
    <col min="407" max="407" width="13.125" style="58" customWidth="1"/>
    <col min="408" max="408" width="13" style="58" customWidth="1"/>
    <col min="409" max="409" width="13.125" style="58" customWidth="1"/>
    <col min="410" max="411" width="12.375" style="58" customWidth="1"/>
    <col min="412" max="412" width="13" style="58" customWidth="1"/>
    <col min="413" max="413" width="12.375" style="58" customWidth="1"/>
    <col min="414" max="414" width="12.25" style="58" customWidth="1"/>
    <col min="415" max="415" width="12.125" style="58" customWidth="1"/>
    <col min="416" max="416" width="11.625" style="58" customWidth="1"/>
    <col min="417" max="417" width="12" style="58" customWidth="1"/>
    <col min="418" max="418" width="13" style="58" customWidth="1"/>
    <col min="419" max="419" width="11.625" style="58" customWidth="1"/>
    <col min="420" max="421" width="12" style="58" customWidth="1"/>
    <col min="422" max="424" width="11.625" style="58" customWidth="1"/>
    <col min="425" max="425" width="11.125" style="58" customWidth="1"/>
    <col min="426" max="426" width="12" style="58" customWidth="1"/>
    <col min="427" max="427" width="13" style="58" customWidth="1"/>
    <col min="428" max="428" width="13.625" style="58" customWidth="1"/>
    <col min="429" max="429" width="11.875" style="58" customWidth="1"/>
    <col min="430" max="431" width="11.625" style="58" customWidth="1"/>
    <col min="432" max="432" width="12" style="58" customWidth="1"/>
    <col min="433" max="433" width="12.75" style="58" customWidth="1"/>
    <col min="434" max="434" width="11.625" style="58" customWidth="1"/>
    <col min="435" max="435" width="12.125" style="58" customWidth="1"/>
    <col min="436" max="437" width="11.625" style="58" customWidth="1"/>
    <col min="438" max="438" width="12.5" style="58" customWidth="1"/>
    <col min="439" max="613" width="11.625" style="58" customWidth="1"/>
    <col min="614" max="614" width="17.75" style="58" customWidth="1"/>
    <col min="615" max="616" width="9" style="58" customWidth="1"/>
    <col min="617" max="617" width="16.25" style="58" customWidth="1"/>
    <col min="618" max="618" width="24" style="58" customWidth="1"/>
    <col min="619" max="619" width="9" style="58"/>
    <col min="620" max="620" width="11.75" style="58" customWidth="1"/>
    <col min="621" max="621" width="8.875" style="58" customWidth="1"/>
    <col min="622" max="622" width="17.375" style="58" customWidth="1"/>
    <col min="623" max="623" width="13.25" style="58" customWidth="1"/>
    <col min="624" max="624" width="25.75" style="58" customWidth="1"/>
    <col min="625" max="625" width="11.125" style="58" customWidth="1"/>
    <col min="626" max="626" width="10.75" style="58" customWidth="1"/>
    <col min="627" max="627" width="9" style="58" customWidth="1"/>
    <col min="628" max="628" width="9.75" style="58" customWidth="1"/>
    <col min="629" max="629" width="7.5" style="58" customWidth="1"/>
    <col min="630" max="630" width="13.25" style="58" customWidth="1"/>
    <col min="631" max="631" width="11.75" style="58" customWidth="1"/>
    <col min="632" max="632" width="8.875" style="58" customWidth="1"/>
    <col min="633" max="633" width="9.625" style="58" customWidth="1"/>
    <col min="634" max="635" width="11.875" style="58" customWidth="1"/>
    <col min="636" max="636" width="11.5" style="58" customWidth="1"/>
    <col min="637" max="652" width="12.25" style="58" customWidth="1"/>
    <col min="653" max="653" width="13" style="58" customWidth="1"/>
    <col min="654" max="658" width="12.375" style="58" customWidth="1"/>
    <col min="659" max="659" width="13" style="58" customWidth="1"/>
    <col min="660" max="661" width="12.375" style="58" customWidth="1"/>
    <col min="662" max="662" width="13" style="58" customWidth="1"/>
    <col min="663" max="663" width="13.125" style="58" customWidth="1"/>
    <col min="664" max="664" width="13" style="58" customWidth="1"/>
    <col min="665" max="665" width="13.125" style="58" customWidth="1"/>
    <col min="666" max="667" width="12.375" style="58" customWidth="1"/>
    <col min="668" max="668" width="13" style="58" customWidth="1"/>
    <col min="669" max="669" width="12.375" style="58" customWidth="1"/>
    <col min="670" max="670" width="12.25" style="58" customWidth="1"/>
    <col min="671" max="671" width="12.125" style="58" customWidth="1"/>
    <col min="672" max="672" width="11.625" style="58" customWidth="1"/>
    <col min="673" max="673" width="12" style="58" customWidth="1"/>
    <col min="674" max="674" width="13" style="58" customWidth="1"/>
    <col min="675" max="675" width="11.625" style="58" customWidth="1"/>
    <col min="676" max="677" width="12" style="58" customWidth="1"/>
    <col min="678" max="680" width="11.625" style="58" customWidth="1"/>
    <col min="681" max="681" width="11.125" style="58" customWidth="1"/>
    <col min="682" max="682" width="12" style="58" customWidth="1"/>
    <col min="683" max="683" width="13" style="58" customWidth="1"/>
    <col min="684" max="684" width="13.625" style="58" customWidth="1"/>
    <col min="685" max="685" width="11.875" style="58" customWidth="1"/>
    <col min="686" max="687" width="11.625" style="58" customWidth="1"/>
    <col min="688" max="688" width="12" style="58" customWidth="1"/>
    <col min="689" max="689" width="12.75" style="58" customWidth="1"/>
    <col min="690" max="690" width="11.625" style="58" customWidth="1"/>
    <col min="691" max="691" width="12.125" style="58" customWidth="1"/>
    <col min="692" max="693" width="11.625" style="58" customWidth="1"/>
    <col min="694" max="694" width="12.5" style="58" customWidth="1"/>
    <col min="695" max="869" width="11.625" style="58" customWidth="1"/>
    <col min="870" max="870" width="17.75" style="58" customWidth="1"/>
    <col min="871" max="872" width="9" style="58" customWidth="1"/>
    <col min="873" max="873" width="16.25" style="58" customWidth="1"/>
    <col min="874" max="874" width="24" style="58" customWidth="1"/>
    <col min="875" max="875" width="9" style="58"/>
    <col min="876" max="876" width="11.75" style="58" customWidth="1"/>
    <col min="877" max="877" width="8.875" style="58" customWidth="1"/>
    <col min="878" max="878" width="17.375" style="58" customWidth="1"/>
    <col min="879" max="879" width="13.25" style="58" customWidth="1"/>
    <col min="880" max="880" width="25.75" style="58" customWidth="1"/>
    <col min="881" max="881" width="11.125" style="58" customWidth="1"/>
    <col min="882" max="882" width="10.75" style="58" customWidth="1"/>
    <col min="883" max="883" width="9" style="58" customWidth="1"/>
    <col min="884" max="884" width="9.75" style="58" customWidth="1"/>
    <col min="885" max="885" width="7.5" style="58" customWidth="1"/>
    <col min="886" max="886" width="13.25" style="58" customWidth="1"/>
    <col min="887" max="887" width="11.75" style="58" customWidth="1"/>
    <col min="888" max="888" width="8.875" style="58" customWidth="1"/>
    <col min="889" max="889" width="9.625" style="58" customWidth="1"/>
    <col min="890" max="891" width="11.875" style="58" customWidth="1"/>
    <col min="892" max="892" width="11.5" style="58" customWidth="1"/>
    <col min="893" max="908" width="12.25" style="58" customWidth="1"/>
    <col min="909" max="909" width="13" style="58" customWidth="1"/>
    <col min="910" max="914" width="12.375" style="58" customWidth="1"/>
    <col min="915" max="915" width="13" style="58" customWidth="1"/>
    <col min="916" max="917" width="12.375" style="58" customWidth="1"/>
    <col min="918" max="918" width="13" style="58" customWidth="1"/>
    <col min="919" max="919" width="13.125" style="58" customWidth="1"/>
    <col min="920" max="920" width="13" style="58" customWidth="1"/>
    <col min="921" max="921" width="13.125" style="58" customWidth="1"/>
    <col min="922" max="923" width="12.375" style="58" customWidth="1"/>
    <col min="924" max="924" width="13" style="58" customWidth="1"/>
    <col min="925" max="925" width="12.375" style="58" customWidth="1"/>
    <col min="926" max="926" width="12.25" style="58" customWidth="1"/>
    <col min="927" max="927" width="12.125" style="58" customWidth="1"/>
    <col min="928" max="928" width="11.625" style="58" customWidth="1"/>
    <col min="929" max="929" width="12" style="58" customWidth="1"/>
    <col min="930" max="930" width="13" style="58" customWidth="1"/>
    <col min="931" max="931" width="11.625" style="58" customWidth="1"/>
    <col min="932" max="933" width="12" style="58" customWidth="1"/>
    <col min="934" max="936" width="11.625" style="58" customWidth="1"/>
    <col min="937" max="937" width="11.125" style="58" customWidth="1"/>
    <col min="938" max="938" width="12" style="58" customWidth="1"/>
    <col min="939" max="939" width="13" style="58" customWidth="1"/>
    <col min="940" max="940" width="13.625" style="58" customWidth="1"/>
    <col min="941" max="941" width="11.875" style="58" customWidth="1"/>
    <col min="942" max="943" width="11.625" style="58" customWidth="1"/>
    <col min="944" max="944" width="12" style="58" customWidth="1"/>
    <col min="945" max="945" width="12.75" style="58" customWidth="1"/>
    <col min="946" max="946" width="11.625" style="58" customWidth="1"/>
    <col min="947" max="947" width="12.125" style="58" customWidth="1"/>
    <col min="948" max="949" width="11.625" style="58" customWidth="1"/>
    <col min="950" max="950" width="12.5" style="58" customWidth="1"/>
    <col min="951" max="1125" width="11.625" style="58" customWidth="1"/>
    <col min="1126" max="1126" width="17.75" style="58" customWidth="1"/>
    <col min="1127" max="1128" width="9" style="58" customWidth="1"/>
    <col min="1129" max="1129" width="16.25" style="58" customWidth="1"/>
    <col min="1130" max="1130" width="24" style="58" customWidth="1"/>
    <col min="1131" max="1131" width="9" style="58"/>
    <col min="1132" max="1132" width="11.75" style="58" customWidth="1"/>
    <col min="1133" max="1133" width="8.875" style="58" customWidth="1"/>
    <col min="1134" max="1134" width="17.375" style="58" customWidth="1"/>
    <col min="1135" max="1135" width="13.25" style="58" customWidth="1"/>
    <col min="1136" max="1136" width="25.75" style="58" customWidth="1"/>
    <col min="1137" max="1137" width="11.125" style="58" customWidth="1"/>
    <col min="1138" max="1138" width="10.75" style="58" customWidth="1"/>
    <col min="1139" max="1139" width="9" style="58" customWidth="1"/>
    <col min="1140" max="1140" width="9.75" style="58" customWidth="1"/>
    <col min="1141" max="1141" width="7.5" style="58" customWidth="1"/>
    <col min="1142" max="1142" width="13.25" style="58" customWidth="1"/>
    <col min="1143" max="1143" width="11.75" style="58" customWidth="1"/>
    <col min="1144" max="1144" width="8.875" style="58" customWidth="1"/>
    <col min="1145" max="1145" width="9.625" style="58" customWidth="1"/>
    <col min="1146" max="1147" width="11.875" style="58" customWidth="1"/>
    <col min="1148" max="1148" width="11.5" style="58" customWidth="1"/>
    <col min="1149" max="1164" width="12.25" style="58" customWidth="1"/>
    <col min="1165" max="1165" width="13" style="58" customWidth="1"/>
    <col min="1166" max="1170" width="12.375" style="58" customWidth="1"/>
    <col min="1171" max="1171" width="13" style="58" customWidth="1"/>
    <col min="1172" max="1173" width="12.375" style="58" customWidth="1"/>
    <col min="1174" max="1174" width="13" style="58" customWidth="1"/>
    <col min="1175" max="1175" width="13.125" style="58" customWidth="1"/>
    <col min="1176" max="1176" width="13" style="58" customWidth="1"/>
    <col min="1177" max="1177" width="13.125" style="58" customWidth="1"/>
    <col min="1178" max="1179" width="12.375" style="58" customWidth="1"/>
    <col min="1180" max="1180" width="13" style="58" customWidth="1"/>
    <col min="1181" max="1181" width="12.375" style="58" customWidth="1"/>
    <col min="1182" max="1182" width="12.25" style="58" customWidth="1"/>
    <col min="1183" max="1183" width="12.125" style="58" customWidth="1"/>
    <col min="1184" max="1184" width="11.625" style="58" customWidth="1"/>
    <col min="1185" max="1185" width="12" style="58" customWidth="1"/>
    <col min="1186" max="1186" width="13" style="58" customWidth="1"/>
    <col min="1187" max="1187" width="11.625" style="58" customWidth="1"/>
    <col min="1188" max="1189" width="12" style="58" customWidth="1"/>
    <col min="1190" max="1192" width="11.625" style="58" customWidth="1"/>
    <col min="1193" max="1193" width="11.125" style="58" customWidth="1"/>
    <col min="1194" max="1194" width="12" style="58" customWidth="1"/>
    <col min="1195" max="1195" width="13" style="58" customWidth="1"/>
    <col min="1196" max="1196" width="13.625" style="58" customWidth="1"/>
    <col min="1197" max="1197" width="11.875" style="58" customWidth="1"/>
    <col min="1198" max="1199" width="11.625" style="58" customWidth="1"/>
    <col min="1200" max="1200" width="12" style="58" customWidth="1"/>
    <col min="1201" max="1201" width="12.75" style="58" customWidth="1"/>
    <col min="1202" max="1202" width="11.625" style="58" customWidth="1"/>
    <col min="1203" max="1203" width="12.125" style="58" customWidth="1"/>
    <col min="1204" max="1205" width="11.625" style="58" customWidth="1"/>
    <col min="1206" max="1206" width="12.5" style="58" customWidth="1"/>
    <col min="1207" max="1381" width="11.625" style="58" customWidth="1"/>
    <col min="1382" max="1382" width="17.75" style="58" customWidth="1"/>
    <col min="1383" max="1384" width="9" style="58" customWidth="1"/>
    <col min="1385" max="1385" width="16.25" style="58" customWidth="1"/>
    <col min="1386" max="1386" width="24" style="58" customWidth="1"/>
    <col min="1387" max="1387" width="9" style="58"/>
    <col min="1388" max="1388" width="11.75" style="58" customWidth="1"/>
    <col min="1389" max="1389" width="8.875" style="58" customWidth="1"/>
    <col min="1390" max="1390" width="17.375" style="58" customWidth="1"/>
    <col min="1391" max="1391" width="13.25" style="58" customWidth="1"/>
    <col min="1392" max="1392" width="25.75" style="58" customWidth="1"/>
    <col min="1393" max="1393" width="11.125" style="58" customWidth="1"/>
    <col min="1394" max="1394" width="10.75" style="58" customWidth="1"/>
    <col min="1395" max="1395" width="9" style="58" customWidth="1"/>
    <col min="1396" max="1396" width="9.75" style="58" customWidth="1"/>
    <col min="1397" max="1397" width="7.5" style="58" customWidth="1"/>
    <col min="1398" max="1398" width="13.25" style="58" customWidth="1"/>
    <col min="1399" max="1399" width="11.75" style="58" customWidth="1"/>
    <col min="1400" max="1400" width="8.875" style="58" customWidth="1"/>
    <col min="1401" max="1401" width="9.625" style="58" customWidth="1"/>
    <col min="1402" max="1403" width="11.875" style="58" customWidth="1"/>
    <col min="1404" max="1404" width="11.5" style="58" customWidth="1"/>
    <col min="1405" max="1420" width="12.25" style="58" customWidth="1"/>
    <col min="1421" max="1421" width="13" style="58" customWidth="1"/>
    <col min="1422" max="1426" width="12.375" style="58" customWidth="1"/>
    <col min="1427" max="1427" width="13" style="58" customWidth="1"/>
    <col min="1428" max="1429" width="12.375" style="58" customWidth="1"/>
    <col min="1430" max="1430" width="13" style="58" customWidth="1"/>
    <col min="1431" max="1431" width="13.125" style="58" customWidth="1"/>
    <col min="1432" max="1432" width="13" style="58" customWidth="1"/>
    <col min="1433" max="1433" width="13.125" style="58" customWidth="1"/>
    <col min="1434" max="1435" width="12.375" style="58" customWidth="1"/>
    <col min="1436" max="1436" width="13" style="58" customWidth="1"/>
    <col min="1437" max="1437" width="12.375" style="58" customWidth="1"/>
    <col min="1438" max="1438" width="12.25" style="58" customWidth="1"/>
    <col min="1439" max="1439" width="12.125" style="58" customWidth="1"/>
    <col min="1440" max="1440" width="11.625" style="58" customWidth="1"/>
    <col min="1441" max="1441" width="12" style="58" customWidth="1"/>
    <col min="1442" max="1442" width="13" style="58" customWidth="1"/>
    <col min="1443" max="1443" width="11.625" style="58" customWidth="1"/>
    <col min="1444" max="1445" width="12" style="58" customWidth="1"/>
    <col min="1446" max="1448" width="11.625" style="58" customWidth="1"/>
    <col min="1449" max="1449" width="11.125" style="58" customWidth="1"/>
    <col min="1450" max="1450" width="12" style="58" customWidth="1"/>
    <col min="1451" max="1451" width="13" style="58" customWidth="1"/>
    <col min="1452" max="1452" width="13.625" style="58" customWidth="1"/>
    <col min="1453" max="1453" width="11.875" style="58" customWidth="1"/>
    <col min="1454" max="1455" width="11.625" style="58" customWidth="1"/>
    <col min="1456" max="1456" width="12" style="58" customWidth="1"/>
    <col min="1457" max="1457" width="12.75" style="58" customWidth="1"/>
    <col min="1458" max="1458" width="11.625" style="58" customWidth="1"/>
    <col min="1459" max="1459" width="12.125" style="58" customWidth="1"/>
    <col min="1460" max="1461" width="11.625" style="58" customWidth="1"/>
    <col min="1462" max="1462" width="12.5" style="58" customWidth="1"/>
    <col min="1463" max="1637" width="11.625" style="58" customWidth="1"/>
    <col min="1638" max="1638" width="17.75" style="58" customWidth="1"/>
    <col min="1639" max="1640" width="9" style="58" customWidth="1"/>
    <col min="1641" max="1641" width="16.25" style="58" customWidth="1"/>
    <col min="1642" max="1642" width="24" style="58" customWidth="1"/>
    <col min="1643" max="1643" width="9" style="58"/>
    <col min="1644" max="1644" width="11.75" style="58" customWidth="1"/>
    <col min="1645" max="1645" width="8.875" style="58" customWidth="1"/>
    <col min="1646" max="1646" width="17.375" style="58" customWidth="1"/>
    <col min="1647" max="1647" width="13.25" style="58" customWidth="1"/>
    <col min="1648" max="1648" width="25.75" style="58" customWidth="1"/>
    <col min="1649" max="1649" width="11.125" style="58" customWidth="1"/>
    <col min="1650" max="1650" width="10.75" style="58" customWidth="1"/>
    <col min="1651" max="1651" width="9" style="58" customWidth="1"/>
    <col min="1652" max="1652" width="9.75" style="58" customWidth="1"/>
    <col min="1653" max="1653" width="7.5" style="58" customWidth="1"/>
    <col min="1654" max="1654" width="13.25" style="58" customWidth="1"/>
    <col min="1655" max="1655" width="11.75" style="58" customWidth="1"/>
    <col min="1656" max="1656" width="8.875" style="58" customWidth="1"/>
    <col min="1657" max="1657" width="9.625" style="58" customWidth="1"/>
    <col min="1658" max="1659" width="11.875" style="58" customWidth="1"/>
    <col min="1660" max="1660" width="11.5" style="58" customWidth="1"/>
    <col min="1661" max="1676" width="12.25" style="58" customWidth="1"/>
    <col min="1677" max="1677" width="13" style="58" customWidth="1"/>
    <col min="1678" max="1682" width="12.375" style="58" customWidth="1"/>
    <col min="1683" max="1683" width="13" style="58" customWidth="1"/>
    <col min="1684" max="1685" width="12.375" style="58" customWidth="1"/>
    <col min="1686" max="1686" width="13" style="58" customWidth="1"/>
    <col min="1687" max="1687" width="13.125" style="58" customWidth="1"/>
    <col min="1688" max="1688" width="13" style="58" customWidth="1"/>
    <col min="1689" max="1689" width="13.125" style="58" customWidth="1"/>
    <col min="1690" max="1691" width="12.375" style="58" customWidth="1"/>
    <col min="1692" max="1692" width="13" style="58" customWidth="1"/>
    <col min="1693" max="1693" width="12.375" style="58" customWidth="1"/>
    <col min="1694" max="1694" width="12.25" style="58" customWidth="1"/>
    <col min="1695" max="1695" width="12.125" style="58" customWidth="1"/>
    <col min="1696" max="1696" width="11.625" style="58" customWidth="1"/>
    <col min="1697" max="1697" width="12" style="58" customWidth="1"/>
    <col min="1698" max="1698" width="13" style="58" customWidth="1"/>
    <col min="1699" max="1699" width="11.625" style="58" customWidth="1"/>
    <col min="1700" max="1701" width="12" style="58" customWidth="1"/>
    <col min="1702" max="1704" width="11.625" style="58" customWidth="1"/>
    <col min="1705" max="1705" width="11.125" style="58" customWidth="1"/>
    <col min="1706" max="1706" width="12" style="58" customWidth="1"/>
    <col min="1707" max="1707" width="13" style="58" customWidth="1"/>
    <col min="1708" max="1708" width="13.625" style="58" customWidth="1"/>
    <col min="1709" max="1709" width="11.875" style="58" customWidth="1"/>
    <col min="1710" max="1711" width="11.625" style="58" customWidth="1"/>
    <col min="1712" max="1712" width="12" style="58" customWidth="1"/>
    <col min="1713" max="1713" width="12.75" style="58" customWidth="1"/>
    <col min="1714" max="1714" width="11.625" style="58" customWidth="1"/>
    <col min="1715" max="1715" width="12.125" style="58" customWidth="1"/>
    <col min="1716" max="1717" width="11.625" style="58" customWidth="1"/>
    <col min="1718" max="1718" width="12.5" style="58" customWidth="1"/>
    <col min="1719" max="1893" width="11.625" style="58" customWidth="1"/>
    <col min="1894" max="1894" width="17.75" style="58" customWidth="1"/>
    <col min="1895" max="1896" width="9" style="58" customWidth="1"/>
    <col min="1897" max="1897" width="16.25" style="58" customWidth="1"/>
    <col min="1898" max="1898" width="24" style="58" customWidth="1"/>
    <col min="1899" max="1899" width="9" style="58"/>
    <col min="1900" max="1900" width="11.75" style="58" customWidth="1"/>
    <col min="1901" max="1901" width="8.875" style="58" customWidth="1"/>
    <col min="1902" max="1902" width="17.375" style="58" customWidth="1"/>
    <col min="1903" max="1903" width="13.25" style="58" customWidth="1"/>
    <col min="1904" max="1904" width="25.75" style="58" customWidth="1"/>
    <col min="1905" max="1905" width="11.125" style="58" customWidth="1"/>
    <col min="1906" max="1906" width="10.75" style="58" customWidth="1"/>
    <col min="1907" max="1907" width="9" style="58" customWidth="1"/>
    <col min="1908" max="1908" width="9.75" style="58" customWidth="1"/>
    <col min="1909" max="1909" width="7.5" style="58" customWidth="1"/>
    <col min="1910" max="1910" width="13.25" style="58" customWidth="1"/>
    <col min="1911" max="1911" width="11.75" style="58" customWidth="1"/>
    <col min="1912" max="1912" width="8.875" style="58" customWidth="1"/>
    <col min="1913" max="1913" width="9.625" style="58" customWidth="1"/>
    <col min="1914" max="1915" width="11.875" style="58" customWidth="1"/>
    <col min="1916" max="1916" width="11.5" style="58" customWidth="1"/>
    <col min="1917" max="1932" width="12.25" style="58" customWidth="1"/>
    <col min="1933" max="1933" width="13" style="58" customWidth="1"/>
    <col min="1934" max="1938" width="12.375" style="58" customWidth="1"/>
    <col min="1939" max="1939" width="13" style="58" customWidth="1"/>
    <col min="1940" max="1941" width="12.375" style="58" customWidth="1"/>
    <col min="1942" max="1942" width="13" style="58" customWidth="1"/>
    <col min="1943" max="1943" width="13.125" style="58" customWidth="1"/>
    <col min="1944" max="1944" width="13" style="58" customWidth="1"/>
    <col min="1945" max="1945" width="13.125" style="58" customWidth="1"/>
    <col min="1946" max="1947" width="12.375" style="58" customWidth="1"/>
    <col min="1948" max="1948" width="13" style="58" customWidth="1"/>
    <col min="1949" max="1949" width="12.375" style="58" customWidth="1"/>
    <col min="1950" max="1950" width="12.25" style="58" customWidth="1"/>
    <col min="1951" max="1951" width="12.125" style="58" customWidth="1"/>
    <col min="1952" max="1952" width="11.625" style="58" customWidth="1"/>
    <col min="1953" max="1953" width="12" style="58" customWidth="1"/>
    <col min="1954" max="1954" width="13" style="58" customWidth="1"/>
    <col min="1955" max="1955" width="11.625" style="58" customWidth="1"/>
    <col min="1956" max="1957" width="12" style="58" customWidth="1"/>
    <col min="1958" max="1960" width="11.625" style="58" customWidth="1"/>
    <col min="1961" max="1961" width="11.125" style="58" customWidth="1"/>
    <col min="1962" max="1962" width="12" style="58" customWidth="1"/>
    <col min="1963" max="1963" width="13" style="58" customWidth="1"/>
    <col min="1964" max="1964" width="13.625" style="58" customWidth="1"/>
    <col min="1965" max="1965" width="11.875" style="58" customWidth="1"/>
    <col min="1966" max="1967" width="11.625" style="58" customWidth="1"/>
    <col min="1968" max="1968" width="12" style="58" customWidth="1"/>
    <col min="1969" max="1969" width="12.75" style="58" customWidth="1"/>
    <col min="1970" max="1970" width="11.625" style="58" customWidth="1"/>
    <col min="1971" max="1971" width="12.125" style="58" customWidth="1"/>
    <col min="1972" max="1973" width="11.625" style="58" customWidth="1"/>
    <col min="1974" max="1974" width="12.5" style="58" customWidth="1"/>
    <col min="1975" max="2149" width="11.625" style="58" customWidth="1"/>
    <col min="2150" max="2150" width="17.75" style="58" customWidth="1"/>
    <col min="2151" max="2152" width="9" style="58" customWidth="1"/>
    <col min="2153" max="2153" width="16.25" style="58" customWidth="1"/>
    <col min="2154" max="2154" width="24" style="58" customWidth="1"/>
    <col min="2155" max="2155" width="9" style="58"/>
    <col min="2156" max="2156" width="11.75" style="58" customWidth="1"/>
    <col min="2157" max="2157" width="8.875" style="58" customWidth="1"/>
    <col min="2158" max="2158" width="17.375" style="58" customWidth="1"/>
    <col min="2159" max="2159" width="13.25" style="58" customWidth="1"/>
    <col min="2160" max="2160" width="25.75" style="58" customWidth="1"/>
    <col min="2161" max="2161" width="11.125" style="58" customWidth="1"/>
    <col min="2162" max="2162" width="10.75" style="58" customWidth="1"/>
    <col min="2163" max="2163" width="9" style="58" customWidth="1"/>
    <col min="2164" max="2164" width="9.75" style="58" customWidth="1"/>
    <col min="2165" max="2165" width="7.5" style="58" customWidth="1"/>
    <col min="2166" max="2166" width="13.25" style="58" customWidth="1"/>
    <col min="2167" max="2167" width="11.75" style="58" customWidth="1"/>
    <col min="2168" max="2168" width="8.875" style="58" customWidth="1"/>
    <col min="2169" max="2169" width="9.625" style="58" customWidth="1"/>
    <col min="2170" max="2171" width="11.875" style="58" customWidth="1"/>
    <col min="2172" max="2172" width="11.5" style="58" customWidth="1"/>
    <col min="2173" max="2188" width="12.25" style="58" customWidth="1"/>
    <col min="2189" max="2189" width="13" style="58" customWidth="1"/>
    <col min="2190" max="2194" width="12.375" style="58" customWidth="1"/>
    <col min="2195" max="2195" width="13" style="58" customWidth="1"/>
    <col min="2196" max="2197" width="12.375" style="58" customWidth="1"/>
    <col min="2198" max="2198" width="13" style="58" customWidth="1"/>
    <col min="2199" max="2199" width="13.125" style="58" customWidth="1"/>
    <col min="2200" max="2200" width="13" style="58" customWidth="1"/>
    <col min="2201" max="2201" width="13.125" style="58" customWidth="1"/>
    <col min="2202" max="2203" width="12.375" style="58" customWidth="1"/>
    <col min="2204" max="2204" width="13" style="58" customWidth="1"/>
    <col min="2205" max="2205" width="12.375" style="58" customWidth="1"/>
    <col min="2206" max="2206" width="12.25" style="58" customWidth="1"/>
    <col min="2207" max="2207" width="12.125" style="58" customWidth="1"/>
    <col min="2208" max="2208" width="11.625" style="58" customWidth="1"/>
    <col min="2209" max="2209" width="12" style="58" customWidth="1"/>
    <col min="2210" max="2210" width="13" style="58" customWidth="1"/>
    <col min="2211" max="2211" width="11.625" style="58" customWidth="1"/>
    <col min="2212" max="2213" width="12" style="58" customWidth="1"/>
    <col min="2214" max="2216" width="11.625" style="58" customWidth="1"/>
    <col min="2217" max="2217" width="11.125" style="58" customWidth="1"/>
    <col min="2218" max="2218" width="12" style="58" customWidth="1"/>
    <col min="2219" max="2219" width="13" style="58" customWidth="1"/>
    <col min="2220" max="2220" width="13.625" style="58" customWidth="1"/>
    <col min="2221" max="2221" width="11.875" style="58" customWidth="1"/>
    <col min="2222" max="2223" width="11.625" style="58" customWidth="1"/>
    <col min="2224" max="2224" width="12" style="58" customWidth="1"/>
    <col min="2225" max="2225" width="12.75" style="58" customWidth="1"/>
    <col min="2226" max="2226" width="11.625" style="58" customWidth="1"/>
    <col min="2227" max="2227" width="12.125" style="58" customWidth="1"/>
    <col min="2228" max="2229" width="11.625" style="58" customWidth="1"/>
    <col min="2230" max="2230" width="12.5" style="58" customWidth="1"/>
    <col min="2231" max="2405" width="11.625" style="58" customWidth="1"/>
    <col min="2406" max="2406" width="17.75" style="58" customWidth="1"/>
    <col min="2407" max="2408" width="9" style="58" customWidth="1"/>
    <col min="2409" max="2409" width="16.25" style="58" customWidth="1"/>
    <col min="2410" max="2410" width="24" style="58" customWidth="1"/>
    <col min="2411" max="2411" width="9" style="58"/>
    <col min="2412" max="2412" width="11.75" style="58" customWidth="1"/>
    <col min="2413" max="2413" width="8.875" style="58" customWidth="1"/>
    <col min="2414" max="2414" width="17.375" style="58" customWidth="1"/>
    <col min="2415" max="2415" width="13.25" style="58" customWidth="1"/>
    <col min="2416" max="2416" width="25.75" style="58" customWidth="1"/>
    <col min="2417" max="2417" width="11.125" style="58" customWidth="1"/>
    <col min="2418" max="2418" width="10.75" style="58" customWidth="1"/>
    <col min="2419" max="2419" width="9" style="58" customWidth="1"/>
    <col min="2420" max="2420" width="9.75" style="58" customWidth="1"/>
    <col min="2421" max="2421" width="7.5" style="58" customWidth="1"/>
    <col min="2422" max="2422" width="13.25" style="58" customWidth="1"/>
    <col min="2423" max="2423" width="11.75" style="58" customWidth="1"/>
    <col min="2424" max="2424" width="8.875" style="58" customWidth="1"/>
    <col min="2425" max="2425" width="9.625" style="58" customWidth="1"/>
    <col min="2426" max="2427" width="11.875" style="58" customWidth="1"/>
    <col min="2428" max="2428" width="11.5" style="58" customWidth="1"/>
    <col min="2429" max="2444" width="12.25" style="58" customWidth="1"/>
    <col min="2445" max="2445" width="13" style="58" customWidth="1"/>
    <col min="2446" max="2450" width="12.375" style="58" customWidth="1"/>
    <col min="2451" max="2451" width="13" style="58" customWidth="1"/>
    <col min="2452" max="2453" width="12.375" style="58" customWidth="1"/>
    <col min="2454" max="2454" width="13" style="58" customWidth="1"/>
    <col min="2455" max="2455" width="13.125" style="58" customWidth="1"/>
    <col min="2456" max="2456" width="13" style="58" customWidth="1"/>
    <col min="2457" max="2457" width="13.125" style="58" customWidth="1"/>
    <col min="2458" max="2459" width="12.375" style="58" customWidth="1"/>
    <col min="2460" max="2460" width="13" style="58" customWidth="1"/>
    <col min="2461" max="2461" width="12.375" style="58" customWidth="1"/>
    <col min="2462" max="2462" width="12.25" style="58" customWidth="1"/>
    <col min="2463" max="2463" width="12.125" style="58" customWidth="1"/>
    <col min="2464" max="2464" width="11.625" style="58" customWidth="1"/>
    <col min="2465" max="2465" width="12" style="58" customWidth="1"/>
    <col min="2466" max="2466" width="13" style="58" customWidth="1"/>
    <col min="2467" max="2467" width="11.625" style="58" customWidth="1"/>
    <col min="2468" max="2469" width="12" style="58" customWidth="1"/>
    <col min="2470" max="2472" width="11.625" style="58" customWidth="1"/>
    <col min="2473" max="2473" width="11.125" style="58" customWidth="1"/>
    <col min="2474" max="2474" width="12" style="58" customWidth="1"/>
    <col min="2475" max="2475" width="13" style="58" customWidth="1"/>
    <col min="2476" max="2476" width="13.625" style="58" customWidth="1"/>
    <col min="2477" max="2477" width="11.875" style="58" customWidth="1"/>
    <col min="2478" max="2479" width="11.625" style="58" customWidth="1"/>
    <col min="2480" max="2480" width="12" style="58" customWidth="1"/>
    <col min="2481" max="2481" width="12.75" style="58" customWidth="1"/>
    <col min="2482" max="2482" width="11.625" style="58" customWidth="1"/>
    <col min="2483" max="2483" width="12.125" style="58" customWidth="1"/>
    <col min="2484" max="2485" width="11.625" style="58" customWidth="1"/>
    <col min="2486" max="2486" width="12.5" style="58" customWidth="1"/>
    <col min="2487" max="2661" width="11.625" style="58" customWidth="1"/>
    <col min="2662" max="2662" width="17.75" style="58" customWidth="1"/>
    <col min="2663" max="2664" width="9" style="58" customWidth="1"/>
    <col min="2665" max="2665" width="16.25" style="58" customWidth="1"/>
    <col min="2666" max="2666" width="24" style="58" customWidth="1"/>
    <col min="2667" max="2667" width="9" style="58"/>
    <col min="2668" max="2668" width="11.75" style="58" customWidth="1"/>
    <col min="2669" max="2669" width="8.875" style="58" customWidth="1"/>
    <col min="2670" max="2670" width="17.375" style="58" customWidth="1"/>
    <col min="2671" max="2671" width="13.25" style="58" customWidth="1"/>
    <col min="2672" max="2672" width="25.75" style="58" customWidth="1"/>
    <col min="2673" max="2673" width="11.125" style="58" customWidth="1"/>
    <col min="2674" max="2674" width="10.75" style="58" customWidth="1"/>
    <col min="2675" max="2675" width="9" style="58" customWidth="1"/>
    <col min="2676" max="2676" width="9.75" style="58" customWidth="1"/>
    <col min="2677" max="2677" width="7.5" style="58" customWidth="1"/>
    <col min="2678" max="2678" width="13.25" style="58" customWidth="1"/>
    <col min="2679" max="2679" width="11.75" style="58" customWidth="1"/>
    <col min="2680" max="2680" width="8.875" style="58" customWidth="1"/>
    <col min="2681" max="2681" width="9.625" style="58" customWidth="1"/>
    <col min="2682" max="2683" width="11.875" style="58" customWidth="1"/>
    <col min="2684" max="2684" width="11.5" style="58" customWidth="1"/>
    <col min="2685" max="2700" width="12.25" style="58" customWidth="1"/>
    <col min="2701" max="2701" width="13" style="58" customWidth="1"/>
    <col min="2702" max="2706" width="12.375" style="58" customWidth="1"/>
    <col min="2707" max="2707" width="13" style="58" customWidth="1"/>
    <col min="2708" max="2709" width="12.375" style="58" customWidth="1"/>
    <col min="2710" max="2710" width="13" style="58" customWidth="1"/>
    <col min="2711" max="2711" width="13.125" style="58" customWidth="1"/>
    <col min="2712" max="2712" width="13" style="58" customWidth="1"/>
    <col min="2713" max="2713" width="13.125" style="58" customWidth="1"/>
    <col min="2714" max="2715" width="12.375" style="58" customWidth="1"/>
    <col min="2716" max="2716" width="13" style="58" customWidth="1"/>
    <col min="2717" max="2717" width="12.375" style="58" customWidth="1"/>
    <col min="2718" max="2718" width="12.25" style="58" customWidth="1"/>
    <col min="2719" max="2719" width="12.125" style="58" customWidth="1"/>
    <col min="2720" max="2720" width="11.625" style="58" customWidth="1"/>
    <col min="2721" max="2721" width="12" style="58" customWidth="1"/>
    <col min="2722" max="2722" width="13" style="58" customWidth="1"/>
    <col min="2723" max="2723" width="11.625" style="58" customWidth="1"/>
    <col min="2724" max="2725" width="12" style="58" customWidth="1"/>
    <col min="2726" max="2728" width="11.625" style="58" customWidth="1"/>
    <col min="2729" max="2729" width="11.125" style="58" customWidth="1"/>
    <col min="2730" max="2730" width="12" style="58" customWidth="1"/>
    <col min="2731" max="2731" width="13" style="58" customWidth="1"/>
    <col min="2732" max="2732" width="13.625" style="58" customWidth="1"/>
    <col min="2733" max="2733" width="11.875" style="58" customWidth="1"/>
    <col min="2734" max="2735" width="11.625" style="58" customWidth="1"/>
    <col min="2736" max="2736" width="12" style="58" customWidth="1"/>
    <col min="2737" max="2737" width="12.75" style="58" customWidth="1"/>
    <col min="2738" max="2738" width="11.625" style="58" customWidth="1"/>
    <col min="2739" max="2739" width="12.125" style="58" customWidth="1"/>
    <col min="2740" max="2741" width="11.625" style="58" customWidth="1"/>
    <col min="2742" max="2742" width="12.5" style="58" customWidth="1"/>
    <col min="2743" max="2917" width="11.625" style="58" customWidth="1"/>
    <col min="2918" max="2918" width="17.75" style="58" customWidth="1"/>
    <col min="2919" max="2920" width="9" style="58" customWidth="1"/>
    <col min="2921" max="2921" width="16.25" style="58" customWidth="1"/>
    <col min="2922" max="2922" width="24" style="58" customWidth="1"/>
    <col min="2923" max="2923" width="9" style="58"/>
    <col min="2924" max="2924" width="11.75" style="58" customWidth="1"/>
    <col min="2925" max="2925" width="8.875" style="58" customWidth="1"/>
    <col min="2926" max="2926" width="17.375" style="58" customWidth="1"/>
    <col min="2927" max="2927" width="13.25" style="58" customWidth="1"/>
    <col min="2928" max="2928" width="25.75" style="58" customWidth="1"/>
    <col min="2929" max="2929" width="11.125" style="58" customWidth="1"/>
    <col min="2930" max="2930" width="10.75" style="58" customWidth="1"/>
    <col min="2931" max="2931" width="9" style="58" customWidth="1"/>
    <col min="2932" max="2932" width="9.75" style="58" customWidth="1"/>
    <col min="2933" max="2933" width="7.5" style="58" customWidth="1"/>
    <col min="2934" max="2934" width="13.25" style="58" customWidth="1"/>
    <col min="2935" max="2935" width="11.75" style="58" customWidth="1"/>
    <col min="2936" max="2936" width="8.875" style="58" customWidth="1"/>
    <col min="2937" max="2937" width="9.625" style="58" customWidth="1"/>
    <col min="2938" max="2939" width="11.875" style="58" customWidth="1"/>
    <col min="2940" max="2940" width="11.5" style="58" customWidth="1"/>
    <col min="2941" max="2956" width="12.25" style="58" customWidth="1"/>
    <col min="2957" max="2957" width="13" style="58" customWidth="1"/>
    <col min="2958" max="2962" width="12.375" style="58" customWidth="1"/>
    <col min="2963" max="2963" width="13" style="58" customWidth="1"/>
    <col min="2964" max="2965" width="12.375" style="58" customWidth="1"/>
    <col min="2966" max="2966" width="13" style="58" customWidth="1"/>
    <col min="2967" max="2967" width="13.125" style="58" customWidth="1"/>
    <col min="2968" max="2968" width="13" style="58" customWidth="1"/>
    <col min="2969" max="2969" width="13.125" style="58" customWidth="1"/>
    <col min="2970" max="2971" width="12.375" style="58" customWidth="1"/>
    <col min="2972" max="2972" width="13" style="58" customWidth="1"/>
    <col min="2973" max="2973" width="12.375" style="58" customWidth="1"/>
    <col min="2974" max="2974" width="12.25" style="58" customWidth="1"/>
    <col min="2975" max="2975" width="12.125" style="58" customWidth="1"/>
    <col min="2976" max="2976" width="11.625" style="58" customWidth="1"/>
    <col min="2977" max="2977" width="12" style="58" customWidth="1"/>
    <col min="2978" max="2978" width="13" style="58" customWidth="1"/>
    <col min="2979" max="2979" width="11.625" style="58" customWidth="1"/>
    <col min="2980" max="2981" width="12" style="58" customWidth="1"/>
    <col min="2982" max="2984" width="11.625" style="58" customWidth="1"/>
    <col min="2985" max="2985" width="11.125" style="58" customWidth="1"/>
    <col min="2986" max="2986" width="12" style="58" customWidth="1"/>
    <col min="2987" max="2987" width="13" style="58" customWidth="1"/>
    <col min="2988" max="2988" width="13.625" style="58" customWidth="1"/>
    <col min="2989" max="2989" width="11.875" style="58" customWidth="1"/>
    <col min="2990" max="2991" width="11.625" style="58" customWidth="1"/>
    <col min="2992" max="2992" width="12" style="58" customWidth="1"/>
    <col min="2993" max="2993" width="12.75" style="58" customWidth="1"/>
    <col min="2994" max="2994" width="11.625" style="58" customWidth="1"/>
    <col min="2995" max="2995" width="12.125" style="58" customWidth="1"/>
    <col min="2996" max="2997" width="11.625" style="58" customWidth="1"/>
    <col min="2998" max="2998" width="12.5" style="58" customWidth="1"/>
    <col min="2999" max="3173" width="11.625" style="58" customWidth="1"/>
    <col min="3174" max="3174" width="17.75" style="58" customWidth="1"/>
    <col min="3175" max="3176" width="9" style="58" customWidth="1"/>
    <col min="3177" max="3177" width="16.25" style="58" customWidth="1"/>
    <col min="3178" max="3178" width="24" style="58" customWidth="1"/>
    <col min="3179" max="3179" width="9" style="58"/>
    <col min="3180" max="3180" width="11.75" style="58" customWidth="1"/>
    <col min="3181" max="3181" width="8.875" style="58" customWidth="1"/>
    <col min="3182" max="3182" width="17.375" style="58" customWidth="1"/>
    <col min="3183" max="3183" width="13.25" style="58" customWidth="1"/>
    <col min="3184" max="3184" width="25.75" style="58" customWidth="1"/>
    <col min="3185" max="3185" width="11.125" style="58" customWidth="1"/>
    <col min="3186" max="3186" width="10.75" style="58" customWidth="1"/>
    <col min="3187" max="3187" width="9" style="58" customWidth="1"/>
    <col min="3188" max="3188" width="9.75" style="58" customWidth="1"/>
    <col min="3189" max="3189" width="7.5" style="58" customWidth="1"/>
    <col min="3190" max="3190" width="13.25" style="58" customWidth="1"/>
    <col min="3191" max="3191" width="11.75" style="58" customWidth="1"/>
    <col min="3192" max="3192" width="8.875" style="58" customWidth="1"/>
    <col min="3193" max="3193" width="9.625" style="58" customWidth="1"/>
    <col min="3194" max="3195" width="11.875" style="58" customWidth="1"/>
    <col min="3196" max="3196" width="11.5" style="58" customWidth="1"/>
    <col min="3197" max="3212" width="12.25" style="58" customWidth="1"/>
    <col min="3213" max="3213" width="13" style="58" customWidth="1"/>
    <col min="3214" max="3218" width="12.375" style="58" customWidth="1"/>
    <col min="3219" max="3219" width="13" style="58" customWidth="1"/>
    <col min="3220" max="3221" width="12.375" style="58" customWidth="1"/>
    <col min="3222" max="3222" width="13" style="58" customWidth="1"/>
    <col min="3223" max="3223" width="13.125" style="58" customWidth="1"/>
    <col min="3224" max="3224" width="13" style="58" customWidth="1"/>
    <col min="3225" max="3225" width="13.125" style="58" customWidth="1"/>
    <col min="3226" max="3227" width="12.375" style="58" customWidth="1"/>
    <col min="3228" max="3228" width="13" style="58" customWidth="1"/>
    <col min="3229" max="3229" width="12.375" style="58" customWidth="1"/>
    <col min="3230" max="3230" width="12.25" style="58" customWidth="1"/>
    <col min="3231" max="3231" width="12.125" style="58" customWidth="1"/>
    <col min="3232" max="3232" width="11.625" style="58" customWidth="1"/>
    <col min="3233" max="3233" width="12" style="58" customWidth="1"/>
    <col min="3234" max="3234" width="13" style="58" customWidth="1"/>
    <col min="3235" max="3235" width="11.625" style="58" customWidth="1"/>
    <col min="3236" max="3237" width="12" style="58" customWidth="1"/>
    <col min="3238" max="3240" width="11.625" style="58" customWidth="1"/>
    <col min="3241" max="3241" width="11.125" style="58" customWidth="1"/>
    <col min="3242" max="3242" width="12" style="58" customWidth="1"/>
    <col min="3243" max="3243" width="13" style="58" customWidth="1"/>
    <col min="3244" max="3244" width="13.625" style="58" customWidth="1"/>
    <col min="3245" max="3245" width="11.875" style="58" customWidth="1"/>
    <col min="3246" max="3247" width="11.625" style="58" customWidth="1"/>
    <col min="3248" max="3248" width="12" style="58" customWidth="1"/>
    <col min="3249" max="3249" width="12.75" style="58" customWidth="1"/>
    <col min="3250" max="3250" width="11.625" style="58" customWidth="1"/>
    <col min="3251" max="3251" width="12.125" style="58" customWidth="1"/>
    <col min="3252" max="3253" width="11.625" style="58" customWidth="1"/>
    <col min="3254" max="3254" width="12.5" style="58" customWidth="1"/>
    <col min="3255" max="3429" width="11.625" style="58" customWidth="1"/>
    <col min="3430" max="3430" width="17.75" style="58" customWidth="1"/>
    <col min="3431" max="3432" width="9" style="58" customWidth="1"/>
    <col min="3433" max="3433" width="16.25" style="58" customWidth="1"/>
    <col min="3434" max="3434" width="24" style="58" customWidth="1"/>
    <col min="3435" max="3435" width="9" style="58"/>
    <col min="3436" max="3436" width="11.75" style="58" customWidth="1"/>
    <col min="3437" max="3437" width="8.875" style="58" customWidth="1"/>
    <col min="3438" max="3438" width="17.375" style="58" customWidth="1"/>
    <col min="3439" max="3439" width="13.25" style="58" customWidth="1"/>
    <col min="3440" max="3440" width="25.75" style="58" customWidth="1"/>
    <col min="3441" max="3441" width="11.125" style="58" customWidth="1"/>
    <col min="3442" max="3442" width="10.75" style="58" customWidth="1"/>
    <col min="3443" max="3443" width="9" style="58" customWidth="1"/>
    <col min="3444" max="3444" width="9.75" style="58" customWidth="1"/>
    <col min="3445" max="3445" width="7.5" style="58" customWidth="1"/>
    <col min="3446" max="3446" width="13.25" style="58" customWidth="1"/>
    <col min="3447" max="3447" width="11.75" style="58" customWidth="1"/>
    <col min="3448" max="3448" width="8.875" style="58" customWidth="1"/>
    <col min="3449" max="3449" width="9.625" style="58" customWidth="1"/>
    <col min="3450" max="3451" width="11.875" style="58" customWidth="1"/>
    <col min="3452" max="3452" width="11.5" style="58" customWidth="1"/>
    <col min="3453" max="3468" width="12.25" style="58" customWidth="1"/>
    <col min="3469" max="3469" width="13" style="58" customWidth="1"/>
    <col min="3470" max="3474" width="12.375" style="58" customWidth="1"/>
    <col min="3475" max="3475" width="13" style="58" customWidth="1"/>
    <col min="3476" max="3477" width="12.375" style="58" customWidth="1"/>
    <col min="3478" max="3478" width="13" style="58" customWidth="1"/>
    <col min="3479" max="3479" width="13.125" style="58" customWidth="1"/>
    <col min="3480" max="3480" width="13" style="58" customWidth="1"/>
    <col min="3481" max="3481" width="13.125" style="58" customWidth="1"/>
    <col min="3482" max="3483" width="12.375" style="58" customWidth="1"/>
    <col min="3484" max="3484" width="13" style="58" customWidth="1"/>
    <col min="3485" max="3485" width="12.375" style="58" customWidth="1"/>
    <col min="3486" max="3486" width="12.25" style="58" customWidth="1"/>
    <col min="3487" max="3487" width="12.125" style="58" customWidth="1"/>
    <col min="3488" max="3488" width="11.625" style="58" customWidth="1"/>
    <col min="3489" max="3489" width="12" style="58" customWidth="1"/>
    <col min="3490" max="3490" width="13" style="58" customWidth="1"/>
    <col min="3491" max="3491" width="11.625" style="58" customWidth="1"/>
    <col min="3492" max="3493" width="12" style="58" customWidth="1"/>
    <col min="3494" max="3496" width="11.625" style="58" customWidth="1"/>
    <col min="3497" max="3497" width="11.125" style="58" customWidth="1"/>
    <col min="3498" max="3498" width="12" style="58" customWidth="1"/>
    <col min="3499" max="3499" width="13" style="58" customWidth="1"/>
    <col min="3500" max="3500" width="13.625" style="58" customWidth="1"/>
    <col min="3501" max="3501" width="11.875" style="58" customWidth="1"/>
    <col min="3502" max="3503" width="11.625" style="58" customWidth="1"/>
    <col min="3504" max="3504" width="12" style="58" customWidth="1"/>
    <col min="3505" max="3505" width="12.75" style="58" customWidth="1"/>
    <col min="3506" max="3506" width="11.625" style="58" customWidth="1"/>
    <col min="3507" max="3507" width="12.125" style="58" customWidth="1"/>
    <col min="3508" max="3509" width="11.625" style="58" customWidth="1"/>
    <col min="3510" max="3510" width="12.5" style="58" customWidth="1"/>
    <col min="3511" max="3685" width="11.625" style="58" customWidth="1"/>
    <col min="3686" max="3686" width="17.75" style="58" customWidth="1"/>
    <col min="3687" max="3688" width="9" style="58" customWidth="1"/>
    <col min="3689" max="3689" width="16.25" style="58" customWidth="1"/>
    <col min="3690" max="3690" width="24" style="58" customWidth="1"/>
    <col min="3691" max="3691" width="9" style="58"/>
    <col min="3692" max="3692" width="11.75" style="58" customWidth="1"/>
    <col min="3693" max="3693" width="8.875" style="58" customWidth="1"/>
    <col min="3694" max="3694" width="17.375" style="58" customWidth="1"/>
    <col min="3695" max="3695" width="13.25" style="58" customWidth="1"/>
    <col min="3696" max="3696" width="25.75" style="58" customWidth="1"/>
    <col min="3697" max="3697" width="11.125" style="58" customWidth="1"/>
    <col min="3698" max="3698" width="10.75" style="58" customWidth="1"/>
    <col min="3699" max="3699" width="9" style="58" customWidth="1"/>
    <col min="3700" max="3700" width="9.75" style="58" customWidth="1"/>
    <col min="3701" max="3701" width="7.5" style="58" customWidth="1"/>
    <col min="3702" max="3702" width="13.25" style="58" customWidth="1"/>
    <col min="3703" max="3703" width="11.75" style="58" customWidth="1"/>
    <col min="3704" max="3704" width="8.875" style="58" customWidth="1"/>
    <col min="3705" max="3705" width="9.625" style="58" customWidth="1"/>
    <col min="3706" max="3707" width="11.875" style="58" customWidth="1"/>
    <col min="3708" max="3708" width="11.5" style="58" customWidth="1"/>
    <col min="3709" max="3724" width="12.25" style="58" customWidth="1"/>
    <col min="3725" max="3725" width="13" style="58" customWidth="1"/>
    <col min="3726" max="3730" width="12.375" style="58" customWidth="1"/>
    <col min="3731" max="3731" width="13" style="58" customWidth="1"/>
    <col min="3732" max="3733" width="12.375" style="58" customWidth="1"/>
    <col min="3734" max="3734" width="13" style="58" customWidth="1"/>
    <col min="3735" max="3735" width="13.125" style="58" customWidth="1"/>
    <col min="3736" max="3736" width="13" style="58" customWidth="1"/>
    <col min="3737" max="3737" width="13.125" style="58" customWidth="1"/>
    <col min="3738" max="3739" width="12.375" style="58" customWidth="1"/>
    <col min="3740" max="3740" width="13" style="58" customWidth="1"/>
    <col min="3741" max="3741" width="12.375" style="58" customWidth="1"/>
    <col min="3742" max="3742" width="12.25" style="58" customWidth="1"/>
    <col min="3743" max="3743" width="12.125" style="58" customWidth="1"/>
    <col min="3744" max="3744" width="11.625" style="58" customWidth="1"/>
    <col min="3745" max="3745" width="12" style="58" customWidth="1"/>
    <col min="3746" max="3746" width="13" style="58" customWidth="1"/>
    <col min="3747" max="3747" width="11.625" style="58" customWidth="1"/>
    <col min="3748" max="3749" width="12" style="58" customWidth="1"/>
    <col min="3750" max="3752" width="11.625" style="58" customWidth="1"/>
    <col min="3753" max="3753" width="11.125" style="58" customWidth="1"/>
    <col min="3754" max="3754" width="12" style="58" customWidth="1"/>
    <col min="3755" max="3755" width="13" style="58" customWidth="1"/>
    <col min="3756" max="3756" width="13.625" style="58" customWidth="1"/>
    <col min="3757" max="3757" width="11.875" style="58" customWidth="1"/>
    <col min="3758" max="3759" width="11.625" style="58" customWidth="1"/>
    <col min="3760" max="3760" width="12" style="58" customWidth="1"/>
    <col min="3761" max="3761" width="12.75" style="58" customWidth="1"/>
    <col min="3762" max="3762" width="11.625" style="58" customWidth="1"/>
    <col min="3763" max="3763" width="12.125" style="58" customWidth="1"/>
    <col min="3764" max="3765" width="11.625" style="58" customWidth="1"/>
    <col min="3766" max="3766" width="12.5" style="58" customWidth="1"/>
    <col min="3767" max="3941" width="11.625" style="58" customWidth="1"/>
    <col min="3942" max="3942" width="17.75" style="58" customWidth="1"/>
    <col min="3943" max="3944" width="9" style="58" customWidth="1"/>
    <col min="3945" max="3945" width="16.25" style="58" customWidth="1"/>
    <col min="3946" max="3946" width="24" style="58" customWidth="1"/>
    <col min="3947" max="3947" width="9" style="58"/>
    <col min="3948" max="3948" width="11.75" style="58" customWidth="1"/>
    <col min="3949" max="3949" width="8.875" style="58" customWidth="1"/>
    <col min="3950" max="3950" width="17.375" style="58" customWidth="1"/>
    <col min="3951" max="3951" width="13.25" style="58" customWidth="1"/>
    <col min="3952" max="3952" width="25.75" style="58" customWidth="1"/>
    <col min="3953" max="3953" width="11.125" style="58" customWidth="1"/>
    <col min="3954" max="3954" width="10.75" style="58" customWidth="1"/>
    <col min="3955" max="3955" width="9" style="58" customWidth="1"/>
    <col min="3956" max="3956" width="9.75" style="58" customWidth="1"/>
    <col min="3957" max="3957" width="7.5" style="58" customWidth="1"/>
    <col min="3958" max="3958" width="13.25" style="58" customWidth="1"/>
    <col min="3959" max="3959" width="11.75" style="58" customWidth="1"/>
    <col min="3960" max="3960" width="8.875" style="58" customWidth="1"/>
    <col min="3961" max="3961" width="9.625" style="58" customWidth="1"/>
    <col min="3962" max="3963" width="11.875" style="58" customWidth="1"/>
    <col min="3964" max="3964" width="11.5" style="58" customWidth="1"/>
    <col min="3965" max="3980" width="12.25" style="58" customWidth="1"/>
    <col min="3981" max="3981" width="13" style="58" customWidth="1"/>
    <col min="3982" max="3986" width="12.375" style="58" customWidth="1"/>
    <col min="3987" max="3987" width="13" style="58" customWidth="1"/>
    <col min="3988" max="3989" width="12.375" style="58" customWidth="1"/>
    <col min="3990" max="3990" width="13" style="58" customWidth="1"/>
    <col min="3991" max="3991" width="13.125" style="58" customWidth="1"/>
    <col min="3992" max="3992" width="13" style="58" customWidth="1"/>
    <col min="3993" max="3993" width="13.125" style="58" customWidth="1"/>
    <col min="3994" max="3995" width="12.375" style="58" customWidth="1"/>
    <col min="3996" max="3996" width="13" style="58" customWidth="1"/>
    <col min="3997" max="3997" width="12.375" style="58" customWidth="1"/>
    <col min="3998" max="3998" width="12.25" style="58" customWidth="1"/>
    <col min="3999" max="3999" width="12.125" style="58" customWidth="1"/>
    <col min="4000" max="4000" width="11.625" style="58" customWidth="1"/>
    <col min="4001" max="4001" width="12" style="58" customWidth="1"/>
    <col min="4002" max="4002" width="13" style="58" customWidth="1"/>
    <col min="4003" max="4003" width="11.625" style="58" customWidth="1"/>
    <col min="4004" max="4005" width="12" style="58" customWidth="1"/>
    <col min="4006" max="4008" width="11.625" style="58" customWidth="1"/>
    <col min="4009" max="4009" width="11.125" style="58" customWidth="1"/>
    <col min="4010" max="4010" width="12" style="58" customWidth="1"/>
    <col min="4011" max="4011" width="13" style="58" customWidth="1"/>
    <col min="4012" max="4012" width="13.625" style="58" customWidth="1"/>
    <col min="4013" max="4013" width="11.875" style="58" customWidth="1"/>
    <col min="4014" max="4015" width="11.625" style="58" customWidth="1"/>
    <col min="4016" max="4016" width="12" style="58" customWidth="1"/>
    <col min="4017" max="4017" width="12.75" style="58" customWidth="1"/>
    <col min="4018" max="4018" width="11.625" style="58" customWidth="1"/>
    <col min="4019" max="4019" width="12.125" style="58" customWidth="1"/>
    <col min="4020" max="4021" width="11.625" style="58" customWidth="1"/>
    <col min="4022" max="4022" width="12.5" style="58" customWidth="1"/>
    <col min="4023" max="4197" width="11.625" style="58" customWidth="1"/>
    <col min="4198" max="4198" width="17.75" style="58" customWidth="1"/>
    <col min="4199" max="4200" width="9" style="58" customWidth="1"/>
    <col min="4201" max="4201" width="16.25" style="58" customWidth="1"/>
    <col min="4202" max="4202" width="24" style="58" customWidth="1"/>
    <col min="4203" max="4203" width="9" style="58"/>
    <col min="4204" max="4204" width="11.75" style="58" customWidth="1"/>
    <col min="4205" max="4205" width="8.875" style="58" customWidth="1"/>
    <col min="4206" max="4206" width="17.375" style="58" customWidth="1"/>
    <col min="4207" max="4207" width="13.25" style="58" customWidth="1"/>
    <col min="4208" max="4208" width="25.75" style="58" customWidth="1"/>
    <col min="4209" max="4209" width="11.125" style="58" customWidth="1"/>
    <col min="4210" max="4210" width="10.75" style="58" customWidth="1"/>
    <col min="4211" max="4211" width="9" style="58" customWidth="1"/>
    <col min="4212" max="4212" width="9.75" style="58" customWidth="1"/>
    <col min="4213" max="4213" width="7.5" style="58" customWidth="1"/>
    <col min="4214" max="4214" width="13.25" style="58" customWidth="1"/>
    <col min="4215" max="4215" width="11.75" style="58" customWidth="1"/>
    <col min="4216" max="4216" width="8.875" style="58" customWidth="1"/>
    <col min="4217" max="4217" width="9.625" style="58" customWidth="1"/>
    <col min="4218" max="4219" width="11.875" style="58" customWidth="1"/>
    <col min="4220" max="4220" width="11.5" style="58" customWidth="1"/>
    <col min="4221" max="4236" width="12.25" style="58" customWidth="1"/>
    <col min="4237" max="4237" width="13" style="58" customWidth="1"/>
    <col min="4238" max="4242" width="12.375" style="58" customWidth="1"/>
    <col min="4243" max="4243" width="13" style="58" customWidth="1"/>
    <col min="4244" max="4245" width="12.375" style="58" customWidth="1"/>
    <col min="4246" max="4246" width="13" style="58" customWidth="1"/>
    <col min="4247" max="4247" width="13.125" style="58" customWidth="1"/>
    <col min="4248" max="4248" width="13" style="58" customWidth="1"/>
    <col min="4249" max="4249" width="13.125" style="58" customWidth="1"/>
    <col min="4250" max="4251" width="12.375" style="58" customWidth="1"/>
    <col min="4252" max="4252" width="13" style="58" customWidth="1"/>
    <col min="4253" max="4253" width="12.375" style="58" customWidth="1"/>
    <col min="4254" max="4254" width="12.25" style="58" customWidth="1"/>
    <col min="4255" max="4255" width="12.125" style="58" customWidth="1"/>
    <col min="4256" max="4256" width="11.625" style="58" customWidth="1"/>
    <col min="4257" max="4257" width="12" style="58" customWidth="1"/>
    <col min="4258" max="4258" width="13" style="58" customWidth="1"/>
    <col min="4259" max="4259" width="11.625" style="58" customWidth="1"/>
    <col min="4260" max="4261" width="12" style="58" customWidth="1"/>
    <col min="4262" max="4264" width="11.625" style="58" customWidth="1"/>
    <col min="4265" max="4265" width="11.125" style="58" customWidth="1"/>
    <col min="4266" max="4266" width="12" style="58" customWidth="1"/>
    <col min="4267" max="4267" width="13" style="58" customWidth="1"/>
    <col min="4268" max="4268" width="13.625" style="58" customWidth="1"/>
    <col min="4269" max="4269" width="11.875" style="58" customWidth="1"/>
    <col min="4270" max="4271" width="11.625" style="58" customWidth="1"/>
    <col min="4272" max="4272" width="12" style="58" customWidth="1"/>
    <col min="4273" max="4273" width="12.75" style="58" customWidth="1"/>
    <col min="4274" max="4274" width="11.625" style="58" customWidth="1"/>
    <col min="4275" max="4275" width="12.125" style="58" customWidth="1"/>
    <col min="4276" max="4277" width="11.625" style="58" customWidth="1"/>
    <col min="4278" max="4278" width="12.5" style="58" customWidth="1"/>
    <col min="4279" max="4453" width="11.625" style="58" customWidth="1"/>
    <col min="4454" max="4454" width="17.75" style="58" customWidth="1"/>
    <col min="4455" max="4456" width="9" style="58" customWidth="1"/>
    <col min="4457" max="4457" width="16.25" style="58" customWidth="1"/>
    <col min="4458" max="4458" width="24" style="58" customWidth="1"/>
    <col min="4459" max="4459" width="9" style="58"/>
    <col min="4460" max="4460" width="11.75" style="58" customWidth="1"/>
    <col min="4461" max="4461" width="8.875" style="58" customWidth="1"/>
    <col min="4462" max="4462" width="17.375" style="58" customWidth="1"/>
    <col min="4463" max="4463" width="13.25" style="58" customWidth="1"/>
    <col min="4464" max="4464" width="25.75" style="58" customWidth="1"/>
    <col min="4465" max="4465" width="11.125" style="58" customWidth="1"/>
    <col min="4466" max="4466" width="10.75" style="58" customWidth="1"/>
    <col min="4467" max="4467" width="9" style="58" customWidth="1"/>
    <col min="4468" max="4468" width="9.75" style="58" customWidth="1"/>
    <col min="4469" max="4469" width="7.5" style="58" customWidth="1"/>
    <col min="4470" max="4470" width="13.25" style="58" customWidth="1"/>
    <col min="4471" max="4471" width="11.75" style="58" customWidth="1"/>
    <col min="4472" max="4472" width="8.875" style="58" customWidth="1"/>
    <col min="4473" max="4473" width="9.625" style="58" customWidth="1"/>
    <col min="4474" max="4475" width="11.875" style="58" customWidth="1"/>
    <col min="4476" max="4476" width="11.5" style="58" customWidth="1"/>
    <col min="4477" max="4492" width="12.25" style="58" customWidth="1"/>
    <col min="4493" max="4493" width="13" style="58" customWidth="1"/>
    <col min="4494" max="4498" width="12.375" style="58" customWidth="1"/>
    <col min="4499" max="4499" width="13" style="58" customWidth="1"/>
    <col min="4500" max="4501" width="12.375" style="58" customWidth="1"/>
    <col min="4502" max="4502" width="13" style="58" customWidth="1"/>
    <col min="4503" max="4503" width="13.125" style="58" customWidth="1"/>
    <col min="4504" max="4504" width="13" style="58" customWidth="1"/>
    <col min="4505" max="4505" width="13.125" style="58" customWidth="1"/>
    <col min="4506" max="4507" width="12.375" style="58" customWidth="1"/>
    <col min="4508" max="4508" width="13" style="58" customWidth="1"/>
    <col min="4509" max="4509" width="12.375" style="58" customWidth="1"/>
    <col min="4510" max="4510" width="12.25" style="58" customWidth="1"/>
    <col min="4511" max="4511" width="12.125" style="58" customWidth="1"/>
    <col min="4512" max="4512" width="11.625" style="58" customWidth="1"/>
    <col min="4513" max="4513" width="12" style="58" customWidth="1"/>
    <col min="4514" max="4514" width="13" style="58" customWidth="1"/>
    <col min="4515" max="4515" width="11.625" style="58" customWidth="1"/>
    <col min="4516" max="4517" width="12" style="58" customWidth="1"/>
    <col min="4518" max="4520" width="11.625" style="58" customWidth="1"/>
    <col min="4521" max="4521" width="11.125" style="58" customWidth="1"/>
    <col min="4522" max="4522" width="12" style="58" customWidth="1"/>
    <col min="4523" max="4523" width="13" style="58" customWidth="1"/>
    <col min="4524" max="4524" width="13.625" style="58" customWidth="1"/>
    <col min="4525" max="4525" width="11.875" style="58" customWidth="1"/>
    <col min="4526" max="4527" width="11.625" style="58" customWidth="1"/>
    <col min="4528" max="4528" width="12" style="58" customWidth="1"/>
    <col min="4529" max="4529" width="12.75" style="58" customWidth="1"/>
    <col min="4530" max="4530" width="11.625" style="58" customWidth="1"/>
    <col min="4531" max="4531" width="12.125" style="58" customWidth="1"/>
    <col min="4532" max="4533" width="11.625" style="58" customWidth="1"/>
    <col min="4534" max="4534" width="12.5" style="58" customWidth="1"/>
    <col min="4535" max="4709" width="11.625" style="58" customWidth="1"/>
    <col min="4710" max="4710" width="17.75" style="58" customWidth="1"/>
    <col min="4711" max="4712" width="9" style="58" customWidth="1"/>
    <col min="4713" max="4713" width="16.25" style="58" customWidth="1"/>
    <col min="4714" max="4714" width="24" style="58" customWidth="1"/>
    <col min="4715" max="4715" width="9" style="58"/>
    <col min="4716" max="4716" width="11.75" style="58" customWidth="1"/>
    <col min="4717" max="4717" width="8.875" style="58" customWidth="1"/>
    <col min="4718" max="4718" width="17.375" style="58" customWidth="1"/>
    <col min="4719" max="4719" width="13.25" style="58" customWidth="1"/>
    <col min="4720" max="4720" width="25.75" style="58" customWidth="1"/>
    <col min="4721" max="4721" width="11.125" style="58" customWidth="1"/>
    <col min="4722" max="4722" width="10.75" style="58" customWidth="1"/>
    <col min="4723" max="4723" width="9" style="58" customWidth="1"/>
    <col min="4724" max="4724" width="9.75" style="58" customWidth="1"/>
    <col min="4725" max="4725" width="7.5" style="58" customWidth="1"/>
    <col min="4726" max="4726" width="13.25" style="58" customWidth="1"/>
    <col min="4727" max="4727" width="11.75" style="58" customWidth="1"/>
    <col min="4728" max="4728" width="8.875" style="58" customWidth="1"/>
    <col min="4729" max="4729" width="9.625" style="58" customWidth="1"/>
    <col min="4730" max="4731" width="11.875" style="58" customWidth="1"/>
    <col min="4732" max="4732" width="11.5" style="58" customWidth="1"/>
    <col min="4733" max="4748" width="12.25" style="58" customWidth="1"/>
    <col min="4749" max="4749" width="13" style="58" customWidth="1"/>
    <col min="4750" max="4754" width="12.375" style="58" customWidth="1"/>
    <col min="4755" max="4755" width="13" style="58" customWidth="1"/>
    <col min="4756" max="4757" width="12.375" style="58" customWidth="1"/>
    <col min="4758" max="4758" width="13" style="58" customWidth="1"/>
    <col min="4759" max="4759" width="13.125" style="58" customWidth="1"/>
    <col min="4760" max="4760" width="13" style="58" customWidth="1"/>
    <col min="4761" max="4761" width="13.125" style="58" customWidth="1"/>
    <col min="4762" max="4763" width="12.375" style="58" customWidth="1"/>
    <col min="4764" max="4764" width="13" style="58" customWidth="1"/>
    <col min="4765" max="4765" width="12.375" style="58" customWidth="1"/>
    <col min="4766" max="4766" width="12.25" style="58" customWidth="1"/>
    <col min="4767" max="4767" width="12.125" style="58" customWidth="1"/>
    <col min="4768" max="4768" width="11.625" style="58" customWidth="1"/>
    <col min="4769" max="4769" width="12" style="58" customWidth="1"/>
    <col min="4770" max="4770" width="13" style="58" customWidth="1"/>
    <col min="4771" max="4771" width="11.625" style="58" customWidth="1"/>
    <col min="4772" max="4773" width="12" style="58" customWidth="1"/>
    <col min="4774" max="4776" width="11.625" style="58" customWidth="1"/>
    <col min="4777" max="4777" width="11.125" style="58" customWidth="1"/>
    <col min="4778" max="4778" width="12" style="58" customWidth="1"/>
    <col min="4779" max="4779" width="13" style="58" customWidth="1"/>
    <col min="4780" max="4780" width="13.625" style="58" customWidth="1"/>
    <col min="4781" max="4781" width="11.875" style="58" customWidth="1"/>
    <col min="4782" max="4783" width="11.625" style="58" customWidth="1"/>
    <col min="4784" max="4784" width="12" style="58" customWidth="1"/>
    <col min="4785" max="4785" width="12.75" style="58" customWidth="1"/>
    <col min="4786" max="4786" width="11.625" style="58" customWidth="1"/>
    <col min="4787" max="4787" width="12.125" style="58" customWidth="1"/>
    <col min="4788" max="4789" width="11.625" style="58" customWidth="1"/>
    <col min="4790" max="4790" width="12.5" style="58" customWidth="1"/>
    <col min="4791" max="4965" width="11.625" style="58" customWidth="1"/>
    <col min="4966" max="4966" width="17.75" style="58" customWidth="1"/>
    <col min="4967" max="4968" width="9" style="58" customWidth="1"/>
    <col min="4969" max="4969" width="16.25" style="58" customWidth="1"/>
    <col min="4970" max="4970" width="24" style="58" customWidth="1"/>
    <col min="4971" max="4971" width="9" style="58"/>
    <col min="4972" max="4972" width="11.75" style="58" customWidth="1"/>
    <col min="4973" max="4973" width="8.875" style="58" customWidth="1"/>
    <col min="4974" max="4974" width="17.375" style="58" customWidth="1"/>
    <col min="4975" max="4975" width="13.25" style="58" customWidth="1"/>
    <col min="4976" max="4976" width="25.75" style="58" customWidth="1"/>
    <col min="4977" max="4977" width="11.125" style="58" customWidth="1"/>
    <col min="4978" max="4978" width="10.75" style="58" customWidth="1"/>
    <col min="4979" max="4979" width="9" style="58" customWidth="1"/>
    <col min="4980" max="4980" width="9.75" style="58" customWidth="1"/>
    <col min="4981" max="4981" width="7.5" style="58" customWidth="1"/>
    <col min="4982" max="4982" width="13.25" style="58" customWidth="1"/>
    <col min="4983" max="4983" width="11.75" style="58" customWidth="1"/>
    <col min="4984" max="4984" width="8.875" style="58" customWidth="1"/>
    <col min="4985" max="4985" width="9.625" style="58" customWidth="1"/>
    <col min="4986" max="4987" width="11.875" style="58" customWidth="1"/>
    <col min="4988" max="4988" width="11.5" style="58" customWidth="1"/>
    <col min="4989" max="5004" width="12.25" style="58" customWidth="1"/>
    <col min="5005" max="5005" width="13" style="58" customWidth="1"/>
    <col min="5006" max="5010" width="12.375" style="58" customWidth="1"/>
    <col min="5011" max="5011" width="13" style="58" customWidth="1"/>
    <col min="5012" max="5013" width="12.375" style="58" customWidth="1"/>
    <col min="5014" max="5014" width="13" style="58" customWidth="1"/>
    <col min="5015" max="5015" width="13.125" style="58" customWidth="1"/>
    <col min="5016" max="5016" width="13" style="58" customWidth="1"/>
    <col min="5017" max="5017" width="13.125" style="58" customWidth="1"/>
    <col min="5018" max="5019" width="12.375" style="58" customWidth="1"/>
    <col min="5020" max="5020" width="13" style="58" customWidth="1"/>
    <col min="5021" max="5021" width="12.375" style="58" customWidth="1"/>
    <col min="5022" max="5022" width="12.25" style="58" customWidth="1"/>
    <col min="5023" max="5023" width="12.125" style="58" customWidth="1"/>
    <col min="5024" max="5024" width="11.625" style="58" customWidth="1"/>
    <col min="5025" max="5025" width="12" style="58" customWidth="1"/>
    <col min="5026" max="5026" width="13" style="58" customWidth="1"/>
    <col min="5027" max="5027" width="11.625" style="58" customWidth="1"/>
    <col min="5028" max="5029" width="12" style="58" customWidth="1"/>
    <col min="5030" max="5032" width="11.625" style="58" customWidth="1"/>
    <col min="5033" max="5033" width="11.125" style="58" customWidth="1"/>
    <col min="5034" max="5034" width="12" style="58" customWidth="1"/>
    <col min="5035" max="5035" width="13" style="58" customWidth="1"/>
    <col min="5036" max="5036" width="13.625" style="58" customWidth="1"/>
    <col min="5037" max="5037" width="11.875" style="58" customWidth="1"/>
    <col min="5038" max="5039" width="11.625" style="58" customWidth="1"/>
    <col min="5040" max="5040" width="12" style="58" customWidth="1"/>
    <col min="5041" max="5041" width="12.75" style="58" customWidth="1"/>
    <col min="5042" max="5042" width="11.625" style="58" customWidth="1"/>
    <col min="5043" max="5043" width="12.125" style="58" customWidth="1"/>
    <col min="5044" max="5045" width="11.625" style="58" customWidth="1"/>
    <col min="5046" max="5046" width="12.5" style="58" customWidth="1"/>
    <col min="5047" max="5221" width="11.625" style="58" customWidth="1"/>
    <col min="5222" max="5222" width="17.75" style="58" customWidth="1"/>
    <col min="5223" max="5224" width="9" style="58" customWidth="1"/>
    <col min="5225" max="5225" width="16.25" style="58" customWidth="1"/>
    <col min="5226" max="5226" width="24" style="58" customWidth="1"/>
    <col min="5227" max="5227" width="9" style="58"/>
    <col min="5228" max="5228" width="11.75" style="58" customWidth="1"/>
    <col min="5229" max="5229" width="8.875" style="58" customWidth="1"/>
    <col min="5230" max="5230" width="17.375" style="58" customWidth="1"/>
    <col min="5231" max="5231" width="13.25" style="58" customWidth="1"/>
    <col min="5232" max="5232" width="25.75" style="58" customWidth="1"/>
    <col min="5233" max="5233" width="11.125" style="58" customWidth="1"/>
    <col min="5234" max="5234" width="10.75" style="58" customWidth="1"/>
    <col min="5235" max="5235" width="9" style="58" customWidth="1"/>
    <col min="5236" max="5236" width="9.75" style="58" customWidth="1"/>
    <col min="5237" max="5237" width="7.5" style="58" customWidth="1"/>
    <col min="5238" max="5238" width="13.25" style="58" customWidth="1"/>
    <col min="5239" max="5239" width="11.75" style="58" customWidth="1"/>
    <col min="5240" max="5240" width="8.875" style="58" customWidth="1"/>
    <col min="5241" max="5241" width="9.625" style="58" customWidth="1"/>
    <col min="5242" max="5243" width="11.875" style="58" customWidth="1"/>
    <col min="5244" max="5244" width="11.5" style="58" customWidth="1"/>
    <col min="5245" max="5260" width="12.25" style="58" customWidth="1"/>
    <col min="5261" max="5261" width="13" style="58" customWidth="1"/>
    <col min="5262" max="5266" width="12.375" style="58" customWidth="1"/>
    <col min="5267" max="5267" width="13" style="58" customWidth="1"/>
    <col min="5268" max="5269" width="12.375" style="58" customWidth="1"/>
    <col min="5270" max="5270" width="13" style="58" customWidth="1"/>
    <col min="5271" max="5271" width="13.125" style="58" customWidth="1"/>
    <col min="5272" max="5272" width="13" style="58" customWidth="1"/>
    <col min="5273" max="5273" width="13.125" style="58" customWidth="1"/>
    <col min="5274" max="5275" width="12.375" style="58" customWidth="1"/>
    <col min="5276" max="5276" width="13" style="58" customWidth="1"/>
    <col min="5277" max="5277" width="12.375" style="58" customWidth="1"/>
    <col min="5278" max="5278" width="12.25" style="58" customWidth="1"/>
    <col min="5279" max="5279" width="12.125" style="58" customWidth="1"/>
    <col min="5280" max="5280" width="11.625" style="58" customWidth="1"/>
    <col min="5281" max="5281" width="12" style="58" customWidth="1"/>
    <col min="5282" max="5282" width="13" style="58" customWidth="1"/>
    <col min="5283" max="5283" width="11.625" style="58" customWidth="1"/>
    <col min="5284" max="5285" width="12" style="58" customWidth="1"/>
    <col min="5286" max="5288" width="11.625" style="58" customWidth="1"/>
    <col min="5289" max="5289" width="11.125" style="58" customWidth="1"/>
    <col min="5290" max="5290" width="12" style="58" customWidth="1"/>
    <col min="5291" max="5291" width="13" style="58" customWidth="1"/>
    <col min="5292" max="5292" width="13.625" style="58" customWidth="1"/>
    <col min="5293" max="5293" width="11.875" style="58" customWidth="1"/>
    <col min="5294" max="5295" width="11.625" style="58" customWidth="1"/>
    <col min="5296" max="5296" width="12" style="58" customWidth="1"/>
    <col min="5297" max="5297" width="12.75" style="58" customWidth="1"/>
    <col min="5298" max="5298" width="11.625" style="58" customWidth="1"/>
    <col min="5299" max="5299" width="12.125" style="58" customWidth="1"/>
    <col min="5300" max="5301" width="11.625" style="58" customWidth="1"/>
    <col min="5302" max="5302" width="12.5" style="58" customWidth="1"/>
    <col min="5303" max="5477" width="11.625" style="58" customWidth="1"/>
    <col min="5478" max="5478" width="17.75" style="58" customWidth="1"/>
    <col min="5479" max="5480" width="9" style="58" customWidth="1"/>
    <col min="5481" max="5481" width="16.25" style="58" customWidth="1"/>
    <col min="5482" max="5482" width="24" style="58" customWidth="1"/>
    <col min="5483" max="5483" width="9" style="58"/>
    <col min="5484" max="5484" width="11.75" style="58" customWidth="1"/>
    <col min="5485" max="5485" width="8.875" style="58" customWidth="1"/>
    <col min="5486" max="5486" width="17.375" style="58" customWidth="1"/>
    <col min="5487" max="5487" width="13.25" style="58" customWidth="1"/>
    <col min="5488" max="5488" width="25.75" style="58" customWidth="1"/>
    <col min="5489" max="5489" width="11.125" style="58" customWidth="1"/>
    <col min="5490" max="5490" width="10.75" style="58" customWidth="1"/>
    <col min="5491" max="5491" width="9" style="58" customWidth="1"/>
    <col min="5492" max="5492" width="9.75" style="58" customWidth="1"/>
    <col min="5493" max="5493" width="7.5" style="58" customWidth="1"/>
    <col min="5494" max="5494" width="13.25" style="58" customWidth="1"/>
    <col min="5495" max="5495" width="11.75" style="58" customWidth="1"/>
    <col min="5496" max="5496" width="8.875" style="58" customWidth="1"/>
    <col min="5497" max="5497" width="9.625" style="58" customWidth="1"/>
    <col min="5498" max="5499" width="11.875" style="58" customWidth="1"/>
    <col min="5500" max="5500" width="11.5" style="58" customWidth="1"/>
    <col min="5501" max="5516" width="12.25" style="58" customWidth="1"/>
    <col min="5517" max="5517" width="13" style="58" customWidth="1"/>
    <col min="5518" max="5522" width="12.375" style="58" customWidth="1"/>
    <col min="5523" max="5523" width="13" style="58" customWidth="1"/>
    <col min="5524" max="5525" width="12.375" style="58" customWidth="1"/>
    <col min="5526" max="5526" width="13" style="58" customWidth="1"/>
    <col min="5527" max="5527" width="13.125" style="58" customWidth="1"/>
    <col min="5528" max="5528" width="13" style="58" customWidth="1"/>
    <col min="5529" max="5529" width="13.125" style="58" customWidth="1"/>
    <col min="5530" max="5531" width="12.375" style="58" customWidth="1"/>
    <col min="5532" max="5532" width="13" style="58" customWidth="1"/>
    <col min="5533" max="5533" width="12.375" style="58" customWidth="1"/>
    <col min="5534" max="5534" width="12.25" style="58" customWidth="1"/>
    <col min="5535" max="5535" width="12.125" style="58" customWidth="1"/>
    <col min="5536" max="5536" width="11.625" style="58" customWidth="1"/>
    <col min="5537" max="5537" width="12" style="58" customWidth="1"/>
    <col min="5538" max="5538" width="13" style="58" customWidth="1"/>
    <col min="5539" max="5539" width="11.625" style="58" customWidth="1"/>
    <col min="5540" max="5541" width="12" style="58" customWidth="1"/>
    <col min="5542" max="5544" width="11.625" style="58" customWidth="1"/>
    <col min="5545" max="5545" width="11.125" style="58" customWidth="1"/>
    <col min="5546" max="5546" width="12" style="58" customWidth="1"/>
    <col min="5547" max="5547" width="13" style="58" customWidth="1"/>
    <col min="5548" max="5548" width="13.625" style="58" customWidth="1"/>
    <col min="5549" max="5549" width="11.875" style="58" customWidth="1"/>
    <col min="5550" max="5551" width="11.625" style="58" customWidth="1"/>
    <col min="5552" max="5552" width="12" style="58" customWidth="1"/>
    <col min="5553" max="5553" width="12.75" style="58" customWidth="1"/>
    <col min="5554" max="5554" width="11.625" style="58" customWidth="1"/>
    <col min="5555" max="5555" width="12.125" style="58" customWidth="1"/>
    <col min="5556" max="5557" width="11.625" style="58" customWidth="1"/>
    <col min="5558" max="5558" width="12.5" style="58" customWidth="1"/>
    <col min="5559" max="5733" width="11.625" style="58" customWidth="1"/>
    <col min="5734" max="5734" width="17.75" style="58" customWidth="1"/>
    <col min="5735" max="5736" width="9" style="58" customWidth="1"/>
    <col min="5737" max="5737" width="16.25" style="58" customWidth="1"/>
    <col min="5738" max="5738" width="24" style="58" customWidth="1"/>
    <col min="5739" max="5739" width="9" style="58"/>
    <col min="5740" max="5740" width="11.75" style="58" customWidth="1"/>
    <col min="5741" max="5741" width="8.875" style="58" customWidth="1"/>
    <col min="5742" max="5742" width="17.375" style="58" customWidth="1"/>
    <col min="5743" max="5743" width="13.25" style="58" customWidth="1"/>
    <col min="5744" max="5744" width="25.75" style="58" customWidth="1"/>
    <col min="5745" max="5745" width="11.125" style="58" customWidth="1"/>
    <col min="5746" max="5746" width="10.75" style="58" customWidth="1"/>
    <col min="5747" max="5747" width="9" style="58" customWidth="1"/>
    <col min="5748" max="5748" width="9.75" style="58" customWidth="1"/>
    <col min="5749" max="5749" width="7.5" style="58" customWidth="1"/>
    <col min="5750" max="5750" width="13.25" style="58" customWidth="1"/>
    <col min="5751" max="5751" width="11.75" style="58" customWidth="1"/>
    <col min="5752" max="5752" width="8.875" style="58" customWidth="1"/>
    <col min="5753" max="5753" width="9.625" style="58" customWidth="1"/>
    <col min="5754" max="5755" width="11.875" style="58" customWidth="1"/>
    <col min="5756" max="5756" width="11.5" style="58" customWidth="1"/>
    <col min="5757" max="5772" width="12.25" style="58" customWidth="1"/>
    <col min="5773" max="5773" width="13" style="58" customWidth="1"/>
    <col min="5774" max="5778" width="12.375" style="58" customWidth="1"/>
    <col min="5779" max="5779" width="13" style="58" customWidth="1"/>
    <col min="5780" max="5781" width="12.375" style="58" customWidth="1"/>
    <col min="5782" max="5782" width="13" style="58" customWidth="1"/>
    <col min="5783" max="5783" width="13.125" style="58" customWidth="1"/>
    <col min="5784" max="5784" width="13" style="58" customWidth="1"/>
    <col min="5785" max="5785" width="13.125" style="58" customWidth="1"/>
    <col min="5786" max="5787" width="12.375" style="58" customWidth="1"/>
    <col min="5788" max="5788" width="13" style="58" customWidth="1"/>
    <col min="5789" max="5789" width="12.375" style="58" customWidth="1"/>
    <col min="5790" max="5790" width="12.25" style="58" customWidth="1"/>
    <col min="5791" max="5791" width="12.125" style="58" customWidth="1"/>
    <col min="5792" max="5792" width="11.625" style="58" customWidth="1"/>
    <col min="5793" max="5793" width="12" style="58" customWidth="1"/>
    <col min="5794" max="5794" width="13" style="58" customWidth="1"/>
    <col min="5795" max="5795" width="11.625" style="58" customWidth="1"/>
    <col min="5796" max="5797" width="12" style="58" customWidth="1"/>
    <col min="5798" max="5800" width="11.625" style="58" customWidth="1"/>
    <col min="5801" max="5801" width="11.125" style="58" customWidth="1"/>
    <col min="5802" max="5802" width="12" style="58" customWidth="1"/>
    <col min="5803" max="5803" width="13" style="58" customWidth="1"/>
    <col min="5804" max="5804" width="13.625" style="58" customWidth="1"/>
    <col min="5805" max="5805" width="11.875" style="58" customWidth="1"/>
    <col min="5806" max="5807" width="11.625" style="58" customWidth="1"/>
    <col min="5808" max="5808" width="12" style="58" customWidth="1"/>
    <col min="5809" max="5809" width="12.75" style="58" customWidth="1"/>
    <col min="5810" max="5810" width="11.625" style="58" customWidth="1"/>
    <col min="5811" max="5811" width="12.125" style="58" customWidth="1"/>
    <col min="5812" max="5813" width="11.625" style="58" customWidth="1"/>
    <col min="5814" max="5814" width="12.5" style="58" customWidth="1"/>
    <col min="5815" max="5989" width="11.625" style="58" customWidth="1"/>
    <col min="5990" max="5990" width="17.75" style="58" customWidth="1"/>
    <col min="5991" max="5992" width="9" style="58" customWidth="1"/>
    <col min="5993" max="5993" width="16.25" style="58" customWidth="1"/>
    <col min="5994" max="5994" width="24" style="58" customWidth="1"/>
    <col min="5995" max="5995" width="9" style="58"/>
    <col min="5996" max="5996" width="11.75" style="58" customWidth="1"/>
    <col min="5997" max="5997" width="8.875" style="58" customWidth="1"/>
    <col min="5998" max="5998" width="17.375" style="58" customWidth="1"/>
    <col min="5999" max="5999" width="13.25" style="58" customWidth="1"/>
    <col min="6000" max="6000" width="25.75" style="58" customWidth="1"/>
    <col min="6001" max="6001" width="11.125" style="58" customWidth="1"/>
    <col min="6002" max="6002" width="10.75" style="58" customWidth="1"/>
    <col min="6003" max="6003" width="9" style="58" customWidth="1"/>
    <col min="6004" max="6004" width="9.75" style="58" customWidth="1"/>
    <col min="6005" max="6005" width="7.5" style="58" customWidth="1"/>
    <col min="6006" max="6006" width="13.25" style="58" customWidth="1"/>
    <col min="6007" max="6007" width="11.75" style="58" customWidth="1"/>
    <col min="6008" max="6008" width="8.875" style="58" customWidth="1"/>
    <col min="6009" max="6009" width="9.625" style="58" customWidth="1"/>
    <col min="6010" max="6011" width="11.875" style="58" customWidth="1"/>
    <col min="6012" max="6012" width="11.5" style="58" customWidth="1"/>
    <col min="6013" max="6028" width="12.25" style="58" customWidth="1"/>
    <col min="6029" max="6029" width="13" style="58" customWidth="1"/>
    <col min="6030" max="6034" width="12.375" style="58" customWidth="1"/>
    <col min="6035" max="6035" width="13" style="58" customWidth="1"/>
    <col min="6036" max="6037" width="12.375" style="58" customWidth="1"/>
    <col min="6038" max="6038" width="13" style="58" customWidth="1"/>
    <col min="6039" max="6039" width="13.125" style="58" customWidth="1"/>
    <col min="6040" max="6040" width="13" style="58" customWidth="1"/>
    <col min="6041" max="6041" width="13.125" style="58" customWidth="1"/>
    <col min="6042" max="6043" width="12.375" style="58" customWidth="1"/>
    <col min="6044" max="6044" width="13" style="58" customWidth="1"/>
    <col min="6045" max="6045" width="12.375" style="58" customWidth="1"/>
    <col min="6046" max="6046" width="12.25" style="58" customWidth="1"/>
    <col min="6047" max="6047" width="12.125" style="58" customWidth="1"/>
    <col min="6048" max="6048" width="11.625" style="58" customWidth="1"/>
    <col min="6049" max="6049" width="12" style="58" customWidth="1"/>
    <col min="6050" max="6050" width="13" style="58" customWidth="1"/>
    <col min="6051" max="6051" width="11.625" style="58" customWidth="1"/>
    <col min="6052" max="6053" width="12" style="58" customWidth="1"/>
    <col min="6054" max="6056" width="11.625" style="58" customWidth="1"/>
    <col min="6057" max="6057" width="11.125" style="58" customWidth="1"/>
    <col min="6058" max="6058" width="12" style="58" customWidth="1"/>
    <col min="6059" max="6059" width="13" style="58" customWidth="1"/>
    <col min="6060" max="6060" width="13.625" style="58" customWidth="1"/>
    <col min="6061" max="6061" width="11.875" style="58" customWidth="1"/>
    <col min="6062" max="6063" width="11.625" style="58" customWidth="1"/>
    <col min="6064" max="6064" width="12" style="58" customWidth="1"/>
    <col min="6065" max="6065" width="12.75" style="58" customWidth="1"/>
    <col min="6066" max="6066" width="11.625" style="58" customWidth="1"/>
    <col min="6067" max="6067" width="12.125" style="58" customWidth="1"/>
    <col min="6068" max="6069" width="11.625" style="58" customWidth="1"/>
    <col min="6070" max="6070" width="12.5" style="58" customWidth="1"/>
    <col min="6071" max="6245" width="11.625" style="58" customWidth="1"/>
    <col min="6246" max="6246" width="17.75" style="58" customWidth="1"/>
    <col min="6247" max="6248" width="9" style="58" customWidth="1"/>
    <col min="6249" max="6249" width="16.25" style="58" customWidth="1"/>
    <col min="6250" max="6250" width="24" style="58" customWidth="1"/>
    <col min="6251" max="6251" width="9" style="58"/>
    <col min="6252" max="6252" width="11.75" style="58" customWidth="1"/>
    <col min="6253" max="6253" width="8.875" style="58" customWidth="1"/>
    <col min="6254" max="6254" width="17.375" style="58" customWidth="1"/>
    <col min="6255" max="6255" width="13.25" style="58" customWidth="1"/>
    <col min="6256" max="6256" width="25.75" style="58" customWidth="1"/>
    <col min="6257" max="6257" width="11.125" style="58" customWidth="1"/>
    <col min="6258" max="6258" width="10.75" style="58" customWidth="1"/>
    <col min="6259" max="6259" width="9" style="58" customWidth="1"/>
    <col min="6260" max="6260" width="9.75" style="58" customWidth="1"/>
    <col min="6261" max="6261" width="7.5" style="58" customWidth="1"/>
    <col min="6262" max="6262" width="13.25" style="58" customWidth="1"/>
    <col min="6263" max="6263" width="11.75" style="58" customWidth="1"/>
    <col min="6264" max="6264" width="8.875" style="58" customWidth="1"/>
    <col min="6265" max="6265" width="9.625" style="58" customWidth="1"/>
    <col min="6266" max="6267" width="11.875" style="58" customWidth="1"/>
    <col min="6268" max="6268" width="11.5" style="58" customWidth="1"/>
    <col min="6269" max="6284" width="12.25" style="58" customWidth="1"/>
    <col min="6285" max="6285" width="13" style="58" customWidth="1"/>
    <col min="6286" max="6290" width="12.375" style="58" customWidth="1"/>
    <col min="6291" max="6291" width="13" style="58" customWidth="1"/>
    <col min="6292" max="6293" width="12.375" style="58" customWidth="1"/>
    <col min="6294" max="6294" width="13" style="58" customWidth="1"/>
    <col min="6295" max="6295" width="13.125" style="58" customWidth="1"/>
    <col min="6296" max="6296" width="13" style="58" customWidth="1"/>
    <col min="6297" max="6297" width="13.125" style="58" customWidth="1"/>
    <col min="6298" max="6299" width="12.375" style="58" customWidth="1"/>
    <col min="6300" max="6300" width="13" style="58" customWidth="1"/>
    <col min="6301" max="6301" width="12.375" style="58" customWidth="1"/>
    <col min="6302" max="6302" width="12.25" style="58" customWidth="1"/>
    <col min="6303" max="6303" width="12.125" style="58" customWidth="1"/>
    <col min="6304" max="6304" width="11.625" style="58" customWidth="1"/>
    <col min="6305" max="6305" width="12" style="58" customWidth="1"/>
    <col min="6306" max="6306" width="13" style="58" customWidth="1"/>
    <col min="6307" max="6307" width="11.625" style="58" customWidth="1"/>
    <col min="6308" max="6309" width="12" style="58" customWidth="1"/>
    <col min="6310" max="6312" width="11.625" style="58" customWidth="1"/>
    <col min="6313" max="6313" width="11.125" style="58" customWidth="1"/>
    <col min="6314" max="6314" width="12" style="58" customWidth="1"/>
    <col min="6315" max="6315" width="13" style="58" customWidth="1"/>
    <col min="6316" max="6316" width="13.625" style="58" customWidth="1"/>
    <col min="6317" max="6317" width="11.875" style="58" customWidth="1"/>
    <col min="6318" max="6319" width="11.625" style="58" customWidth="1"/>
    <col min="6320" max="6320" width="12" style="58" customWidth="1"/>
    <col min="6321" max="6321" width="12.75" style="58" customWidth="1"/>
    <col min="6322" max="6322" width="11.625" style="58" customWidth="1"/>
    <col min="6323" max="6323" width="12.125" style="58" customWidth="1"/>
    <col min="6324" max="6325" width="11.625" style="58" customWidth="1"/>
    <col min="6326" max="6326" width="12.5" style="58" customWidth="1"/>
    <col min="6327" max="6501" width="11.625" style="58" customWidth="1"/>
    <col min="6502" max="6502" width="17.75" style="58" customWidth="1"/>
    <col min="6503" max="6504" width="9" style="58" customWidth="1"/>
    <col min="6505" max="6505" width="16.25" style="58" customWidth="1"/>
    <col min="6506" max="6506" width="24" style="58" customWidth="1"/>
    <col min="6507" max="6507" width="9" style="58"/>
    <col min="6508" max="6508" width="11.75" style="58" customWidth="1"/>
    <col min="6509" max="6509" width="8.875" style="58" customWidth="1"/>
    <col min="6510" max="6510" width="17.375" style="58" customWidth="1"/>
    <col min="6511" max="6511" width="13.25" style="58" customWidth="1"/>
    <col min="6512" max="6512" width="25.75" style="58" customWidth="1"/>
    <col min="6513" max="6513" width="11.125" style="58" customWidth="1"/>
    <col min="6514" max="6514" width="10.75" style="58" customWidth="1"/>
    <col min="6515" max="6515" width="9" style="58" customWidth="1"/>
    <col min="6516" max="6516" width="9.75" style="58" customWidth="1"/>
    <col min="6517" max="6517" width="7.5" style="58" customWidth="1"/>
    <col min="6518" max="6518" width="13.25" style="58" customWidth="1"/>
    <col min="6519" max="6519" width="11.75" style="58" customWidth="1"/>
    <col min="6520" max="6520" width="8.875" style="58" customWidth="1"/>
    <col min="6521" max="6521" width="9.625" style="58" customWidth="1"/>
    <col min="6522" max="6523" width="11.875" style="58" customWidth="1"/>
    <col min="6524" max="6524" width="11.5" style="58" customWidth="1"/>
    <col min="6525" max="6540" width="12.25" style="58" customWidth="1"/>
    <col min="6541" max="6541" width="13" style="58" customWidth="1"/>
    <col min="6542" max="6546" width="12.375" style="58" customWidth="1"/>
    <col min="6547" max="6547" width="13" style="58" customWidth="1"/>
    <col min="6548" max="6549" width="12.375" style="58" customWidth="1"/>
    <col min="6550" max="6550" width="13" style="58" customWidth="1"/>
    <col min="6551" max="6551" width="13.125" style="58" customWidth="1"/>
    <col min="6552" max="6552" width="13" style="58" customWidth="1"/>
    <col min="6553" max="6553" width="13.125" style="58" customWidth="1"/>
    <col min="6554" max="6555" width="12.375" style="58" customWidth="1"/>
    <col min="6556" max="6556" width="13" style="58" customWidth="1"/>
    <col min="6557" max="6557" width="12.375" style="58" customWidth="1"/>
    <col min="6558" max="6558" width="12.25" style="58" customWidth="1"/>
    <col min="6559" max="6559" width="12.125" style="58" customWidth="1"/>
    <col min="6560" max="6560" width="11.625" style="58" customWidth="1"/>
    <col min="6561" max="6561" width="12" style="58" customWidth="1"/>
    <col min="6562" max="6562" width="13" style="58" customWidth="1"/>
    <col min="6563" max="6563" width="11.625" style="58" customWidth="1"/>
    <col min="6564" max="6565" width="12" style="58" customWidth="1"/>
    <col min="6566" max="6568" width="11.625" style="58" customWidth="1"/>
    <col min="6569" max="6569" width="11.125" style="58" customWidth="1"/>
    <col min="6570" max="6570" width="12" style="58" customWidth="1"/>
    <col min="6571" max="6571" width="13" style="58" customWidth="1"/>
    <col min="6572" max="6572" width="13.625" style="58" customWidth="1"/>
    <col min="6573" max="6573" width="11.875" style="58" customWidth="1"/>
    <col min="6574" max="6575" width="11.625" style="58" customWidth="1"/>
    <col min="6576" max="6576" width="12" style="58" customWidth="1"/>
    <col min="6577" max="6577" width="12.75" style="58" customWidth="1"/>
    <col min="6578" max="6578" width="11.625" style="58" customWidth="1"/>
    <col min="6579" max="6579" width="12.125" style="58" customWidth="1"/>
    <col min="6580" max="6581" width="11.625" style="58" customWidth="1"/>
    <col min="6582" max="6582" width="12.5" style="58" customWidth="1"/>
    <col min="6583" max="6757" width="11.625" style="58" customWidth="1"/>
    <col min="6758" max="6758" width="17.75" style="58" customWidth="1"/>
    <col min="6759" max="6760" width="9" style="58" customWidth="1"/>
    <col min="6761" max="6761" width="16.25" style="58" customWidth="1"/>
    <col min="6762" max="6762" width="24" style="58" customWidth="1"/>
    <col min="6763" max="6763" width="9" style="58"/>
    <col min="6764" max="6764" width="11.75" style="58" customWidth="1"/>
    <col min="6765" max="6765" width="8.875" style="58" customWidth="1"/>
    <col min="6766" max="6766" width="17.375" style="58" customWidth="1"/>
    <col min="6767" max="6767" width="13.25" style="58" customWidth="1"/>
    <col min="6768" max="6768" width="25.75" style="58" customWidth="1"/>
    <col min="6769" max="6769" width="11.125" style="58" customWidth="1"/>
    <col min="6770" max="6770" width="10.75" style="58" customWidth="1"/>
    <col min="6771" max="6771" width="9" style="58" customWidth="1"/>
    <col min="6772" max="6772" width="9.75" style="58" customWidth="1"/>
    <col min="6773" max="6773" width="7.5" style="58" customWidth="1"/>
    <col min="6774" max="6774" width="13.25" style="58" customWidth="1"/>
    <col min="6775" max="6775" width="11.75" style="58" customWidth="1"/>
    <col min="6776" max="6776" width="8.875" style="58" customWidth="1"/>
    <col min="6777" max="6777" width="9.625" style="58" customWidth="1"/>
    <col min="6778" max="6779" width="11.875" style="58" customWidth="1"/>
    <col min="6780" max="6780" width="11.5" style="58" customWidth="1"/>
    <col min="6781" max="6796" width="12.25" style="58" customWidth="1"/>
    <col min="6797" max="6797" width="13" style="58" customWidth="1"/>
    <col min="6798" max="6802" width="12.375" style="58" customWidth="1"/>
    <col min="6803" max="6803" width="13" style="58" customWidth="1"/>
    <col min="6804" max="6805" width="12.375" style="58" customWidth="1"/>
    <col min="6806" max="6806" width="13" style="58" customWidth="1"/>
    <col min="6807" max="6807" width="13.125" style="58" customWidth="1"/>
    <col min="6808" max="6808" width="13" style="58" customWidth="1"/>
    <col min="6809" max="6809" width="13.125" style="58" customWidth="1"/>
    <col min="6810" max="6811" width="12.375" style="58" customWidth="1"/>
    <col min="6812" max="6812" width="13" style="58" customWidth="1"/>
    <col min="6813" max="6813" width="12.375" style="58" customWidth="1"/>
    <col min="6814" max="6814" width="12.25" style="58" customWidth="1"/>
    <col min="6815" max="6815" width="12.125" style="58" customWidth="1"/>
    <col min="6816" max="6816" width="11.625" style="58" customWidth="1"/>
    <col min="6817" max="6817" width="12" style="58" customWidth="1"/>
    <col min="6818" max="6818" width="13" style="58" customWidth="1"/>
    <col min="6819" max="6819" width="11.625" style="58" customWidth="1"/>
    <col min="6820" max="6821" width="12" style="58" customWidth="1"/>
    <col min="6822" max="6824" width="11.625" style="58" customWidth="1"/>
    <col min="6825" max="6825" width="11.125" style="58" customWidth="1"/>
    <col min="6826" max="6826" width="12" style="58" customWidth="1"/>
    <col min="6827" max="6827" width="13" style="58" customWidth="1"/>
    <col min="6828" max="6828" width="13.625" style="58" customWidth="1"/>
    <col min="6829" max="6829" width="11.875" style="58" customWidth="1"/>
    <col min="6830" max="6831" width="11.625" style="58" customWidth="1"/>
    <col min="6832" max="6832" width="12" style="58" customWidth="1"/>
    <col min="6833" max="6833" width="12.75" style="58" customWidth="1"/>
    <col min="6834" max="6834" width="11.625" style="58" customWidth="1"/>
    <col min="6835" max="6835" width="12.125" style="58" customWidth="1"/>
    <col min="6836" max="6837" width="11.625" style="58" customWidth="1"/>
    <col min="6838" max="6838" width="12.5" style="58" customWidth="1"/>
    <col min="6839" max="7013" width="11.625" style="58" customWidth="1"/>
    <col min="7014" max="7014" width="17.75" style="58" customWidth="1"/>
    <col min="7015" max="7016" width="9" style="58" customWidth="1"/>
    <col min="7017" max="7017" width="16.25" style="58" customWidth="1"/>
    <col min="7018" max="7018" width="24" style="58" customWidth="1"/>
    <col min="7019" max="7019" width="9" style="58"/>
    <col min="7020" max="7020" width="11.75" style="58" customWidth="1"/>
    <col min="7021" max="7021" width="8.875" style="58" customWidth="1"/>
    <col min="7022" max="7022" width="17.375" style="58" customWidth="1"/>
    <col min="7023" max="7023" width="13.25" style="58" customWidth="1"/>
    <col min="7024" max="7024" width="25.75" style="58" customWidth="1"/>
    <col min="7025" max="7025" width="11.125" style="58" customWidth="1"/>
    <col min="7026" max="7026" width="10.75" style="58" customWidth="1"/>
    <col min="7027" max="7027" width="9" style="58" customWidth="1"/>
    <col min="7028" max="7028" width="9.75" style="58" customWidth="1"/>
    <col min="7029" max="7029" width="7.5" style="58" customWidth="1"/>
    <col min="7030" max="7030" width="13.25" style="58" customWidth="1"/>
    <col min="7031" max="7031" width="11.75" style="58" customWidth="1"/>
    <col min="7032" max="7032" width="8.875" style="58" customWidth="1"/>
    <col min="7033" max="7033" width="9.625" style="58" customWidth="1"/>
    <col min="7034" max="7035" width="11.875" style="58" customWidth="1"/>
    <col min="7036" max="7036" width="11.5" style="58" customWidth="1"/>
    <col min="7037" max="7052" width="12.25" style="58" customWidth="1"/>
    <col min="7053" max="7053" width="13" style="58" customWidth="1"/>
    <col min="7054" max="7058" width="12.375" style="58" customWidth="1"/>
    <col min="7059" max="7059" width="13" style="58" customWidth="1"/>
    <col min="7060" max="7061" width="12.375" style="58" customWidth="1"/>
    <col min="7062" max="7062" width="13" style="58" customWidth="1"/>
    <col min="7063" max="7063" width="13.125" style="58" customWidth="1"/>
    <col min="7064" max="7064" width="13" style="58" customWidth="1"/>
    <col min="7065" max="7065" width="13.125" style="58" customWidth="1"/>
    <col min="7066" max="7067" width="12.375" style="58" customWidth="1"/>
    <col min="7068" max="7068" width="13" style="58" customWidth="1"/>
    <col min="7069" max="7069" width="12.375" style="58" customWidth="1"/>
    <col min="7070" max="7070" width="12.25" style="58" customWidth="1"/>
    <col min="7071" max="7071" width="12.125" style="58" customWidth="1"/>
    <col min="7072" max="7072" width="11.625" style="58" customWidth="1"/>
    <col min="7073" max="7073" width="12" style="58" customWidth="1"/>
    <col min="7074" max="7074" width="13" style="58" customWidth="1"/>
    <col min="7075" max="7075" width="11.625" style="58" customWidth="1"/>
    <col min="7076" max="7077" width="12" style="58" customWidth="1"/>
    <col min="7078" max="7080" width="11.625" style="58" customWidth="1"/>
    <col min="7081" max="7081" width="11.125" style="58" customWidth="1"/>
    <col min="7082" max="7082" width="12" style="58" customWidth="1"/>
    <col min="7083" max="7083" width="13" style="58" customWidth="1"/>
    <col min="7084" max="7084" width="13.625" style="58" customWidth="1"/>
    <col min="7085" max="7085" width="11.875" style="58" customWidth="1"/>
    <col min="7086" max="7087" width="11.625" style="58" customWidth="1"/>
    <col min="7088" max="7088" width="12" style="58" customWidth="1"/>
    <col min="7089" max="7089" width="12.75" style="58" customWidth="1"/>
    <col min="7090" max="7090" width="11.625" style="58" customWidth="1"/>
    <col min="7091" max="7091" width="12.125" style="58" customWidth="1"/>
    <col min="7092" max="7093" width="11.625" style="58" customWidth="1"/>
    <col min="7094" max="7094" width="12.5" style="58" customWidth="1"/>
    <col min="7095" max="7269" width="11.625" style="58" customWidth="1"/>
    <col min="7270" max="7270" width="17.75" style="58" customWidth="1"/>
    <col min="7271" max="7272" width="9" style="58" customWidth="1"/>
    <col min="7273" max="7273" width="16.25" style="58" customWidth="1"/>
    <col min="7274" max="7274" width="24" style="58" customWidth="1"/>
    <col min="7275" max="7275" width="9" style="58"/>
    <col min="7276" max="7276" width="11.75" style="58" customWidth="1"/>
    <col min="7277" max="7277" width="8.875" style="58" customWidth="1"/>
    <col min="7278" max="7278" width="17.375" style="58" customWidth="1"/>
    <col min="7279" max="7279" width="13.25" style="58" customWidth="1"/>
    <col min="7280" max="7280" width="25.75" style="58" customWidth="1"/>
    <col min="7281" max="7281" width="11.125" style="58" customWidth="1"/>
    <col min="7282" max="7282" width="10.75" style="58" customWidth="1"/>
    <col min="7283" max="7283" width="9" style="58" customWidth="1"/>
    <col min="7284" max="7284" width="9.75" style="58" customWidth="1"/>
    <col min="7285" max="7285" width="7.5" style="58" customWidth="1"/>
    <col min="7286" max="7286" width="13.25" style="58" customWidth="1"/>
    <col min="7287" max="7287" width="11.75" style="58" customWidth="1"/>
    <col min="7288" max="7288" width="8.875" style="58" customWidth="1"/>
    <col min="7289" max="7289" width="9.625" style="58" customWidth="1"/>
    <col min="7290" max="7291" width="11.875" style="58" customWidth="1"/>
    <col min="7292" max="7292" width="11.5" style="58" customWidth="1"/>
    <col min="7293" max="7308" width="12.25" style="58" customWidth="1"/>
    <col min="7309" max="7309" width="13" style="58" customWidth="1"/>
    <col min="7310" max="7314" width="12.375" style="58" customWidth="1"/>
    <col min="7315" max="7315" width="13" style="58" customWidth="1"/>
    <col min="7316" max="7317" width="12.375" style="58" customWidth="1"/>
    <col min="7318" max="7318" width="13" style="58" customWidth="1"/>
    <col min="7319" max="7319" width="13.125" style="58" customWidth="1"/>
    <col min="7320" max="7320" width="13" style="58" customWidth="1"/>
    <col min="7321" max="7321" width="13.125" style="58" customWidth="1"/>
    <col min="7322" max="7323" width="12.375" style="58" customWidth="1"/>
    <col min="7324" max="7324" width="13" style="58" customWidth="1"/>
    <col min="7325" max="7325" width="12.375" style="58" customWidth="1"/>
    <col min="7326" max="7326" width="12.25" style="58" customWidth="1"/>
    <col min="7327" max="7327" width="12.125" style="58" customWidth="1"/>
    <col min="7328" max="7328" width="11.625" style="58" customWidth="1"/>
    <col min="7329" max="7329" width="12" style="58" customWidth="1"/>
    <col min="7330" max="7330" width="13" style="58" customWidth="1"/>
    <col min="7331" max="7331" width="11.625" style="58" customWidth="1"/>
    <col min="7332" max="7333" width="12" style="58" customWidth="1"/>
    <col min="7334" max="7336" width="11.625" style="58" customWidth="1"/>
    <col min="7337" max="7337" width="11.125" style="58" customWidth="1"/>
    <col min="7338" max="7338" width="12" style="58" customWidth="1"/>
    <col min="7339" max="7339" width="13" style="58" customWidth="1"/>
    <col min="7340" max="7340" width="13.625" style="58" customWidth="1"/>
    <col min="7341" max="7341" width="11.875" style="58" customWidth="1"/>
    <col min="7342" max="7343" width="11.625" style="58" customWidth="1"/>
    <col min="7344" max="7344" width="12" style="58" customWidth="1"/>
    <col min="7345" max="7345" width="12.75" style="58" customWidth="1"/>
    <col min="7346" max="7346" width="11.625" style="58" customWidth="1"/>
    <col min="7347" max="7347" width="12.125" style="58" customWidth="1"/>
    <col min="7348" max="7349" width="11.625" style="58" customWidth="1"/>
    <col min="7350" max="7350" width="12.5" style="58" customWidth="1"/>
    <col min="7351" max="7525" width="11.625" style="58" customWidth="1"/>
    <col min="7526" max="7526" width="17.75" style="58" customWidth="1"/>
    <col min="7527" max="7528" width="9" style="58" customWidth="1"/>
    <col min="7529" max="7529" width="16.25" style="58" customWidth="1"/>
    <col min="7530" max="7530" width="24" style="58" customWidth="1"/>
    <col min="7531" max="7531" width="9" style="58"/>
    <col min="7532" max="7532" width="11.75" style="58" customWidth="1"/>
    <col min="7533" max="7533" width="8.875" style="58" customWidth="1"/>
    <col min="7534" max="7534" width="17.375" style="58" customWidth="1"/>
    <col min="7535" max="7535" width="13.25" style="58" customWidth="1"/>
    <col min="7536" max="7536" width="25.75" style="58" customWidth="1"/>
    <col min="7537" max="7537" width="11.125" style="58" customWidth="1"/>
    <col min="7538" max="7538" width="10.75" style="58" customWidth="1"/>
    <col min="7539" max="7539" width="9" style="58" customWidth="1"/>
    <col min="7540" max="7540" width="9.75" style="58" customWidth="1"/>
    <col min="7541" max="7541" width="7.5" style="58" customWidth="1"/>
    <col min="7542" max="7542" width="13.25" style="58" customWidth="1"/>
    <col min="7543" max="7543" width="11.75" style="58" customWidth="1"/>
    <col min="7544" max="7544" width="8.875" style="58" customWidth="1"/>
    <col min="7545" max="7545" width="9.625" style="58" customWidth="1"/>
    <col min="7546" max="7547" width="11.875" style="58" customWidth="1"/>
    <col min="7548" max="7548" width="11.5" style="58" customWidth="1"/>
    <col min="7549" max="7564" width="12.25" style="58" customWidth="1"/>
    <col min="7565" max="7565" width="13" style="58" customWidth="1"/>
    <col min="7566" max="7570" width="12.375" style="58" customWidth="1"/>
    <col min="7571" max="7571" width="13" style="58" customWidth="1"/>
    <col min="7572" max="7573" width="12.375" style="58" customWidth="1"/>
    <col min="7574" max="7574" width="13" style="58" customWidth="1"/>
    <col min="7575" max="7575" width="13.125" style="58" customWidth="1"/>
    <col min="7576" max="7576" width="13" style="58" customWidth="1"/>
    <col min="7577" max="7577" width="13.125" style="58" customWidth="1"/>
    <col min="7578" max="7579" width="12.375" style="58" customWidth="1"/>
    <col min="7580" max="7580" width="13" style="58" customWidth="1"/>
    <col min="7581" max="7581" width="12.375" style="58" customWidth="1"/>
    <col min="7582" max="7582" width="12.25" style="58" customWidth="1"/>
    <col min="7583" max="7583" width="12.125" style="58" customWidth="1"/>
    <col min="7584" max="7584" width="11.625" style="58" customWidth="1"/>
    <col min="7585" max="7585" width="12" style="58" customWidth="1"/>
    <col min="7586" max="7586" width="13" style="58" customWidth="1"/>
    <col min="7587" max="7587" width="11.625" style="58" customWidth="1"/>
    <col min="7588" max="7589" width="12" style="58" customWidth="1"/>
    <col min="7590" max="7592" width="11.625" style="58" customWidth="1"/>
    <col min="7593" max="7593" width="11.125" style="58" customWidth="1"/>
    <col min="7594" max="7594" width="12" style="58" customWidth="1"/>
    <col min="7595" max="7595" width="13" style="58" customWidth="1"/>
    <col min="7596" max="7596" width="13.625" style="58" customWidth="1"/>
    <col min="7597" max="7597" width="11.875" style="58" customWidth="1"/>
    <col min="7598" max="7599" width="11.625" style="58" customWidth="1"/>
    <col min="7600" max="7600" width="12" style="58" customWidth="1"/>
    <col min="7601" max="7601" width="12.75" style="58" customWidth="1"/>
    <col min="7602" max="7602" width="11.625" style="58" customWidth="1"/>
    <col min="7603" max="7603" width="12.125" style="58" customWidth="1"/>
    <col min="7604" max="7605" width="11.625" style="58" customWidth="1"/>
    <col min="7606" max="7606" width="12.5" style="58" customWidth="1"/>
    <col min="7607" max="7781" width="11.625" style="58" customWidth="1"/>
    <col min="7782" max="7782" width="17.75" style="58" customWidth="1"/>
    <col min="7783" max="7784" width="9" style="58" customWidth="1"/>
    <col min="7785" max="7785" width="16.25" style="58" customWidth="1"/>
    <col min="7786" max="7786" width="24" style="58" customWidth="1"/>
    <col min="7787" max="7787" width="9" style="58"/>
    <col min="7788" max="7788" width="11.75" style="58" customWidth="1"/>
    <col min="7789" max="7789" width="8.875" style="58" customWidth="1"/>
    <col min="7790" max="7790" width="17.375" style="58" customWidth="1"/>
    <col min="7791" max="7791" width="13.25" style="58" customWidth="1"/>
    <col min="7792" max="7792" width="25.75" style="58" customWidth="1"/>
    <col min="7793" max="7793" width="11.125" style="58" customWidth="1"/>
    <col min="7794" max="7794" width="10.75" style="58" customWidth="1"/>
    <col min="7795" max="7795" width="9" style="58" customWidth="1"/>
    <col min="7796" max="7796" width="9.75" style="58" customWidth="1"/>
    <col min="7797" max="7797" width="7.5" style="58" customWidth="1"/>
    <col min="7798" max="7798" width="13.25" style="58" customWidth="1"/>
    <col min="7799" max="7799" width="11.75" style="58" customWidth="1"/>
    <col min="7800" max="7800" width="8.875" style="58" customWidth="1"/>
    <col min="7801" max="7801" width="9.625" style="58" customWidth="1"/>
    <col min="7802" max="7803" width="11.875" style="58" customWidth="1"/>
    <col min="7804" max="7804" width="11.5" style="58" customWidth="1"/>
    <col min="7805" max="7820" width="12.25" style="58" customWidth="1"/>
    <col min="7821" max="7821" width="13" style="58" customWidth="1"/>
    <col min="7822" max="7826" width="12.375" style="58" customWidth="1"/>
    <col min="7827" max="7827" width="13" style="58" customWidth="1"/>
    <col min="7828" max="7829" width="12.375" style="58" customWidth="1"/>
    <col min="7830" max="7830" width="13" style="58" customWidth="1"/>
    <col min="7831" max="7831" width="13.125" style="58" customWidth="1"/>
    <col min="7832" max="7832" width="13" style="58" customWidth="1"/>
    <col min="7833" max="7833" width="13.125" style="58" customWidth="1"/>
    <col min="7834" max="7835" width="12.375" style="58" customWidth="1"/>
    <col min="7836" max="7836" width="13" style="58" customWidth="1"/>
    <col min="7837" max="7837" width="12.375" style="58" customWidth="1"/>
    <col min="7838" max="7838" width="12.25" style="58" customWidth="1"/>
    <col min="7839" max="7839" width="12.125" style="58" customWidth="1"/>
    <col min="7840" max="7840" width="11.625" style="58" customWidth="1"/>
    <col min="7841" max="7841" width="12" style="58" customWidth="1"/>
    <col min="7842" max="7842" width="13" style="58" customWidth="1"/>
    <col min="7843" max="7843" width="11.625" style="58" customWidth="1"/>
    <col min="7844" max="7845" width="12" style="58" customWidth="1"/>
    <col min="7846" max="7848" width="11.625" style="58" customWidth="1"/>
    <col min="7849" max="7849" width="11.125" style="58" customWidth="1"/>
    <col min="7850" max="7850" width="12" style="58" customWidth="1"/>
    <col min="7851" max="7851" width="13" style="58" customWidth="1"/>
    <col min="7852" max="7852" width="13.625" style="58" customWidth="1"/>
    <col min="7853" max="7853" width="11.875" style="58" customWidth="1"/>
    <col min="7854" max="7855" width="11.625" style="58" customWidth="1"/>
    <col min="7856" max="7856" width="12" style="58" customWidth="1"/>
    <col min="7857" max="7857" width="12.75" style="58" customWidth="1"/>
    <col min="7858" max="7858" width="11.625" style="58" customWidth="1"/>
    <col min="7859" max="7859" width="12.125" style="58" customWidth="1"/>
    <col min="7860" max="7861" width="11.625" style="58" customWidth="1"/>
    <col min="7862" max="7862" width="12.5" style="58" customWidth="1"/>
    <col min="7863" max="8037" width="11.625" style="58" customWidth="1"/>
    <col min="8038" max="8038" width="17.75" style="58" customWidth="1"/>
    <col min="8039" max="8040" width="9" style="58" customWidth="1"/>
    <col min="8041" max="8041" width="16.25" style="58" customWidth="1"/>
    <col min="8042" max="8042" width="24" style="58" customWidth="1"/>
    <col min="8043" max="8043" width="9" style="58"/>
    <col min="8044" max="8044" width="11.75" style="58" customWidth="1"/>
    <col min="8045" max="8045" width="8.875" style="58" customWidth="1"/>
    <col min="8046" max="8046" width="17.375" style="58" customWidth="1"/>
    <col min="8047" max="8047" width="13.25" style="58" customWidth="1"/>
    <col min="8048" max="8048" width="25.75" style="58" customWidth="1"/>
    <col min="8049" max="8049" width="11.125" style="58" customWidth="1"/>
    <col min="8050" max="8050" width="10.75" style="58" customWidth="1"/>
    <col min="8051" max="8051" width="9" style="58" customWidth="1"/>
    <col min="8052" max="8052" width="9.75" style="58" customWidth="1"/>
    <col min="8053" max="8053" width="7.5" style="58" customWidth="1"/>
    <col min="8054" max="8054" width="13.25" style="58" customWidth="1"/>
    <col min="8055" max="8055" width="11.75" style="58" customWidth="1"/>
    <col min="8056" max="8056" width="8.875" style="58" customWidth="1"/>
    <col min="8057" max="8057" width="9.625" style="58" customWidth="1"/>
    <col min="8058" max="8059" width="11.875" style="58" customWidth="1"/>
    <col min="8060" max="8060" width="11.5" style="58" customWidth="1"/>
    <col min="8061" max="8076" width="12.25" style="58" customWidth="1"/>
    <col min="8077" max="8077" width="13" style="58" customWidth="1"/>
    <col min="8078" max="8082" width="12.375" style="58" customWidth="1"/>
    <col min="8083" max="8083" width="13" style="58" customWidth="1"/>
    <col min="8084" max="8085" width="12.375" style="58" customWidth="1"/>
    <col min="8086" max="8086" width="13" style="58" customWidth="1"/>
    <col min="8087" max="8087" width="13.125" style="58" customWidth="1"/>
    <col min="8088" max="8088" width="13" style="58" customWidth="1"/>
    <col min="8089" max="8089" width="13.125" style="58" customWidth="1"/>
    <col min="8090" max="8091" width="12.375" style="58" customWidth="1"/>
    <col min="8092" max="8092" width="13" style="58" customWidth="1"/>
    <col min="8093" max="8093" width="12.375" style="58" customWidth="1"/>
    <col min="8094" max="8094" width="12.25" style="58" customWidth="1"/>
    <col min="8095" max="8095" width="12.125" style="58" customWidth="1"/>
    <col min="8096" max="8096" width="11.625" style="58" customWidth="1"/>
    <col min="8097" max="8097" width="12" style="58" customWidth="1"/>
    <col min="8098" max="8098" width="13" style="58" customWidth="1"/>
    <col min="8099" max="8099" width="11.625" style="58" customWidth="1"/>
    <col min="8100" max="8101" width="12" style="58" customWidth="1"/>
    <col min="8102" max="8104" width="11.625" style="58" customWidth="1"/>
    <col min="8105" max="8105" width="11.125" style="58" customWidth="1"/>
    <col min="8106" max="8106" width="12" style="58" customWidth="1"/>
    <col min="8107" max="8107" width="13" style="58" customWidth="1"/>
    <col min="8108" max="8108" width="13.625" style="58" customWidth="1"/>
    <col min="8109" max="8109" width="11.875" style="58" customWidth="1"/>
    <col min="8110" max="8111" width="11.625" style="58" customWidth="1"/>
    <col min="8112" max="8112" width="12" style="58" customWidth="1"/>
    <col min="8113" max="8113" width="12.75" style="58" customWidth="1"/>
    <col min="8114" max="8114" width="11.625" style="58" customWidth="1"/>
    <col min="8115" max="8115" width="12.125" style="58" customWidth="1"/>
    <col min="8116" max="8117" width="11.625" style="58" customWidth="1"/>
    <col min="8118" max="8118" width="12.5" style="58" customWidth="1"/>
    <col min="8119" max="8293" width="11.625" style="58" customWidth="1"/>
    <col min="8294" max="8294" width="17.75" style="58" customWidth="1"/>
    <col min="8295" max="8296" width="9" style="58" customWidth="1"/>
    <col min="8297" max="8297" width="16.25" style="58" customWidth="1"/>
    <col min="8298" max="8298" width="24" style="58" customWidth="1"/>
    <col min="8299" max="8299" width="9" style="58"/>
    <col min="8300" max="8300" width="11.75" style="58" customWidth="1"/>
    <col min="8301" max="8301" width="8.875" style="58" customWidth="1"/>
    <col min="8302" max="8302" width="17.375" style="58" customWidth="1"/>
    <col min="8303" max="8303" width="13.25" style="58" customWidth="1"/>
    <col min="8304" max="8304" width="25.75" style="58" customWidth="1"/>
    <col min="8305" max="8305" width="11.125" style="58" customWidth="1"/>
    <col min="8306" max="8306" width="10.75" style="58" customWidth="1"/>
    <col min="8307" max="8307" width="9" style="58" customWidth="1"/>
    <col min="8308" max="8308" width="9.75" style="58" customWidth="1"/>
    <col min="8309" max="8309" width="7.5" style="58" customWidth="1"/>
    <col min="8310" max="8310" width="13.25" style="58" customWidth="1"/>
    <col min="8311" max="8311" width="11.75" style="58" customWidth="1"/>
    <col min="8312" max="8312" width="8.875" style="58" customWidth="1"/>
    <col min="8313" max="8313" width="9.625" style="58" customWidth="1"/>
    <col min="8314" max="8315" width="11.875" style="58" customWidth="1"/>
    <col min="8316" max="8316" width="11.5" style="58" customWidth="1"/>
    <col min="8317" max="8332" width="12.25" style="58" customWidth="1"/>
    <col min="8333" max="8333" width="13" style="58" customWidth="1"/>
    <col min="8334" max="8338" width="12.375" style="58" customWidth="1"/>
    <col min="8339" max="8339" width="13" style="58" customWidth="1"/>
    <col min="8340" max="8341" width="12.375" style="58" customWidth="1"/>
    <col min="8342" max="8342" width="13" style="58" customWidth="1"/>
    <col min="8343" max="8343" width="13.125" style="58" customWidth="1"/>
    <col min="8344" max="8344" width="13" style="58" customWidth="1"/>
    <col min="8345" max="8345" width="13.125" style="58" customWidth="1"/>
    <col min="8346" max="8347" width="12.375" style="58" customWidth="1"/>
    <col min="8348" max="8348" width="13" style="58" customWidth="1"/>
    <col min="8349" max="8349" width="12.375" style="58" customWidth="1"/>
    <col min="8350" max="8350" width="12.25" style="58" customWidth="1"/>
    <col min="8351" max="8351" width="12.125" style="58" customWidth="1"/>
    <col min="8352" max="8352" width="11.625" style="58" customWidth="1"/>
    <col min="8353" max="8353" width="12" style="58" customWidth="1"/>
    <col min="8354" max="8354" width="13" style="58" customWidth="1"/>
    <col min="8355" max="8355" width="11.625" style="58" customWidth="1"/>
    <col min="8356" max="8357" width="12" style="58" customWidth="1"/>
    <col min="8358" max="8360" width="11.625" style="58" customWidth="1"/>
    <col min="8361" max="8361" width="11.125" style="58" customWidth="1"/>
    <col min="8362" max="8362" width="12" style="58" customWidth="1"/>
    <col min="8363" max="8363" width="13" style="58" customWidth="1"/>
    <col min="8364" max="8364" width="13.625" style="58" customWidth="1"/>
    <col min="8365" max="8365" width="11.875" style="58" customWidth="1"/>
    <col min="8366" max="8367" width="11.625" style="58" customWidth="1"/>
    <col min="8368" max="8368" width="12" style="58" customWidth="1"/>
    <col min="8369" max="8369" width="12.75" style="58" customWidth="1"/>
    <col min="8370" max="8370" width="11.625" style="58" customWidth="1"/>
    <col min="8371" max="8371" width="12.125" style="58" customWidth="1"/>
    <col min="8372" max="8373" width="11.625" style="58" customWidth="1"/>
    <col min="8374" max="8374" width="12.5" style="58" customWidth="1"/>
    <col min="8375" max="8549" width="11.625" style="58" customWidth="1"/>
    <col min="8550" max="8550" width="17.75" style="58" customWidth="1"/>
    <col min="8551" max="8552" width="9" style="58" customWidth="1"/>
    <col min="8553" max="8553" width="16.25" style="58" customWidth="1"/>
    <col min="8554" max="8554" width="24" style="58" customWidth="1"/>
    <col min="8555" max="8555" width="9" style="58"/>
    <col min="8556" max="8556" width="11.75" style="58" customWidth="1"/>
    <col min="8557" max="8557" width="8.875" style="58" customWidth="1"/>
    <col min="8558" max="8558" width="17.375" style="58" customWidth="1"/>
    <col min="8559" max="8559" width="13.25" style="58" customWidth="1"/>
    <col min="8560" max="8560" width="25.75" style="58" customWidth="1"/>
    <col min="8561" max="8561" width="11.125" style="58" customWidth="1"/>
    <col min="8562" max="8562" width="10.75" style="58" customWidth="1"/>
    <col min="8563" max="8563" width="9" style="58" customWidth="1"/>
    <col min="8564" max="8564" width="9.75" style="58" customWidth="1"/>
    <col min="8565" max="8565" width="7.5" style="58" customWidth="1"/>
    <col min="8566" max="8566" width="13.25" style="58" customWidth="1"/>
    <col min="8567" max="8567" width="11.75" style="58" customWidth="1"/>
    <col min="8568" max="8568" width="8.875" style="58" customWidth="1"/>
    <col min="8569" max="8569" width="9.625" style="58" customWidth="1"/>
    <col min="8570" max="8571" width="11.875" style="58" customWidth="1"/>
    <col min="8572" max="8572" width="11.5" style="58" customWidth="1"/>
    <col min="8573" max="8588" width="12.25" style="58" customWidth="1"/>
    <col min="8589" max="8589" width="13" style="58" customWidth="1"/>
    <col min="8590" max="8594" width="12.375" style="58" customWidth="1"/>
    <col min="8595" max="8595" width="13" style="58" customWidth="1"/>
    <col min="8596" max="8597" width="12.375" style="58" customWidth="1"/>
    <col min="8598" max="8598" width="13" style="58" customWidth="1"/>
    <col min="8599" max="8599" width="13.125" style="58" customWidth="1"/>
    <col min="8600" max="8600" width="13" style="58" customWidth="1"/>
    <col min="8601" max="8601" width="13.125" style="58" customWidth="1"/>
    <col min="8602" max="8603" width="12.375" style="58" customWidth="1"/>
    <col min="8604" max="8604" width="13" style="58" customWidth="1"/>
    <col min="8605" max="8605" width="12.375" style="58" customWidth="1"/>
    <col min="8606" max="8606" width="12.25" style="58" customWidth="1"/>
    <col min="8607" max="8607" width="12.125" style="58" customWidth="1"/>
    <col min="8608" max="8608" width="11.625" style="58" customWidth="1"/>
    <col min="8609" max="8609" width="12" style="58" customWidth="1"/>
    <col min="8610" max="8610" width="13" style="58" customWidth="1"/>
    <col min="8611" max="8611" width="11.625" style="58" customWidth="1"/>
    <col min="8612" max="8613" width="12" style="58" customWidth="1"/>
    <col min="8614" max="8616" width="11.625" style="58" customWidth="1"/>
    <col min="8617" max="8617" width="11.125" style="58" customWidth="1"/>
    <col min="8618" max="8618" width="12" style="58" customWidth="1"/>
    <col min="8619" max="8619" width="13" style="58" customWidth="1"/>
    <col min="8620" max="8620" width="13.625" style="58" customWidth="1"/>
    <col min="8621" max="8621" width="11.875" style="58" customWidth="1"/>
    <col min="8622" max="8623" width="11.625" style="58" customWidth="1"/>
    <col min="8624" max="8624" width="12" style="58" customWidth="1"/>
    <col min="8625" max="8625" width="12.75" style="58" customWidth="1"/>
    <col min="8626" max="8626" width="11.625" style="58" customWidth="1"/>
    <col min="8627" max="8627" width="12.125" style="58" customWidth="1"/>
    <col min="8628" max="8629" width="11.625" style="58" customWidth="1"/>
    <col min="8630" max="8630" width="12.5" style="58" customWidth="1"/>
    <col min="8631" max="8805" width="11.625" style="58" customWidth="1"/>
    <col min="8806" max="8806" width="17.75" style="58" customWidth="1"/>
    <col min="8807" max="8808" width="9" style="58" customWidth="1"/>
    <col min="8809" max="8809" width="16.25" style="58" customWidth="1"/>
    <col min="8810" max="8810" width="24" style="58" customWidth="1"/>
    <col min="8811" max="8811" width="9" style="58"/>
    <col min="8812" max="8812" width="11.75" style="58" customWidth="1"/>
    <col min="8813" max="8813" width="8.875" style="58" customWidth="1"/>
    <col min="8814" max="8814" width="17.375" style="58" customWidth="1"/>
    <col min="8815" max="8815" width="13.25" style="58" customWidth="1"/>
    <col min="8816" max="8816" width="25.75" style="58" customWidth="1"/>
    <col min="8817" max="8817" width="11.125" style="58" customWidth="1"/>
    <col min="8818" max="8818" width="10.75" style="58" customWidth="1"/>
    <col min="8819" max="8819" width="9" style="58" customWidth="1"/>
    <col min="8820" max="8820" width="9.75" style="58" customWidth="1"/>
    <col min="8821" max="8821" width="7.5" style="58" customWidth="1"/>
    <col min="8822" max="8822" width="13.25" style="58" customWidth="1"/>
    <col min="8823" max="8823" width="11.75" style="58" customWidth="1"/>
    <col min="8824" max="8824" width="8.875" style="58" customWidth="1"/>
    <col min="8825" max="8825" width="9.625" style="58" customWidth="1"/>
    <col min="8826" max="8827" width="11.875" style="58" customWidth="1"/>
    <col min="8828" max="8828" width="11.5" style="58" customWidth="1"/>
    <col min="8829" max="8844" width="12.25" style="58" customWidth="1"/>
    <col min="8845" max="8845" width="13" style="58" customWidth="1"/>
    <col min="8846" max="8850" width="12.375" style="58" customWidth="1"/>
    <col min="8851" max="8851" width="13" style="58" customWidth="1"/>
    <col min="8852" max="8853" width="12.375" style="58" customWidth="1"/>
    <col min="8854" max="8854" width="13" style="58" customWidth="1"/>
    <col min="8855" max="8855" width="13.125" style="58" customWidth="1"/>
    <col min="8856" max="8856" width="13" style="58" customWidth="1"/>
    <col min="8857" max="8857" width="13.125" style="58" customWidth="1"/>
    <col min="8858" max="8859" width="12.375" style="58" customWidth="1"/>
    <col min="8860" max="8860" width="13" style="58" customWidth="1"/>
    <col min="8861" max="8861" width="12.375" style="58" customWidth="1"/>
    <col min="8862" max="8862" width="12.25" style="58" customWidth="1"/>
    <col min="8863" max="8863" width="12.125" style="58" customWidth="1"/>
    <col min="8864" max="8864" width="11.625" style="58" customWidth="1"/>
    <col min="8865" max="8865" width="12" style="58" customWidth="1"/>
    <col min="8866" max="8866" width="13" style="58" customWidth="1"/>
    <col min="8867" max="8867" width="11.625" style="58" customWidth="1"/>
    <col min="8868" max="8869" width="12" style="58" customWidth="1"/>
    <col min="8870" max="8872" width="11.625" style="58" customWidth="1"/>
    <col min="8873" max="8873" width="11.125" style="58" customWidth="1"/>
    <col min="8874" max="8874" width="12" style="58" customWidth="1"/>
    <col min="8875" max="8875" width="13" style="58" customWidth="1"/>
    <col min="8876" max="8876" width="13.625" style="58" customWidth="1"/>
    <col min="8877" max="8877" width="11.875" style="58" customWidth="1"/>
    <col min="8878" max="8879" width="11.625" style="58" customWidth="1"/>
    <col min="8880" max="8880" width="12" style="58" customWidth="1"/>
    <col min="8881" max="8881" width="12.75" style="58" customWidth="1"/>
    <col min="8882" max="8882" width="11.625" style="58" customWidth="1"/>
    <col min="8883" max="8883" width="12.125" style="58" customWidth="1"/>
    <col min="8884" max="8885" width="11.625" style="58" customWidth="1"/>
    <col min="8886" max="8886" width="12.5" style="58" customWidth="1"/>
    <col min="8887" max="9061" width="11.625" style="58" customWidth="1"/>
    <col min="9062" max="9062" width="17.75" style="58" customWidth="1"/>
    <col min="9063" max="9064" width="9" style="58" customWidth="1"/>
    <col min="9065" max="9065" width="16.25" style="58" customWidth="1"/>
    <col min="9066" max="9066" width="24" style="58" customWidth="1"/>
    <col min="9067" max="9067" width="9" style="58"/>
    <col min="9068" max="9068" width="11.75" style="58" customWidth="1"/>
    <col min="9069" max="9069" width="8.875" style="58" customWidth="1"/>
    <col min="9070" max="9070" width="17.375" style="58" customWidth="1"/>
    <col min="9071" max="9071" width="13.25" style="58" customWidth="1"/>
    <col min="9072" max="9072" width="25.75" style="58" customWidth="1"/>
    <col min="9073" max="9073" width="11.125" style="58" customWidth="1"/>
    <col min="9074" max="9074" width="10.75" style="58" customWidth="1"/>
    <col min="9075" max="9075" width="9" style="58" customWidth="1"/>
    <col min="9076" max="9076" width="9.75" style="58" customWidth="1"/>
    <col min="9077" max="9077" width="7.5" style="58" customWidth="1"/>
    <col min="9078" max="9078" width="13.25" style="58" customWidth="1"/>
    <col min="9079" max="9079" width="11.75" style="58" customWidth="1"/>
    <col min="9080" max="9080" width="8.875" style="58" customWidth="1"/>
    <col min="9081" max="9081" width="9.625" style="58" customWidth="1"/>
    <col min="9082" max="9083" width="11.875" style="58" customWidth="1"/>
    <col min="9084" max="9084" width="11.5" style="58" customWidth="1"/>
    <col min="9085" max="9100" width="12.25" style="58" customWidth="1"/>
    <col min="9101" max="9101" width="13" style="58" customWidth="1"/>
    <col min="9102" max="9106" width="12.375" style="58" customWidth="1"/>
    <col min="9107" max="9107" width="13" style="58" customWidth="1"/>
    <col min="9108" max="9109" width="12.375" style="58" customWidth="1"/>
    <col min="9110" max="9110" width="13" style="58" customWidth="1"/>
    <col min="9111" max="9111" width="13.125" style="58" customWidth="1"/>
    <col min="9112" max="9112" width="13" style="58" customWidth="1"/>
    <col min="9113" max="9113" width="13.125" style="58" customWidth="1"/>
    <col min="9114" max="9115" width="12.375" style="58" customWidth="1"/>
    <col min="9116" max="9116" width="13" style="58" customWidth="1"/>
    <col min="9117" max="9117" width="12.375" style="58" customWidth="1"/>
    <col min="9118" max="9118" width="12.25" style="58" customWidth="1"/>
    <col min="9119" max="9119" width="12.125" style="58" customWidth="1"/>
    <col min="9120" max="9120" width="11.625" style="58" customWidth="1"/>
    <col min="9121" max="9121" width="12" style="58" customWidth="1"/>
    <col min="9122" max="9122" width="13" style="58" customWidth="1"/>
    <col min="9123" max="9123" width="11.625" style="58" customWidth="1"/>
    <col min="9124" max="9125" width="12" style="58" customWidth="1"/>
    <col min="9126" max="9128" width="11.625" style="58" customWidth="1"/>
    <col min="9129" max="9129" width="11.125" style="58" customWidth="1"/>
    <col min="9130" max="9130" width="12" style="58" customWidth="1"/>
    <col min="9131" max="9131" width="13" style="58" customWidth="1"/>
    <col min="9132" max="9132" width="13.625" style="58" customWidth="1"/>
    <col min="9133" max="9133" width="11.875" style="58" customWidth="1"/>
    <col min="9134" max="9135" width="11.625" style="58" customWidth="1"/>
    <col min="9136" max="9136" width="12" style="58" customWidth="1"/>
    <col min="9137" max="9137" width="12.75" style="58" customWidth="1"/>
    <col min="9138" max="9138" width="11.625" style="58" customWidth="1"/>
    <col min="9139" max="9139" width="12.125" style="58" customWidth="1"/>
    <col min="9140" max="9141" width="11.625" style="58" customWidth="1"/>
    <col min="9142" max="9142" width="12.5" style="58" customWidth="1"/>
    <col min="9143" max="9317" width="11.625" style="58" customWidth="1"/>
    <col min="9318" max="9318" width="17.75" style="58" customWidth="1"/>
    <col min="9319" max="9320" width="9" style="58" customWidth="1"/>
    <col min="9321" max="9321" width="16.25" style="58" customWidth="1"/>
    <col min="9322" max="9322" width="24" style="58" customWidth="1"/>
    <col min="9323" max="9323" width="9" style="58"/>
    <col min="9324" max="9324" width="11.75" style="58" customWidth="1"/>
    <col min="9325" max="9325" width="8.875" style="58" customWidth="1"/>
    <col min="9326" max="9326" width="17.375" style="58" customWidth="1"/>
    <col min="9327" max="9327" width="13.25" style="58" customWidth="1"/>
    <col min="9328" max="9328" width="25.75" style="58" customWidth="1"/>
    <col min="9329" max="9329" width="11.125" style="58" customWidth="1"/>
    <col min="9330" max="9330" width="10.75" style="58" customWidth="1"/>
    <col min="9331" max="9331" width="9" style="58" customWidth="1"/>
    <col min="9332" max="9332" width="9.75" style="58" customWidth="1"/>
    <col min="9333" max="9333" width="7.5" style="58" customWidth="1"/>
    <col min="9334" max="9334" width="13.25" style="58" customWidth="1"/>
    <col min="9335" max="9335" width="11.75" style="58" customWidth="1"/>
    <col min="9336" max="9336" width="8.875" style="58" customWidth="1"/>
    <col min="9337" max="9337" width="9.625" style="58" customWidth="1"/>
    <col min="9338" max="9339" width="11.875" style="58" customWidth="1"/>
    <col min="9340" max="9340" width="11.5" style="58" customWidth="1"/>
    <col min="9341" max="9356" width="12.25" style="58" customWidth="1"/>
    <col min="9357" max="9357" width="13" style="58" customWidth="1"/>
    <col min="9358" max="9362" width="12.375" style="58" customWidth="1"/>
    <col min="9363" max="9363" width="13" style="58" customWidth="1"/>
    <col min="9364" max="9365" width="12.375" style="58" customWidth="1"/>
    <col min="9366" max="9366" width="13" style="58" customWidth="1"/>
    <col min="9367" max="9367" width="13.125" style="58" customWidth="1"/>
    <col min="9368" max="9368" width="13" style="58" customWidth="1"/>
    <col min="9369" max="9369" width="13.125" style="58" customWidth="1"/>
    <col min="9370" max="9371" width="12.375" style="58" customWidth="1"/>
    <col min="9372" max="9372" width="13" style="58" customWidth="1"/>
    <col min="9373" max="9373" width="12.375" style="58" customWidth="1"/>
    <col min="9374" max="9374" width="12.25" style="58" customWidth="1"/>
    <col min="9375" max="9375" width="12.125" style="58" customWidth="1"/>
    <col min="9376" max="9376" width="11.625" style="58" customWidth="1"/>
    <col min="9377" max="9377" width="12" style="58" customWidth="1"/>
    <col min="9378" max="9378" width="13" style="58" customWidth="1"/>
    <col min="9379" max="9379" width="11.625" style="58" customWidth="1"/>
    <col min="9380" max="9381" width="12" style="58" customWidth="1"/>
    <col min="9382" max="9384" width="11.625" style="58" customWidth="1"/>
    <col min="9385" max="9385" width="11.125" style="58" customWidth="1"/>
    <col min="9386" max="9386" width="12" style="58" customWidth="1"/>
    <col min="9387" max="9387" width="13" style="58" customWidth="1"/>
    <col min="9388" max="9388" width="13.625" style="58" customWidth="1"/>
    <col min="9389" max="9389" width="11.875" style="58" customWidth="1"/>
    <col min="9390" max="9391" width="11.625" style="58" customWidth="1"/>
    <col min="9392" max="9392" width="12" style="58" customWidth="1"/>
    <col min="9393" max="9393" width="12.75" style="58" customWidth="1"/>
    <col min="9394" max="9394" width="11.625" style="58" customWidth="1"/>
    <col min="9395" max="9395" width="12.125" style="58" customWidth="1"/>
    <col min="9396" max="9397" width="11.625" style="58" customWidth="1"/>
    <col min="9398" max="9398" width="12.5" style="58" customWidth="1"/>
    <col min="9399" max="9573" width="11.625" style="58" customWidth="1"/>
    <col min="9574" max="9574" width="17.75" style="58" customWidth="1"/>
    <col min="9575" max="9576" width="9" style="58" customWidth="1"/>
    <col min="9577" max="9577" width="16.25" style="58" customWidth="1"/>
    <col min="9578" max="9578" width="24" style="58" customWidth="1"/>
    <col min="9579" max="9579" width="9" style="58"/>
    <col min="9580" max="9580" width="11.75" style="58" customWidth="1"/>
    <col min="9581" max="9581" width="8.875" style="58" customWidth="1"/>
    <col min="9582" max="9582" width="17.375" style="58" customWidth="1"/>
    <col min="9583" max="9583" width="13.25" style="58" customWidth="1"/>
    <col min="9584" max="9584" width="25.75" style="58" customWidth="1"/>
    <col min="9585" max="9585" width="11.125" style="58" customWidth="1"/>
    <col min="9586" max="9586" width="10.75" style="58" customWidth="1"/>
    <col min="9587" max="9587" width="9" style="58" customWidth="1"/>
    <col min="9588" max="9588" width="9.75" style="58" customWidth="1"/>
    <col min="9589" max="9589" width="7.5" style="58" customWidth="1"/>
    <col min="9590" max="9590" width="13.25" style="58" customWidth="1"/>
    <col min="9591" max="9591" width="11.75" style="58" customWidth="1"/>
    <col min="9592" max="9592" width="8.875" style="58" customWidth="1"/>
    <col min="9593" max="9593" width="9.625" style="58" customWidth="1"/>
    <col min="9594" max="9595" width="11.875" style="58" customWidth="1"/>
    <col min="9596" max="9596" width="11.5" style="58" customWidth="1"/>
    <col min="9597" max="9612" width="12.25" style="58" customWidth="1"/>
    <col min="9613" max="9613" width="13" style="58" customWidth="1"/>
    <col min="9614" max="9618" width="12.375" style="58" customWidth="1"/>
    <col min="9619" max="9619" width="13" style="58" customWidth="1"/>
    <col min="9620" max="9621" width="12.375" style="58" customWidth="1"/>
    <col min="9622" max="9622" width="13" style="58" customWidth="1"/>
    <col min="9623" max="9623" width="13.125" style="58" customWidth="1"/>
    <col min="9624" max="9624" width="13" style="58" customWidth="1"/>
    <col min="9625" max="9625" width="13.125" style="58" customWidth="1"/>
    <col min="9626" max="9627" width="12.375" style="58" customWidth="1"/>
    <col min="9628" max="9628" width="13" style="58" customWidth="1"/>
    <col min="9629" max="9629" width="12.375" style="58" customWidth="1"/>
    <col min="9630" max="9630" width="12.25" style="58" customWidth="1"/>
    <col min="9631" max="9631" width="12.125" style="58" customWidth="1"/>
    <col min="9632" max="9632" width="11.625" style="58" customWidth="1"/>
    <col min="9633" max="9633" width="12" style="58" customWidth="1"/>
    <col min="9634" max="9634" width="13" style="58" customWidth="1"/>
    <col min="9635" max="9635" width="11.625" style="58" customWidth="1"/>
    <col min="9636" max="9637" width="12" style="58" customWidth="1"/>
    <col min="9638" max="9640" width="11.625" style="58" customWidth="1"/>
    <col min="9641" max="9641" width="11.125" style="58" customWidth="1"/>
    <col min="9642" max="9642" width="12" style="58" customWidth="1"/>
    <col min="9643" max="9643" width="13" style="58" customWidth="1"/>
    <col min="9644" max="9644" width="13.625" style="58" customWidth="1"/>
    <col min="9645" max="9645" width="11.875" style="58" customWidth="1"/>
    <col min="9646" max="9647" width="11.625" style="58" customWidth="1"/>
    <col min="9648" max="9648" width="12" style="58" customWidth="1"/>
    <col min="9649" max="9649" width="12.75" style="58" customWidth="1"/>
    <col min="9650" max="9650" width="11.625" style="58" customWidth="1"/>
    <col min="9651" max="9651" width="12.125" style="58" customWidth="1"/>
    <col min="9652" max="9653" width="11.625" style="58" customWidth="1"/>
    <col min="9654" max="9654" width="12.5" style="58" customWidth="1"/>
    <col min="9655" max="9829" width="11.625" style="58" customWidth="1"/>
    <col min="9830" max="9830" width="17.75" style="58" customWidth="1"/>
    <col min="9831" max="9832" width="9" style="58" customWidth="1"/>
    <col min="9833" max="9833" width="16.25" style="58" customWidth="1"/>
    <col min="9834" max="9834" width="24" style="58" customWidth="1"/>
    <col min="9835" max="9835" width="9" style="58"/>
    <col min="9836" max="9836" width="11.75" style="58" customWidth="1"/>
    <col min="9837" max="9837" width="8.875" style="58" customWidth="1"/>
    <col min="9838" max="9838" width="17.375" style="58" customWidth="1"/>
    <col min="9839" max="9839" width="13.25" style="58" customWidth="1"/>
    <col min="9840" max="9840" width="25.75" style="58" customWidth="1"/>
    <col min="9841" max="9841" width="11.125" style="58" customWidth="1"/>
    <col min="9842" max="9842" width="10.75" style="58" customWidth="1"/>
    <col min="9843" max="9843" width="9" style="58" customWidth="1"/>
    <col min="9844" max="9844" width="9.75" style="58" customWidth="1"/>
    <col min="9845" max="9845" width="7.5" style="58" customWidth="1"/>
    <col min="9846" max="9846" width="13.25" style="58" customWidth="1"/>
    <col min="9847" max="9847" width="11.75" style="58" customWidth="1"/>
    <col min="9848" max="9848" width="8.875" style="58" customWidth="1"/>
    <col min="9849" max="9849" width="9.625" style="58" customWidth="1"/>
    <col min="9850" max="9851" width="11.875" style="58" customWidth="1"/>
    <col min="9852" max="9852" width="11.5" style="58" customWidth="1"/>
    <col min="9853" max="9868" width="12.25" style="58" customWidth="1"/>
    <col min="9869" max="9869" width="13" style="58" customWidth="1"/>
    <col min="9870" max="9874" width="12.375" style="58" customWidth="1"/>
    <col min="9875" max="9875" width="13" style="58" customWidth="1"/>
    <col min="9876" max="9877" width="12.375" style="58" customWidth="1"/>
    <col min="9878" max="9878" width="13" style="58" customWidth="1"/>
    <col min="9879" max="9879" width="13.125" style="58" customWidth="1"/>
    <col min="9880" max="9880" width="13" style="58" customWidth="1"/>
    <col min="9881" max="9881" width="13.125" style="58" customWidth="1"/>
    <col min="9882" max="9883" width="12.375" style="58" customWidth="1"/>
    <col min="9884" max="9884" width="13" style="58" customWidth="1"/>
    <col min="9885" max="9885" width="12.375" style="58" customWidth="1"/>
    <col min="9886" max="9886" width="12.25" style="58" customWidth="1"/>
    <col min="9887" max="9887" width="12.125" style="58" customWidth="1"/>
    <col min="9888" max="9888" width="11.625" style="58" customWidth="1"/>
    <col min="9889" max="9889" width="12" style="58" customWidth="1"/>
    <col min="9890" max="9890" width="13" style="58" customWidth="1"/>
    <col min="9891" max="9891" width="11.625" style="58" customWidth="1"/>
    <col min="9892" max="9893" width="12" style="58" customWidth="1"/>
    <col min="9894" max="9896" width="11.625" style="58" customWidth="1"/>
    <col min="9897" max="9897" width="11.125" style="58" customWidth="1"/>
    <col min="9898" max="9898" width="12" style="58" customWidth="1"/>
    <col min="9899" max="9899" width="13" style="58" customWidth="1"/>
    <col min="9900" max="9900" width="13.625" style="58" customWidth="1"/>
    <col min="9901" max="9901" width="11.875" style="58" customWidth="1"/>
    <col min="9902" max="9903" width="11.625" style="58" customWidth="1"/>
    <col min="9904" max="9904" width="12" style="58" customWidth="1"/>
    <col min="9905" max="9905" width="12.75" style="58" customWidth="1"/>
    <col min="9906" max="9906" width="11.625" style="58" customWidth="1"/>
    <col min="9907" max="9907" width="12.125" style="58" customWidth="1"/>
    <col min="9908" max="9909" width="11.625" style="58" customWidth="1"/>
    <col min="9910" max="9910" width="12.5" style="58" customWidth="1"/>
    <col min="9911" max="10085" width="11.625" style="58" customWidth="1"/>
    <col min="10086" max="10086" width="17.75" style="58" customWidth="1"/>
    <col min="10087" max="10088" width="9" style="58" customWidth="1"/>
    <col min="10089" max="10089" width="16.25" style="58" customWidth="1"/>
    <col min="10090" max="10090" width="24" style="58" customWidth="1"/>
    <col min="10091" max="10091" width="9" style="58"/>
    <col min="10092" max="10092" width="11.75" style="58" customWidth="1"/>
    <col min="10093" max="10093" width="8.875" style="58" customWidth="1"/>
    <col min="10094" max="10094" width="17.375" style="58" customWidth="1"/>
    <col min="10095" max="10095" width="13.25" style="58" customWidth="1"/>
    <col min="10096" max="10096" width="25.75" style="58" customWidth="1"/>
    <col min="10097" max="10097" width="11.125" style="58" customWidth="1"/>
    <col min="10098" max="10098" width="10.75" style="58" customWidth="1"/>
    <col min="10099" max="10099" width="9" style="58" customWidth="1"/>
    <col min="10100" max="10100" width="9.75" style="58" customWidth="1"/>
    <col min="10101" max="10101" width="7.5" style="58" customWidth="1"/>
    <col min="10102" max="10102" width="13.25" style="58" customWidth="1"/>
    <col min="10103" max="10103" width="11.75" style="58" customWidth="1"/>
    <col min="10104" max="10104" width="8.875" style="58" customWidth="1"/>
    <col min="10105" max="10105" width="9.625" style="58" customWidth="1"/>
    <col min="10106" max="10107" width="11.875" style="58" customWidth="1"/>
    <col min="10108" max="10108" width="11.5" style="58" customWidth="1"/>
    <col min="10109" max="10124" width="12.25" style="58" customWidth="1"/>
    <col min="10125" max="10125" width="13" style="58" customWidth="1"/>
    <col min="10126" max="10130" width="12.375" style="58" customWidth="1"/>
    <col min="10131" max="10131" width="13" style="58" customWidth="1"/>
    <col min="10132" max="10133" width="12.375" style="58" customWidth="1"/>
    <col min="10134" max="10134" width="13" style="58" customWidth="1"/>
    <col min="10135" max="10135" width="13.125" style="58" customWidth="1"/>
    <col min="10136" max="10136" width="13" style="58" customWidth="1"/>
    <col min="10137" max="10137" width="13.125" style="58" customWidth="1"/>
    <col min="10138" max="10139" width="12.375" style="58" customWidth="1"/>
    <col min="10140" max="10140" width="13" style="58" customWidth="1"/>
    <col min="10141" max="10141" width="12.375" style="58" customWidth="1"/>
    <col min="10142" max="10142" width="12.25" style="58" customWidth="1"/>
    <col min="10143" max="10143" width="12.125" style="58" customWidth="1"/>
    <col min="10144" max="10144" width="11.625" style="58" customWidth="1"/>
    <col min="10145" max="10145" width="12" style="58" customWidth="1"/>
    <col min="10146" max="10146" width="13" style="58" customWidth="1"/>
    <col min="10147" max="10147" width="11.625" style="58" customWidth="1"/>
    <col min="10148" max="10149" width="12" style="58" customWidth="1"/>
    <col min="10150" max="10152" width="11.625" style="58" customWidth="1"/>
    <col min="10153" max="10153" width="11.125" style="58" customWidth="1"/>
    <col min="10154" max="10154" width="12" style="58" customWidth="1"/>
    <col min="10155" max="10155" width="13" style="58" customWidth="1"/>
    <col min="10156" max="10156" width="13.625" style="58" customWidth="1"/>
    <col min="10157" max="10157" width="11.875" style="58" customWidth="1"/>
    <col min="10158" max="10159" width="11.625" style="58" customWidth="1"/>
    <col min="10160" max="10160" width="12" style="58" customWidth="1"/>
    <col min="10161" max="10161" width="12.75" style="58" customWidth="1"/>
    <col min="10162" max="10162" width="11.625" style="58" customWidth="1"/>
    <col min="10163" max="10163" width="12.125" style="58" customWidth="1"/>
    <col min="10164" max="10165" width="11.625" style="58" customWidth="1"/>
    <col min="10166" max="10166" width="12.5" style="58" customWidth="1"/>
    <col min="10167" max="10341" width="11.625" style="58" customWidth="1"/>
    <col min="10342" max="10342" width="17.75" style="58" customWidth="1"/>
    <col min="10343" max="10344" width="9" style="58" customWidth="1"/>
    <col min="10345" max="10345" width="16.25" style="58" customWidth="1"/>
    <col min="10346" max="10346" width="24" style="58" customWidth="1"/>
    <col min="10347" max="10347" width="9" style="58"/>
    <col min="10348" max="10348" width="11.75" style="58" customWidth="1"/>
    <col min="10349" max="10349" width="8.875" style="58" customWidth="1"/>
    <col min="10350" max="10350" width="17.375" style="58" customWidth="1"/>
    <col min="10351" max="10351" width="13.25" style="58" customWidth="1"/>
    <col min="10352" max="10352" width="25.75" style="58" customWidth="1"/>
    <col min="10353" max="10353" width="11.125" style="58" customWidth="1"/>
    <col min="10354" max="10354" width="10.75" style="58" customWidth="1"/>
    <col min="10355" max="10355" width="9" style="58" customWidth="1"/>
    <col min="10356" max="10356" width="9.75" style="58" customWidth="1"/>
    <col min="10357" max="10357" width="7.5" style="58" customWidth="1"/>
    <col min="10358" max="10358" width="13.25" style="58" customWidth="1"/>
    <col min="10359" max="10359" width="11.75" style="58" customWidth="1"/>
    <col min="10360" max="10360" width="8.875" style="58" customWidth="1"/>
    <col min="10361" max="10361" width="9.625" style="58" customWidth="1"/>
    <col min="10362" max="10363" width="11.875" style="58" customWidth="1"/>
    <col min="10364" max="10364" width="11.5" style="58" customWidth="1"/>
    <col min="10365" max="10380" width="12.25" style="58" customWidth="1"/>
    <col min="10381" max="10381" width="13" style="58" customWidth="1"/>
    <col min="10382" max="10386" width="12.375" style="58" customWidth="1"/>
    <col min="10387" max="10387" width="13" style="58" customWidth="1"/>
    <col min="10388" max="10389" width="12.375" style="58" customWidth="1"/>
    <col min="10390" max="10390" width="13" style="58" customWidth="1"/>
    <col min="10391" max="10391" width="13.125" style="58" customWidth="1"/>
    <col min="10392" max="10392" width="13" style="58" customWidth="1"/>
    <col min="10393" max="10393" width="13.125" style="58" customWidth="1"/>
    <col min="10394" max="10395" width="12.375" style="58" customWidth="1"/>
    <col min="10396" max="10396" width="13" style="58" customWidth="1"/>
    <col min="10397" max="10397" width="12.375" style="58" customWidth="1"/>
    <col min="10398" max="10398" width="12.25" style="58" customWidth="1"/>
    <col min="10399" max="10399" width="12.125" style="58" customWidth="1"/>
    <col min="10400" max="10400" width="11.625" style="58" customWidth="1"/>
    <col min="10401" max="10401" width="12" style="58" customWidth="1"/>
    <col min="10402" max="10402" width="13" style="58" customWidth="1"/>
    <col min="10403" max="10403" width="11.625" style="58" customWidth="1"/>
    <col min="10404" max="10405" width="12" style="58" customWidth="1"/>
    <col min="10406" max="10408" width="11.625" style="58" customWidth="1"/>
    <col min="10409" max="10409" width="11.125" style="58" customWidth="1"/>
    <col min="10410" max="10410" width="12" style="58" customWidth="1"/>
    <col min="10411" max="10411" width="13" style="58" customWidth="1"/>
    <col min="10412" max="10412" width="13.625" style="58" customWidth="1"/>
    <col min="10413" max="10413" width="11.875" style="58" customWidth="1"/>
    <col min="10414" max="10415" width="11.625" style="58" customWidth="1"/>
    <col min="10416" max="10416" width="12" style="58" customWidth="1"/>
    <col min="10417" max="10417" width="12.75" style="58" customWidth="1"/>
    <col min="10418" max="10418" width="11.625" style="58" customWidth="1"/>
    <col min="10419" max="10419" width="12.125" style="58" customWidth="1"/>
    <col min="10420" max="10421" width="11.625" style="58" customWidth="1"/>
    <col min="10422" max="10422" width="12.5" style="58" customWidth="1"/>
    <col min="10423" max="10597" width="11.625" style="58" customWidth="1"/>
    <col min="10598" max="10598" width="17.75" style="58" customWidth="1"/>
    <col min="10599" max="10600" width="9" style="58" customWidth="1"/>
    <col min="10601" max="10601" width="16.25" style="58" customWidth="1"/>
    <col min="10602" max="10602" width="24" style="58" customWidth="1"/>
    <col min="10603" max="10603" width="9" style="58"/>
    <col min="10604" max="10604" width="11.75" style="58" customWidth="1"/>
    <col min="10605" max="10605" width="8.875" style="58" customWidth="1"/>
    <col min="10606" max="10606" width="17.375" style="58" customWidth="1"/>
    <col min="10607" max="10607" width="13.25" style="58" customWidth="1"/>
    <col min="10608" max="10608" width="25.75" style="58" customWidth="1"/>
    <col min="10609" max="10609" width="11.125" style="58" customWidth="1"/>
    <col min="10610" max="10610" width="10.75" style="58" customWidth="1"/>
    <col min="10611" max="10611" width="9" style="58" customWidth="1"/>
    <col min="10612" max="10612" width="9.75" style="58" customWidth="1"/>
    <col min="10613" max="10613" width="7.5" style="58" customWidth="1"/>
    <col min="10614" max="10614" width="13.25" style="58" customWidth="1"/>
    <col min="10615" max="10615" width="11.75" style="58" customWidth="1"/>
    <col min="10616" max="10616" width="8.875" style="58" customWidth="1"/>
    <col min="10617" max="10617" width="9.625" style="58" customWidth="1"/>
    <col min="10618" max="10619" width="11.875" style="58" customWidth="1"/>
    <col min="10620" max="10620" width="11.5" style="58" customWidth="1"/>
    <col min="10621" max="10636" width="12.25" style="58" customWidth="1"/>
    <col min="10637" max="10637" width="13" style="58" customWidth="1"/>
    <col min="10638" max="10642" width="12.375" style="58" customWidth="1"/>
    <col min="10643" max="10643" width="13" style="58" customWidth="1"/>
    <col min="10644" max="10645" width="12.375" style="58" customWidth="1"/>
    <col min="10646" max="10646" width="13" style="58" customWidth="1"/>
    <col min="10647" max="10647" width="13.125" style="58" customWidth="1"/>
    <col min="10648" max="10648" width="13" style="58" customWidth="1"/>
    <col min="10649" max="10649" width="13.125" style="58" customWidth="1"/>
    <col min="10650" max="10651" width="12.375" style="58" customWidth="1"/>
    <col min="10652" max="10652" width="13" style="58" customWidth="1"/>
    <col min="10653" max="10653" width="12.375" style="58" customWidth="1"/>
    <col min="10654" max="10654" width="12.25" style="58" customWidth="1"/>
    <col min="10655" max="10655" width="12.125" style="58" customWidth="1"/>
    <col min="10656" max="10656" width="11.625" style="58" customWidth="1"/>
    <col min="10657" max="10657" width="12" style="58" customWidth="1"/>
    <col min="10658" max="10658" width="13" style="58" customWidth="1"/>
    <col min="10659" max="10659" width="11.625" style="58" customWidth="1"/>
    <col min="10660" max="10661" width="12" style="58" customWidth="1"/>
    <col min="10662" max="10664" width="11.625" style="58" customWidth="1"/>
    <col min="10665" max="10665" width="11.125" style="58" customWidth="1"/>
    <col min="10666" max="10666" width="12" style="58" customWidth="1"/>
    <col min="10667" max="10667" width="13" style="58" customWidth="1"/>
    <col min="10668" max="10668" width="13.625" style="58" customWidth="1"/>
    <col min="10669" max="10669" width="11.875" style="58" customWidth="1"/>
    <col min="10670" max="10671" width="11.625" style="58" customWidth="1"/>
    <col min="10672" max="10672" width="12" style="58" customWidth="1"/>
    <col min="10673" max="10673" width="12.75" style="58" customWidth="1"/>
    <col min="10674" max="10674" width="11.625" style="58" customWidth="1"/>
    <col min="10675" max="10675" width="12.125" style="58" customWidth="1"/>
    <col min="10676" max="10677" width="11.625" style="58" customWidth="1"/>
    <col min="10678" max="10678" width="12.5" style="58" customWidth="1"/>
    <col min="10679" max="10853" width="11.625" style="58" customWidth="1"/>
    <col min="10854" max="10854" width="17.75" style="58" customWidth="1"/>
    <col min="10855" max="10856" width="9" style="58" customWidth="1"/>
    <col min="10857" max="10857" width="16.25" style="58" customWidth="1"/>
    <col min="10858" max="10858" width="24" style="58" customWidth="1"/>
    <col min="10859" max="10859" width="9" style="58"/>
    <col min="10860" max="10860" width="11.75" style="58" customWidth="1"/>
    <col min="10861" max="10861" width="8.875" style="58" customWidth="1"/>
    <col min="10862" max="10862" width="17.375" style="58" customWidth="1"/>
    <col min="10863" max="10863" width="13.25" style="58" customWidth="1"/>
    <col min="10864" max="10864" width="25.75" style="58" customWidth="1"/>
    <col min="10865" max="10865" width="11.125" style="58" customWidth="1"/>
    <col min="10866" max="10866" width="10.75" style="58" customWidth="1"/>
    <col min="10867" max="10867" width="9" style="58" customWidth="1"/>
    <col min="10868" max="10868" width="9.75" style="58" customWidth="1"/>
    <col min="10869" max="10869" width="7.5" style="58" customWidth="1"/>
    <col min="10870" max="10870" width="13.25" style="58" customWidth="1"/>
    <col min="10871" max="10871" width="11.75" style="58" customWidth="1"/>
    <col min="10872" max="10872" width="8.875" style="58" customWidth="1"/>
    <col min="10873" max="10873" width="9.625" style="58" customWidth="1"/>
    <col min="10874" max="10875" width="11.875" style="58" customWidth="1"/>
    <col min="10876" max="10876" width="11.5" style="58" customWidth="1"/>
    <col min="10877" max="10892" width="12.25" style="58" customWidth="1"/>
    <col min="10893" max="10893" width="13" style="58" customWidth="1"/>
    <col min="10894" max="10898" width="12.375" style="58" customWidth="1"/>
    <col min="10899" max="10899" width="13" style="58" customWidth="1"/>
    <col min="10900" max="10901" width="12.375" style="58" customWidth="1"/>
    <col min="10902" max="10902" width="13" style="58" customWidth="1"/>
    <col min="10903" max="10903" width="13.125" style="58" customWidth="1"/>
    <col min="10904" max="10904" width="13" style="58" customWidth="1"/>
    <col min="10905" max="10905" width="13.125" style="58" customWidth="1"/>
    <col min="10906" max="10907" width="12.375" style="58" customWidth="1"/>
    <col min="10908" max="10908" width="13" style="58" customWidth="1"/>
    <col min="10909" max="10909" width="12.375" style="58" customWidth="1"/>
    <col min="10910" max="10910" width="12.25" style="58" customWidth="1"/>
    <col min="10911" max="10911" width="12.125" style="58" customWidth="1"/>
    <col min="10912" max="10912" width="11.625" style="58" customWidth="1"/>
    <col min="10913" max="10913" width="12" style="58" customWidth="1"/>
    <col min="10914" max="10914" width="13" style="58" customWidth="1"/>
    <col min="10915" max="10915" width="11.625" style="58" customWidth="1"/>
    <col min="10916" max="10917" width="12" style="58" customWidth="1"/>
    <col min="10918" max="10920" width="11.625" style="58" customWidth="1"/>
    <col min="10921" max="10921" width="11.125" style="58" customWidth="1"/>
    <col min="10922" max="10922" width="12" style="58" customWidth="1"/>
    <col min="10923" max="10923" width="13" style="58" customWidth="1"/>
    <col min="10924" max="10924" width="13.625" style="58" customWidth="1"/>
    <col min="10925" max="10925" width="11.875" style="58" customWidth="1"/>
    <col min="10926" max="10927" width="11.625" style="58" customWidth="1"/>
    <col min="10928" max="10928" width="12" style="58" customWidth="1"/>
    <col min="10929" max="10929" width="12.75" style="58" customWidth="1"/>
    <col min="10930" max="10930" width="11.625" style="58" customWidth="1"/>
    <col min="10931" max="10931" width="12.125" style="58" customWidth="1"/>
    <col min="10932" max="10933" width="11.625" style="58" customWidth="1"/>
    <col min="10934" max="10934" width="12.5" style="58" customWidth="1"/>
    <col min="10935" max="11109" width="11.625" style="58" customWidth="1"/>
    <col min="11110" max="11110" width="17.75" style="58" customWidth="1"/>
    <col min="11111" max="11112" width="9" style="58" customWidth="1"/>
    <col min="11113" max="11113" width="16.25" style="58" customWidth="1"/>
    <col min="11114" max="11114" width="24" style="58" customWidth="1"/>
    <col min="11115" max="11115" width="9" style="58"/>
    <col min="11116" max="11116" width="11.75" style="58" customWidth="1"/>
    <col min="11117" max="11117" width="8.875" style="58" customWidth="1"/>
    <col min="11118" max="11118" width="17.375" style="58" customWidth="1"/>
    <col min="11119" max="11119" width="13.25" style="58" customWidth="1"/>
    <col min="11120" max="11120" width="25.75" style="58" customWidth="1"/>
    <col min="11121" max="11121" width="11.125" style="58" customWidth="1"/>
    <col min="11122" max="11122" width="10.75" style="58" customWidth="1"/>
    <col min="11123" max="11123" width="9" style="58" customWidth="1"/>
    <col min="11124" max="11124" width="9.75" style="58" customWidth="1"/>
    <col min="11125" max="11125" width="7.5" style="58" customWidth="1"/>
    <col min="11126" max="11126" width="13.25" style="58" customWidth="1"/>
    <col min="11127" max="11127" width="11.75" style="58" customWidth="1"/>
    <col min="11128" max="11128" width="8.875" style="58" customWidth="1"/>
    <col min="11129" max="11129" width="9.625" style="58" customWidth="1"/>
    <col min="11130" max="11131" width="11.875" style="58" customWidth="1"/>
    <col min="11132" max="11132" width="11.5" style="58" customWidth="1"/>
    <col min="11133" max="11148" width="12.25" style="58" customWidth="1"/>
    <col min="11149" max="11149" width="13" style="58" customWidth="1"/>
    <col min="11150" max="11154" width="12.375" style="58" customWidth="1"/>
    <col min="11155" max="11155" width="13" style="58" customWidth="1"/>
    <col min="11156" max="11157" width="12.375" style="58" customWidth="1"/>
    <col min="11158" max="11158" width="13" style="58" customWidth="1"/>
    <col min="11159" max="11159" width="13.125" style="58" customWidth="1"/>
    <col min="11160" max="11160" width="13" style="58" customWidth="1"/>
    <col min="11161" max="11161" width="13.125" style="58" customWidth="1"/>
    <col min="11162" max="11163" width="12.375" style="58" customWidth="1"/>
    <col min="11164" max="11164" width="13" style="58" customWidth="1"/>
    <col min="11165" max="11165" width="12.375" style="58" customWidth="1"/>
    <col min="11166" max="11166" width="12.25" style="58" customWidth="1"/>
    <col min="11167" max="11167" width="12.125" style="58" customWidth="1"/>
    <col min="11168" max="11168" width="11.625" style="58" customWidth="1"/>
    <col min="11169" max="11169" width="12" style="58" customWidth="1"/>
    <col min="11170" max="11170" width="13" style="58" customWidth="1"/>
    <col min="11171" max="11171" width="11.625" style="58" customWidth="1"/>
    <col min="11172" max="11173" width="12" style="58" customWidth="1"/>
    <col min="11174" max="11176" width="11.625" style="58" customWidth="1"/>
    <col min="11177" max="11177" width="11.125" style="58" customWidth="1"/>
    <col min="11178" max="11178" width="12" style="58" customWidth="1"/>
    <col min="11179" max="11179" width="13" style="58" customWidth="1"/>
    <col min="11180" max="11180" width="13.625" style="58" customWidth="1"/>
    <col min="11181" max="11181" width="11.875" style="58" customWidth="1"/>
    <col min="11182" max="11183" width="11.625" style="58" customWidth="1"/>
    <col min="11184" max="11184" width="12" style="58" customWidth="1"/>
    <col min="11185" max="11185" width="12.75" style="58" customWidth="1"/>
    <col min="11186" max="11186" width="11.625" style="58" customWidth="1"/>
    <col min="11187" max="11187" width="12.125" style="58" customWidth="1"/>
    <col min="11188" max="11189" width="11.625" style="58" customWidth="1"/>
    <col min="11190" max="11190" width="12.5" style="58" customWidth="1"/>
    <col min="11191" max="11365" width="11.625" style="58" customWidth="1"/>
    <col min="11366" max="11366" width="17.75" style="58" customWidth="1"/>
    <col min="11367" max="11368" width="9" style="58" customWidth="1"/>
    <col min="11369" max="11369" width="16.25" style="58" customWidth="1"/>
    <col min="11370" max="11370" width="24" style="58" customWidth="1"/>
    <col min="11371" max="11371" width="9" style="58"/>
    <col min="11372" max="11372" width="11.75" style="58" customWidth="1"/>
    <col min="11373" max="11373" width="8.875" style="58" customWidth="1"/>
    <col min="11374" max="11374" width="17.375" style="58" customWidth="1"/>
    <col min="11375" max="11375" width="13.25" style="58" customWidth="1"/>
    <col min="11376" max="11376" width="25.75" style="58" customWidth="1"/>
    <col min="11377" max="11377" width="11.125" style="58" customWidth="1"/>
    <col min="11378" max="11378" width="10.75" style="58" customWidth="1"/>
    <col min="11379" max="11379" width="9" style="58" customWidth="1"/>
    <col min="11380" max="11380" width="9.75" style="58" customWidth="1"/>
    <col min="11381" max="11381" width="7.5" style="58" customWidth="1"/>
    <col min="11382" max="11382" width="13.25" style="58" customWidth="1"/>
    <col min="11383" max="11383" width="11.75" style="58" customWidth="1"/>
    <col min="11384" max="11384" width="8.875" style="58" customWidth="1"/>
    <col min="11385" max="11385" width="9.625" style="58" customWidth="1"/>
    <col min="11386" max="11387" width="11.875" style="58" customWidth="1"/>
    <col min="11388" max="11388" width="11.5" style="58" customWidth="1"/>
    <col min="11389" max="11404" width="12.25" style="58" customWidth="1"/>
    <col min="11405" max="11405" width="13" style="58" customWidth="1"/>
    <col min="11406" max="11410" width="12.375" style="58" customWidth="1"/>
    <col min="11411" max="11411" width="13" style="58" customWidth="1"/>
    <col min="11412" max="11413" width="12.375" style="58" customWidth="1"/>
    <col min="11414" max="11414" width="13" style="58" customWidth="1"/>
    <col min="11415" max="11415" width="13.125" style="58" customWidth="1"/>
    <col min="11416" max="11416" width="13" style="58" customWidth="1"/>
    <col min="11417" max="11417" width="13.125" style="58" customWidth="1"/>
    <col min="11418" max="11419" width="12.375" style="58" customWidth="1"/>
    <col min="11420" max="11420" width="13" style="58" customWidth="1"/>
    <col min="11421" max="11421" width="12.375" style="58" customWidth="1"/>
    <col min="11422" max="11422" width="12.25" style="58" customWidth="1"/>
    <col min="11423" max="11423" width="12.125" style="58" customWidth="1"/>
    <col min="11424" max="11424" width="11.625" style="58" customWidth="1"/>
    <col min="11425" max="11425" width="12" style="58" customWidth="1"/>
    <col min="11426" max="11426" width="13" style="58" customWidth="1"/>
    <col min="11427" max="11427" width="11.625" style="58" customWidth="1"/>
    <col min="11428" max="11429" width="12" style="58" customWidth="1"/>
    <col min="11430" max="11432" width="11.625" style="58" customWidth="1"/>
    <col min="11433" max="11433" width="11.125" style="58" customWidth="1"/>
    <col min="11434" max="11434" width="12" style="58" customWidth="1"/>
    <col min="11435" max="11435" width="13" style="58" customWidth="1"/>
    <col min="11436" max="11436" width="13.625" style="58" customWidth="1"/>
    <col min="11437" max="11437" width="11.875" style="58" customWidth="1"/>
    <col min="11438" max="11439" width="11.625" style="58" customWidth="1"/>
    <col min="11440" max="11440" width="12" style="58" customWidth="1"/>
    <col min="11441" max="11441" width="12.75" style="58" customWidth="1"/>
    <col min="11442" max="11442" width="11.625" style="58" customWidth="1"/>
    <col min="11443" max="11443" width="12.125" style="58" customWidth="1"/>
    <col min="11444" max="11445" width="11.625" style="58" customWidth="1"/>
    <col min="11446" max="11446" width="12.5" style="58" customWidth="1"/>
    <col min="11447" max="11621" width="11.625" style="58" customWidth="1"/>
    <col min="11622" max="11622" width="17.75" style="58" customWidth="1"/>
    <col min="11623" max="11624" width="9" style="58" customWidth="1"/>
    <col min="11625" max="11625" width="16.25" style="58" customWidth="1"/>
    <col min="11626" max="11626" width="24" style="58" customWidth="1"/>
    <col min="11627" max="11627" width="9" style="58"/>
    <col min="11628" max="11628" width="11.75" style="58" customWidth="1"/>
    <col min="11629" max="11629" width="8.875" style="58" customWidth="1"/>
    <col min="11630" max="11630" width="17.375" style="58" customWidth="1"/>
    <col min="11631" max="11631" width="13.25" style="58" customWidth="1"/>
    <col min="11632" max="11632" width="25.75" style="58" customWidth="1"/>
    <col min="11633" max="11633" width="11.125" style="58" customWidth="1"/>
    <col min="11634" max="11634" width="10.75" style="58" customWidth="1"/>
    <col min="11635" max="11635" width="9" style="58" customWidth="1"/>
    <col min="11636" max="11636" width="9.75" style="58" customWidth="1"/>
    <col min="11637" max="11637" width="7.5" style="58" customWidth="1"/>
    <col min="11638" max="11638" width="13.25" style="58" customWidth="1"/>
    <col min="11639" max="11639" width="11.75" style="58" customWidth="1"/>
    <col min="11640" max="11640" width="8.875" style="58" customWidth="1"/>
    <col min="11641" max="11641" width="9.625" style="58" customWidth="1"/>
    <col min="11642" max="11643" width="11.875" style="58" customWidth="1"/>
    <col min="11644" max="11644" width="11.5" style="58" customWidth="1"/>
    <col min="11645" max="11660" width="12.25" style="58" customWidth="1"/>
    <col min="11661" max="11661" width="13" style="58" customWidth="1"/>
    <col min="11662" max="11666" width="12.375" style="58" customWidth="1"/>
    <col min="11667" max="11667" width="13" style="58" customWidth="1"/>
    <col min="11668" max="11669" width="12.375" style="58" customWidth="1"/>
    <col min="11670" max="11670" width="13" style="58" customWidth="1"/>
    <col min="11671" max="11671" width="13.125" style="58" customWidth="1"/>
    <col min="11672" max="11672" width="13" style="58" customWidth="1"/>
    <col min="11673" max="11673" width="13.125" style="58" customWidth="1"/>
    <col min="11674" max="11675" width="12.375" style="58" customWidth="1"/>
    <col min="11676" max="11676" width="13" style="58" customWidth="1"/>
    <col min="11677" max="11677" width="12.375" style="58" customWidth="1"/>
    <col min="11678" max="11678" width="12.25" style="58" customWidth="1"/>
    <col min="11679" max="11679" width="12.125" style="58" customWidth="1"/>
    <col min="11680" max="11680" width="11.625" style="58" customWidth="1"/>
    <col min="11681" max="11681" width="12" style="58" customWidth="1"/>
    <col min="11682" max="11682" width="13" style="58" customWidth="1"/>
    <col min="11683" max="11683" width="11.625" style="58" customWidth="1"/>
    <col min="11684" max="11685" width="12" style="58" customWidth="1"/>
    <col min="11686" max="11688" width="11.625" style="58" customWidth="1"/>
    <col min="11689" max="11689" width="11.125" style="58" customWidth="1"/>
    <col min="11690" max="11690" width="12" style="58" customWidth="1"/>
    <col min="11691" max="11691" width="13" style="58" customWidth="1"/>
    <col min="11692" max="11692" width="13.625" style="58" customWidth="1"/>
    <col min="11693" max="11693" width="11.875" style="58" customWidth="1"/>
    <col min="11694" max="11695" width="11.625" style="58" customWidth="1"/>
    <col min="11696" max="11696" width="12" style="58" customWidth="1"/>
    <col min="11697" max="11697" width="12.75" style="58" customWidth="1"/>
    <col min="11698" max="11698" width="11.625" style="58" customWidth="1"/>
    <col min="11699" max="11699" width="12.125" style="58" customWidth="1"/>
    <col min="11700" max="11701" width="11.625" style="58" customWidth="1"/>
    <col min="11702" max="11702" width="12.5" style="58" customWidth="1"/>
    <col min="11703" max="11877" width="11.625" style="58" customWidth="1"/>
    <col min="11878" max="11878" width="17.75" style="58" customWidth="1"/>
    <col min="11879" max="11880" width="9" style="58" customWidth="1"/>
    <col min="11881" max="11881" width="16.25" style="58" customWidth="1"/>
    <col min="11882" max="11882" width="24" style="58" customWidth="1"/>
    <col min="11883" max="11883" width="9" style="58"/>
    <col min="11884" max="11884" width="11.75" style="58" customWidth="1"/>
    <col min="11885" max="11885" width="8.875" style="58" customWidth="1"/>
    <col min="11886" max="11886" width="17.375" style="58" customWidth="1"/>
    <col min="11887" max="11887" width="13.25" style="58" customWidth="1"/>
    <col min="11888" max="11888" width="25.75" style="58" customWidth="1"/>
    <col min="11889" max="11889" width="11.125" style="58" customWidth="1"/>
    <col min="11890" max="11890" width="10.75" style="58" customWidth="1"/>
    <col min="11891" max="11891" width="9" style="58" customWidth="1"/>
    <col min="11892" max="11892" width="9.75" style="58" customWidth="1"/>
    <col min="11893" max="11893" width="7.5" style="58" customWidth="1"/>
    <col min="11894" max="11894" width="13.25" style="58" customWidth="1"/>
    <col min="11895" max="11895" width="11.75" style="58" customWidth="1"/>
    <col min="11896" max="11896" width="8.875" style="58" customWidth="1"/>
    <col min="11897" max="11897" width="9.625" style="58" customWidth="1"/>
    <col min="11898" max="11899" width="11.875" style="58" customWidth="1"/>
    <col min="11900" max="11900" width="11.5" style="58" customWidth="1"/>
    <col min="11901" max="11916" width="12.25" style="58" customWidth="1"/>
    <col min="11917" max="11917" width="13" style="58" customWidth="1"/>
    <col min="11918" max="11922" width="12.375" style="58" customWidth="1"/>
    <col min="11923" max="11923" width="13" style="58" customWidth="1"/>
    <col min="11924" max="11925" width="12.375" style="58" customWidth="1"/>
    <col min="11926" max="11926" width="13" style="58" customWidth="1"/>
    <col min="11927" max="11927" width="13.125" style="58" customWidth="1"/>
    <col min="11928" max="11928" width="13" style="58" customWidth="1"/>
    <col min="11929" max="11929" width="13.125" style="58" customWidth="1"/>
    <col min="11930" max="11931" width="12.375" style="58" customWidth="1"/>
    <col min="11932" max="11932" width="13" style="58" customWidth="1"/>
    <col min="11933" max="11933" width="12.375" style="58" customWidth="1"/>
    <col min="11934" max="11934" width="12.25" style="58" customWidth="1"/>
    <col min="11935" max="11935" width="12.125" style="58" customWidth="1"/>
    <col min="11936" max="11936" width="11.625" style="58" customWidth="1"/>
    <col min="11937" max="11937" width="12" style="58" customWidth="1"/>
    <col min="11938" max="11938" width="13" style="58" customWidth="1"/>
    <col min="11939" max="11939" width="11.625" style="58" customWidth="1"/>
    <col min="11940" max="11941" width="12" style="58" customWidth="1"/>
    <col min="11942" max="11944" width="11.625" style="58" customWidth="1"/>
    <col min="11945" max="11945" width="11.125" style="58" customWidth="1"/>
    <col min="11946" max="11946" width="12" style="58" customWidth="1"/>
    <col min="11947" max="11947" width="13" style="58" customWidth="1"/>
    <col min="11948" max="11948" width="13.625" style="58" customWidth="1"/>
    <col min="11949" max="11949" width="11.875" style="58" customWidth="1"/>
    <col min="11950" max="11951" width="11.625" style="58" customWidth="1"/>
    <col min="11952" max="11952" width="12" style="58" customWidth="1"/>
    <col min="11953" max="11953" width="12.75" style="58" customWidth="1"/>
    <col min="11954" max="11954" width="11.625" style="58" customWidth="1"/>
    <col min="11955" max="11955" width="12.125" style="58" customWidth="1"/>
    <col min="11956" max="11957" width="11.625" style="58" customWidth="1"/>
    <col min="11958" max="11958" width="12.5" style="58" customWidth="1"/>
    <col min="11959" max="12133" width="11.625" style="58" customWidth="1"/>
    <col min="12134" max="12134" width="17.75" style="58" customWidth="1"/>
    <col min="12135" max="12136" width="9" style="58" customWidth="1"/>
    <col min="12137" max="12137" width="16.25" style="58" customWidth="1"/>
    <col min="12138" max="12138" width="24" style="58" customWidth="1"/>
    <col min="12139" max="12139" width="9" style="58"/>
    <col min="12140" max="12140" width="11.75" style="58" customWidth="1"/>
    <col min="12141" max="12141" width="8.875" style="58" customWidth="1"/>
    <col min="12142" max="12142" width="17.375" style="58" customWidth="1"/>
    <col min="12143" max="12143" width="13.25" style="58" customWidth="1"/>
    <col min="12144" max="12144" width="25.75" style="58" customWidth="1"/>
    <col min="12145" max="12145" width="11.125" style="58" customWidth="1"/>
    <col min="12146" max="12146" width="10.75" style="58" customWidth="1"/>
    <col min="12147" max="12147" width="9" style="58" customWidth="1"/>
    <col min="12148" max="12148" width="9.75" style="58" customWidth="1"/>
    <col min="12149" max="12149" width="7.5" style="58" customWidth="1"/>
    <col min="12150" max="12150" width="13.25" style="58" customWidth="1"/>
    <col min="12151" max="12151" width="11.75" style="58" customWidth="1"/>
    <col min="12152" max="12152" width="8.875" style="58" customWidth="1"/>
    <col min="12153" max="12153" width="9.625" style="58" customWidth="1"/>
    <col min="12154" max="12155" width="11.875" style="58" customWidth="1"/>
    <col min="12156" max="12156" width="11.5" style="58" customWidth="1"/>
    <col min="12157" max="12172" width="12.25" style="58" customWidth="1"/>
    <col min="12173" max="12173" width="13" style="58" customWidth="1"/>
    <col min="12174" max="12178" width="12.375" style="58" customWidth="1"/>
    <col min="12179" max="12179" width="13" style="58" customWidth="1"/>
    <col min="12180" max="12181" width="12.375" style="58" customWidth="1"/>
    <col min="12182" max="12182" width="13" style="58" customWidth="1"/>
    <col min="12183" max="12183" width="13.125" style="58" customWidth="1"/>
    <col min="12184" max="12184" width="13" style="58" customWidth="1"/>
    <col min="12185" max="12185" width="13.125" style="58" customWidth="1"/>
    <col min="12186" max="12187" width="12.375" style="58" customWidth="1"/>
    <col min="12188" max="12188" width="13" style="58" customWidth="1"/>
    <col min="12189" max="12189" width="12.375" style="58" customWidth="1"/>
    <col min="12190" max="12190" width="12.25" style="58" customWidth="1"/>
    <col min="12191" max="12191" width="12.125" style="58" customWidth="1"/>
    <col min="12192" max="12192" width="11.625" style="58" customWidth="1"/>
    <col min="12193" max="12193" width="12" style="58" customWidth="1"/>
    <col min="12194" max="12194" width="13" style="58" customWidth="1"/>
    <col min="12195" max="12195" width="11.625" style="58" customWidth="1"/>
    <col min="12196" max="12197" width="12" style="58" customWidth="1"/>
    <col min="12198" max="12200" width="11.625" style="58" customWidth="1"/>
    <col min="12201" max="12201" width="11.125" style="58" customWidth="1"/>
    <col min="12202" max="12202" width="12" style="58" customWidth="1"/>
    <col min="12203" max="12203" width="13" style="58" customWidth="1"/>
    <col min="12204" max="12204" width="13.625" style="58" customWidth="1"/>
    <col min="12205" max="12205" width="11.875" style="58" customWidth="1"/>
    <col min="12206" max="12207" width="11.625" style="58" customWidth="1"/>
    <col min="12208" max="12208" width="12" style="58" customWidth="1"/>
    <col min="12209" max="12209" width="12.75" style="58" customWidth="1"/>
    <col min="12210" max="12210" width="11.625" style="58" customWidth="1"/>
    <col min="12211" max="12211" width="12.125" style="58" customWidth="1"/>
    <col min="12212" max="12213" width="11.625" style="58" customWidth="1"/>
    <col min="12214" max="12214" width="12.5" style="58" customWidth="1"/>
    <col min="12215" max="12389" width="11.625" style="58" customWidth="1"/>
    <col min="12390" max="12390" width="17.75" style="58" customWidth="1"/>
    <col min="12391" max="12392" width="9" style="58" customWidth="1"/>
    <col min="12393" max="12393" width="16.25" style="58" customWidth="1"/>
    <col min="12394" max="12394" width="24" style="58" customWidth="1"/>
    <col min="12395" max="12395" width="9" style="58"/>
    <col min="12396" max="12396" width="11.75" style="58" customWidth="1"/>
    <col min="12397" max="12397" width="8.875" style="58" customWidth="1"/>
    <col min="12398" max="12398" width="17.375" style="58" customWidth="1"/>
    <col min="12399" max="12399" width="13.25" style="58" customWidth="1"/>
    <col min="12400" max="12400" width="25.75" style="58" customWidth="1"/>
    <col min="12401" max="12401" width="11.125" style="58" customWidth="1"/>
    <col min="12402" max="12402" width="10.75" style="58" customWidth="1"/>
    <col min="12403" max="12403" width="9" style="58" customWidth="1"/>
    <col min="12404" max="12404" width="9.75" style="58" customWidth="1"/>
    <col min="12405" max="12405" width="7.5" style="58" customWidth="1"/>
    <col min="12406" max="12406" width="13.25" style="58" customWidth="1"/>
    <col min="12407" max="12407" width="11.75" style="58" customWidth="1"/>
    <col min="12408" max="12408" width="8.875" style="58" customWidth="1"/>
    <col min="12409" max="12409" width="9.625" style="58" customWidth="1"/>
    <col min="12410" max="12411" width="11.875" style="58" customWidth="1"/>
    <col min="12412" max="12412" width="11.5" style="58" customWidth="1"/>
    <col min="12413" max="12428" width="12.25" style="58" customWidth="1"/>
    <col min="12429" max="12429" width="13" style="58" customWidth="1"/>
    <col min="12430" max="12434" width="12.375" style="58" customWidth="1"/>
    <col min="12435" max="12435" width="13" style="58" customWidth="1"/>
    <col min="12436" max="12437" width="12.375" style="58" customWidth="1"/>
    <col min="12438" max="12438" width="13" style="58" customWidth="1"/>
    <col min="12439" max="12439" width="13.125" style="58" customWidth="1"/>
    <col min="12440" max="12440" width="13" style="58" customWidth="1"/>
    <col min="12441" max="12441" width="13.125" style="58" customWidth="1"/>
    <col min="12442" max="12443" width="12.375" style="58" customWidth="1"/>
    <col min="12444" max="12444" width="13" style="58" customWidth="1"/>
    <col min="12445" max="12445" width="12.375" style="58" customWidth="1"/>
    <col min="12446" max="12446" width="12.25" style="58" customWidth="1"/>
    <col min="12447" max="12447" width="12.125" style="58" customWidth="1"/>
    <col min="12448" max="12448" width="11.625" style="58" customWidth="1"/>
    <col min="12449" max="12449" width="12" style="58" customWidth="1"/>
    <col min="12450" max="12450" width="13" style="58" customWidth="1"/>
    <col min="12451" max="12451" width="11.625" style="58" customWidth="1"/>
    <col min="12452" max="12453" width="12" style="58" customWidth="1"/>
    <col min="12454" max="12456" width="11.625" style="58" customWidth="1"/>
    <col min="12457" max="12457" width="11.125" style="58" customWidth="1"/>
    <col min="12458" max="12458" width="12" style="58" customWidth="1"/>
    <col min="12459" max="12459" width="13" style="58" customWidth="1"/>
    <col min="12460" max="12460" width="13.625" style="58" customWidth="1"/>
    <col min="12461" max="12461" width="11.875" style="58" customWidth="1"/>
    <col min="12462" max="12463" width="11.625" style="58" customWidth="1"/>
    <col min="12464" max="12464" width="12" style="58" customWidth="1"/>
    <col min="12465" max="12465" width="12.75" style="58" customWidth="1"/>
    <col min="12466" max="12466" width="11.625" style="58" customWidth="1"/>
    <col min="12467" max="12467" width="12.125" style="58" customWidth="1"/>
    <col min="12468" max="12469" width="11.625" style="58" customWidth="1"/>
    <col min="12470" max="12470" width="12.5" style="58" customWidth="1"/>
    <col min="12471" max="12645" width="11.625" style="58" customWidth="1"/>
    <col min="12646" max="12646" width="17.75" style="58" customWidth="1"/>
    <col min="12647" max="12648" width="9" style="58" customWidth="1"/>
    <col min="12649" max="12649" width="16.25" style="58" customWidth="1"/>
    <col min="12650" max="12650" width="24" style="58" customWidth="1"/>
    <col min="12651" max="12651" width="9" style="58"/>
    <col min="12652" max="12652" width="11.75" style="58" customWidth="1"/>
    <col min="12653" max="12653" width="8.875" style="58" customWidth="1"/>
    <col min="12654" max="12654" width="17.375" style="58" customWidth="1"/>
    <col min="12655" max="12655" width="13.25" style="58" customWidth="1"/>
    <col min="12656" max="12656" width="25.75" style="58" customWidth="1"/>
    <col min="12657" max="12657" width="11.125" style="58" customWidth="1"/>
    <col min="12658" max="12658" width="10.75" style="58" customWidth="1"/>
    <col min="12659" max="12659" width="9" style="58" customWidth="1"/>
    <col min="12660" max="12660" width="9.75" style="58" customWidth="1"/>
    <col min="12661" max="12661" width="7.5" style="58" customWidth="1"/>
    <col min="12662" max="12662" width="13.25" style="58" customWidth="1"/>
    <col min="12663" max="12663" width="11.75" style="58" customWidth="1"/>
    <col min="12664" max="12664" width="8.875" style="58" customWidth="1"/>
    <col min="12665" max="12665" width="9.625" style="58" customWidth="1"/>
    <col min="12666" max="12667" width="11.875" style="58" customWidth="1"/>
    <col min="12668" max="12668" width="11.5" style="58" customWidth="1"/>
    <col min="12669" max="12684" width="12.25" style="58" customWidth="1"/>
    <col min="12685" max="12685" width="13" style="58" customWidth="1"/>
    <col min="12686" max="12690" width="12.375" style="58" customWidth="1"/>
    <col min="12691" max="12691" width="13" style="58" customWidth="1"/>
    <col min="12692" max="12693" width="12.375" style="58" customWidth="1"/>
    <col min="12694" max="12694" width="13" style="58" customWidth="1"/>
    <col min="12695" max="12695" width="13.125" style="58" customWidth="1"/>
    <col min="12696" max="12696" width="13" style="58" customWidth="1"/>
    <col min="12697" max="12697" width="13.125" style="58" customWidth="1"/>
    <col min="12698" max="12699" width="12.375" style="58" customWidth="1"/>
    <col min="12700" max="12700" width="13" style="58" customWidth="1"/>
    <col min="12701" max="12701" width="12.375" style="58" customWidth="1"/>
    <col min="12702" max="12702" width="12.25" style="58" customWidth="1"/>
    <col min="12703" max="12703" width="12.125" style="58" customWidth="1"/>
    <col min="12704" max="12704" width="11.625" style="58" customWidth="1"/>
    <col min="12705" max="12705" width="12" style="58" customWidth="1"/>
    <col min="12706" max="12706" width="13" style="58" customWidth="1"/>
    <col min="12707" max="12707" width="11.625" style="58" customWidth="1"/>
    <col min="12708" max="12709" width="12" style="58" customWidth="1"/>
    <col min="12710" max="12712" width="11.625" style="58" customWidth="1"/>
    <col min="12713" max="12713" width="11.125" style="58" customWidth="1"/>
    <col min="12714" max="12714" width="12" style="58" customWidth="1"/>
    <col min="12715" max="12715" width="13" style="58" customWidth="1"/>
    <col min="12716" max="12716" width="13.625" style="58" customWidth="1"/>
    <col min="12717" max="12717" width="11.875" style="58" customWidth="1"/>
    <col min="12718" max="12719" width="11.625" style="58" customWidth="1"/>
    <col min="12720" max="12720" width="12" style="58" customWidth="1"/>
    <col min="12721" max="12721" width="12.75" style="58" customWidth="1"/>
    <col min="12722" max="12722" width="11.625" style="58" customWidth="1"/>
    <col min="12723" max="12723" width="12.125" style="58" customWidth="1"/>
    <col min="12724" max="12725" width="11.625" style="58" customWidth="1"/>
    <col min="12726" max="12726" width="12.5" style="58" customWidth="1"/>
    <col min="12727" max="12901" width="11.625" style="58" customWidth="1"/>
    <col min="12902" max="12902" width="17.75" style="58" customWidth="1"/>
    <col min="12903" max="12904" width="9" style="58" customWidth="1"/>
    <col min="12905" max="12905" width="16.25" style="58" customWidth="1"/>
    <col min="12906" max="12906" width="24" style="58" customWidth="1"/>
    <col min="12907" max="12907" width="9" style="58"/>
    <col min="12908" max="12908" width="11.75" style="58" customWidth="1"/>
    <col min="12909" max="12909" width="8.875" style="58" customWidth="1"/>
    <col min="12910" max="12910" width="17.375" style="58" customWidth="1"/>
    <col min="12911" max="12911" width="13.25" style="58" customWidth="1"/>
    <col min="12912" max="12912" width="25.75" style="58" customWidth="1"/>
    <col min="12913" max="12913" width="11.125" style="58" customWidth="1"/>
    <col min="12914" max="12914" width="10.75" style="58" customWidth="1"/>
    <col min="12915" max="12915" width="9" style="58" customWidth="1"/>
    <col min="12916" max="12916" width="9.75" style="58" customWidth="1"/>
    <col min="12917" max="12917" width="7.5" style="58" customWidth="1"/>
    <col min="12918" max="12918" width="13.25" style="58" customWidth="1"/>
    <col min="12919" max="12919" width="11.75" style="58" customWidth="1"/>
    <col min="12920" max="12920" width="8.875" style="58" customWidth="1"/>
    <col min="12921" max="12921" width="9.625" style="58" customWidth="1"/>
    <col min="12922" max="12923" width="11.875" style="58" customWidth="1"/>
    <col min="12924" max="12924" width="11.5" style="58" customWidth="1"/>
    <col min="12925" max="12940" width="12.25" style="58" customWidth="1"/>
    <col min="12941" max="12941" width="13" style="58" customWidth="1"/>
    <col min="12942" max="12946" width="12.375" style="58" customWidth="1"/>
    <col min="12947" max="12947" width="13" style="58" customWidth="1"/>
    <col min="12948" max="12949" width="12.375" style="58" customWidth="1"/>
    <col min="12950" max="12950" width="13" style="58" customWidth="1"/>
    <col min="12951" max="12951" width="13.125" style="58" customWidth="1"/>
    <col min="12952" max="12952" width="13" style="58" customWidth="1"/>
    <col min="12953" max="12953" width="13.125" style="58" customWidth="1"/>
    <col min="12954" max="12955" width="12.375" style="58" customWidth="1"/>
    <col min="12956" max="12956" width="13" style="58" customWidth="1"/>
    <col min="12957" max="12957" width="12.375" style="58" customWidth="1"/>
    <col min="12958" max="12958" width="12.25" style="58" customWidth="1"/>
    <col min="12959" max="12959" width="12.125" style="58" customWidth="1"/>
    <col min="12960" max="12960" width="11.625" style="58" customWidth="1"/>
    <col min="12961" max="12961" width="12" style="58" customWidth="1"/>
    <col min="12962" max="12962" width="13" style="58" customWidth="1"/>
    <col min="12963" max="12963" width="11.625" style="58" customWidth="1"/>
    <col min="12964" max="12965" width="12" style="58" customWidth="1"/>
    <col min="12966" max="12968" width="11.625" style="58" customWidth="1"/>
    <col min="12969" max="12969" width="11.125" style="58" customWidth="1"/>
    <col min="12970" max="12970" width="12" style="58" customWidth="1"/>
    <col min="12971" max="12971" width="13" style="58" customWidth="1"/>
    <col min="12972" max="12972" width="13.625" style="58" customWidth="1"/>
    <col min="12973" max="12973" width="11.875" style="58" customWidth="1"/>
    <col min="12974" max="12975" width="11.625" style="58" customWidth="1"/>
    <col min="12976" max="12976" width="12" style="58" customWidth="1"/>
    <col min="12977" max="12977" width="12.75" style="58" customWidth="1"/>
    <col min="12978" max="12978" width="11.625" style="58" customWidth="1"/>
    <col min="12979" max="12979" width="12.125" style="58" customWidth="1"/>
    <col min="12980" max="12981" width="11.625" style="58" customWidth="1"/>
    <col min="12982" max="12982" width="12.5" style="58" customWidth="1"/>
    <col min="12983" max="13157" width="11.625" style="58" customWidth="1"/>
    <col min="13158" max="13158" width="17.75" style="58" customWidth="1"/>
    <col min="13159" max="13160" width="9" style="58" customWidth="1"/>
    <col min="13161" max="13161" width="16.25" style="58" customWidth="1"/>
    <col min="13162" max="13162" width="24" style="58" customWidth="1"/>
    <col min="13163" max="13163" width="9" style="58"/>
    <col min="13164" max="13164" width="11.75" style="58" customWidth="1"/>
    <col min="13165" max="13165" width="8.875" style="58" customWidth="1"/>
    <col min="13166" max="13166" width="17.375" style="58" customWidth="1"/>
    <col min="13167" max="13167" width="13.25" style="58" customWidth="1"/>
    <col min="13168" max="13168" width="25.75" style="58" customWidth="1"/>
    <col min="13169" max="13169" width="11.125" style="58" customWidth="1"/>
    <col min="13170" max="13170" width="10.75" style="58" customWidth="1"/>
    <col min="13171" max="13171" width="9" style="58" customWidth="1"/>
    <col min="13172" max="13172" width="9.75" style="58" customWidth="1"/>
    <col min="13173" max="13173" width="7.5" style="58" customWidth="1"/>
    <col min="13174" max="13174" width="13.25" style="58" customWidth="1"/>
    <col min="13175" max="13175" width="11.75" style="58" customWidth="1"/>
    <col min="13176" max="13176" width="8.875" style="58" customWidth="1"/>
    <col min="13177" max="13177" width="9.625" style="58" customWidth="1"/>
    <col min="13178" max="13179" width="11.875" style="58" customWidth="1"/>
    <col min="13180" max="13180" width="11.5" style="58" customWidth="1"/>
    <col min="13181" max="13196" width="12.25" style="58" customWidth="1"/>
    <col min="13197" max="13197" width="13" style="58" customWidth="1"/>
    <col min="13198" max="13202" width="12.375" style="58" customWidth="1"/>
    <col min="13203" max="13203" width="13" style="58" customWidth="1"/>
    <col min="13204" max="13205" width="12.375" style="58" customWidth="1"/>
    <col min="13206" max="13206" width="13" style="58" customWidth="1"/>
    <col min="13207" max="13207" width="13.125" style="58" customWidth="1"/>
    <col min="13208" max="13208" width="13" style="58" customWidth="1"/>
    <col min="13209" max="13209" width="13.125" style="58" customWidth="1"/>
    <col min="13210" max="13211" width="12.375" style="58" customWidth="1"/>
    <col min="13212" max="13212" width="13" style="58" customWidth="1"/>
    <col min="13213" max="13213" width="12.375" style="58" customWidth="1"/>
    <col min="13214" max="13214" width="12.25" style="58" customWidth="1"/>
    <col min="13215" max="13215" width="12.125" style="58" customWidth="1"/>
    <col min="13216" max="13216" width="11.625" style="58" customWidth="1"/>
    <col min="13217" max="13217" width="12" style="58" customWidth="1"/>
    <col min="13218" max="13218" width="13" style="58" customWidth="1"/>
    <col min="13219" max="13219" width="11.625" style="58" customWidth="1"/>
    <col min="13220" max="13221" width="12" style="58" customWidth="1"/>
    <col min="13222" max="13224" width="11.625" style="58" customWidth="1"/>
    <col min="13225" max="13225" width="11.125" style="58" customWidth="1"/>
    <col min="13226" max="13226" width="12" style="58" customWidth="1"/>
    <col min="13227" max="13227" width="13" style="58" customWidth="1"/>
    <col min="13228" max="13228" width="13.625" style="58" customWidth="1"/>
    <col min="13229" max="13229" width="11.875" style="58" customWidth="1"/>
    <col min="13230" max="13231" width="11.625" style="58" customWidth="1"/>
    <col min="13232" max="13232" width="12" style="58" customWidth="1"/>
    <col min="13233" max="13233" width="12.75" style="58" customWidth="1"/>
    <col min="13234" max="13234" width="11.625" style="58" customWidth="1"/>
    <col min="13235" max="13235" width="12.125" style="58" customWidth="1"/>
    <col min="13236" max="13237" width="11.625" style="58" customWidth="1"/>
    <col min="13238" max="13238" width="12.5" style="58" customWidth="1"/>
    <col min="13239" max="13413" width="11.625" style="58" customWidth="1"/>
    <col min="13414" max="13414" width="17.75" style="58" customWidth="1"/>
    <col min="13415" max="13416" width="9" style="58" customWidth="1"/>
    <col min="13417" max="13417" width="16.25" style="58" customWidth="1"/>
    <col min="13418" max="13418" width="24" style="58" customWidth="1"/>
    <col min="13419" max="13419" width="9" style="58"/>
    <col min="13420" max="13420" width="11.75" style="58" customWidth="1"/>
    <col min="13421" max="13421" width="8.875" style="58" customWidth="1"/>
    <col min="13422" max="13422" width="17.375" style="58" customWidth="1"/>
    <col min="13423" max="13423" width="13.25" style="58" customWidth="1"/>
    <col min="13424" max="13424" width="25.75" style="58" customWidth="1"/>
    <col min="13425" max="13425" width="11.125" style="58" customWidth="1"/>
    <col min="13426" max="13426" width="10.75" style="58" customWidth="1"/>
    <col min="13427" max="13427" width="9" style="58" customWidth="1"/>
    <col min="13428" max="13428" width="9.75" style="58" customWidth="1"/>
    <col min="13429" max="13429" width="7.5" style="58" customWidth="1"/>
    <col min="13430" max="13430" width="13.25" style="58" customWidth="1"/>
    <col min="13431" max="13431" width="11.75" style="58" customWidth="1"/>
    <col min="13432" max="13432" width="8.875" style="58" customWidth="1"/>
    <col min="13433" max="13433" width="9.625" style="58" customWidth="1"/>
    <col min="13434" max="13435" width="11.875" style="58" customWidth="1"/>
    <col min="13436" max="13436" width="11.5" style="58" customWidth="1"/>
    <col min="13437" max="13452" width="12.25" style="58" customWidth="1"/>
    <col min="13453" max="13453" width="13" style="58" customWidth="1"/>
    <col min="13454" max="13458" width="12.375" style="58" customWidth="1"/>
    <col min="13459" max="13459" width="13" style="58" customWidth="1"/>
    <col min="13460" max="13461" width="12.375" style="58" customWidth="1"/>
    <col min="13462" max="13462" width="13" style="58" customWidth="1"/>
    <col min="13463" max="13463" width="13.125" style="58" customWidth="1"/>
    <col min="13464" max="13464" width="13" style="58" customWidth="1"/>
    <col min="13465" max="13465" width="13.125" style="58" customWidth="1"/>
    <col min="13466" max="13467" width="12.375" style="58" customWidth="1"/>
    <col min="13468" max="13468" width="13" style="58" customWidth="1"/>
    <col min="13469" max="13469" width="12.375" style="58" customWidth="1"/>
    <col min="13470" max="13470" width="12.25" style="58" customWidth="1"/>
    <col min="13471" max="13471" width="12.125" style="58" customWidth="1"/>
    <col min="13472" max="13472" width="11.625" style="58" customWidth="1"/>
    <col min="13473" max="13473" width="12" style="58" customWidth="1"/>
    <col min="13474" max="13474" width="13" style="58" customWidth="1"/>
    <col min="13475" max="13475" width="11.625" style="58" customWidth="1"/>
    <col min="13476" max="13477" width="12" style="58" customWidth="1"/>
    <col min="13478" max="13480" width="11.625" style="58" customWidth="1"/>
    <col min="13481" max="13481" width="11.125" style="58" customWidth="1"/>
    <col min="13482" max="13482" width="12" style="58" customWidth="1"/>
    <col min="13483" max="13483" width="13" style="58" customWidth="1"/>
    <col min="13484" max="13484" width="13.625" style="58" customWidth="1"/>
    <col min="13485" max="13485" width="11.875" style="58" customWidth="1"/>
    <col min="13486" max="13487" width="11.625" style="58" customWidth="1"/>
    <col min="13488" max="13488" width="12" style="58" customWidth="1"/>
    <col min="13489" max="13489" width="12.75" style="58" customWidth="1"/>
    <col min="13490" max="13490" width="11.625" style="58" customWidth="1"/>
    <col min="13491" max="13491" width="12.125" style="58" customWidth="1"/>
    <col min="13492" max="13493" width="11.625" style="58" customWidth="1"/>
    <col min="13494" max="13494" width="12.5" style="58" customWidth="1"/>
    <col min="13495" max="13669" width="11.625" style="58" customWidth="1"/>
    <col min="13670" max="13670" width="17.75" style="58" customWidth="1"/>
    <col min="13671" max="13672" width="9" style="58" customWidth="1"/>
    <col min="13673" max="13673" width="16.25" style="58" customWidth="1"/>
    <col min="13674" max="13674" width="24" style="58" customWidth="1"/>
    <col min="13675" max="13675" width="9" style="58"/>
    <col min="13676" max="13676" width="11.75" style="58" customWidth="1"/>
    <col min="13677" max="13677" width="8.875" style="58" customWidth="1"/>
    <col min="13678" max="13678" width="17.375" style="58" customWidth="1"/>
    <col min="13679" max="13679" width="13.25" style="58" customWidth="1"/>
    <col min="13680" max="13680" width="25.75" style="58" customWidth="1"/>
    <col min="13681" max="13681" width="11.125" style="58" customWidth="1"/>
    <col min="13682" max="13682" width="10.75" style="58" customWidth="1"/>
    <col min="13683" max="13683" width="9" style="58" customWidth="1"/>
    <col min="13684" max="13684" width="9.75" style="58" customWidth="1"/>
    <col min="13685" max="13685" width="7.5" style="58" customWidth="1"/>
    <col min="13686" max="13686" width="13.25" style="58" customWidth="1"/>
    <col min="13687" max="13687" width="11.75" style="58" customWidth="1"/>
    <col min="13688" max="13688" width="8.875" style="58" customWidth="1"/>
    <col min="13689" max="13689" width="9.625" style="58" customWidth="1"/>
    <col min="13690" max="13691" width="11.875" style="58" customWidth="1"/>
    <col min="13692" max="13692" width="11.5" style="58" customWidth="1"/>
    <col min="13693" max="13708" width="12.25" style="58" customWidth="1"/>
    <col min="13709" max="13709" width="13" style="58" customWidth="1"/>
    <col min="13710" max="13714" width="12.375" style="58" customWidth="1"/>
    <col min="13715" max="13715" width="13" style="58" customWidth="1"/>
    <col min="13716" max="13717" width="12.375" style="58" customWidth="1"/>
    <col min="13718" max="13718" width="13" style="58" customWidth="1"/>
    <col min="13719" max="13719" width="13.125" style="58" customWidth="1"/>
    <col min="13720" max="13720" width="13" style="58" customWidth="1"/>
    <col min="13721" max="13721" width="13.125" style="58" customWidth="1"/>
    <col min="13722" max="13723" width="12.375" style="58" customWidth="1"/>
    <col min="13724" max="13724" width="13" style="58" customWidth="1"/>
    <col min="13725" max="13725" width="12.375" style="58" customWidth="1"/>
    <col min="13726" max="13726" width="12.25" style="58" customWidth="1"/>
    <col min="13727" max="13727" width="12.125" style="58" customWidth="1"/>
    <col min="13728" max="13728" width="11.625" style="58" customWidth="1"/>
    <col min="13729" max="13729" width="12" style="58" customWidth="1"/>
    <col min="13730" max="13730" width="13" style="58" customWidth="1"/>
    <col min="13731" max="13731" width="11.625" style="58" customWidth="1"/>
    <col min="13732" max="13733" width="12" style="58" customWidth="1"/>
    <col min="13734" max="13736" width="11.625" style="58" customWidth="1"/>
    <col min="13737" max="13737" width="11.125" style="58" customWidth="1"/>
    <col min="13738" max="13738" width="12" style="58" customWidth="1"/>
    <col min="13739" max="13739" width="13" style="58" customWidth="1"/>
    <col min="13740" max="13740" width="13.625" style="58" customWidth="1"/>
    <col min="13741" max="13741" width="11.875" style="58" customWidth="1"/>
    <col min="13742" max="13743" width="11.625" style="58" customWidth="1"/>
    <col min="13744" max="13744" width="12" style="58" customWidth="1"/>
    <col min="13745" max="13745" width="12.75" style="58" customWidth="1"/>
    <col min="13746" max="13746" width="11.625" style="58" customWidth="1"/>
    <col min="13747" max="13747" width="12.125" style="58" customWidth="1"/>
    <col min="13748" max="13749" width="11.625" style="58" customWidth="1"/>
    <col min="13750" max="13750" width="12.5" style="58" customWidth="1"/>
    <col min="13751" max="13925" width="11.625" style="58" customWidth="1"/>
    <col min="13926" max="13926" width="17.75" style="58" customWidth="1"/>
    <col min="13927" max="13928" width="9" style="58" customWidth="1"/>
    <col min="13929" max="13929" width="16.25" style="58" customWidth="1"/>
    <col min="13930" max="13930" width="24" style="58" customWidth="1"/>
    <col min="13931" max="13931" width="9" style="58"/>
    <col min="13932" max="13932" width="11.75" style="58" customWidth="1"/>
    <col min="13933" max="13933" width="8.875" style="58" customWidth="1"/>
    <col min="13934" max="13934" width="17.375" style="58" customWidth="1"/>
    <col min="13935" max="13935" width="13.25" style="58" customWidth="1"/>
    <col min="13936" max="13936" width="25.75" style="58" customWidth="1"/>
    <col min="13937" max="13937" width="11.125" style="58" customWidth="1"/>
    <col min="13938" max="13938" width="10.75" style="58" customWidth="1"/>
    <col min="13939" max="13939" width="9" style="58" customWidth="1"/>
    <col min="13940" max="13940" width="9.75" style="58" customWidth="1"/>
    <col min="13941" max="13941" width="7.5" style="58" customWidth="1"/>
    <col min="13942" max="13942" width="13.25" style="58" customWidth="1"/>
    <col min="13943" max="13943" width="11.75" style="58" customWidth="1"/>
    <col min="13944" max="13944" width="8.875" style="58" customWidth="1"/>
    <col min="13945" max="13945" width="9.625" style="58" customWidth="1"/>
    <col min="13946" max="13947" width="11.875" style="58" customWidth="1"/>
    <col min="13948" max="13948" width="11.5" style="58" customWidth="1"/>
    <col min="13949" max="13964" width="12.25" style="58" customWidth="1"/>
    <col min="13965" max="13965" width="13" style="58" customWidth="1"/>
    <col min="13966" max="13970" width="12.375" style="58" customWidth="1"/>
    <col min="13971" max="13971" width="13" style="58" customWidth="1"/>
    <col min="13972" max="13973" width="12.375" style="58" customWidth="1"/>
    <col min="13974" max="13974" width="13" style="58" customWidth="1"/>
    <col min="13975" max="13975" width="13.125" style="58" customWidth="1"/>
    <col min="13976" max="13976" width="13" style="58" customWidth="1"/>
    <col min="13977" max="13977" width="13.125" style="58" customWidth="1"/>
    <col min="13978" max="13979" width="12.375" style="58" customWidth="1"/>
    <col min="13980" max="13980" width="13" style="58" customWidth="1"/>
    <col min="13981" max="13981" width="12.375" style="58" customWidth="1"/>
    <col min="13982" max="13982" width="12.25" style="58" customWidth="1"/>
    <col min="13983" max="13983" width="12.125" style="58" customWidth="1"/>
    <col min="13984" max="13984" width="11.625" style="58" customWidth="1"/>
    <col min="13985" max="13985" width="12" style="58" customWidth="1"/>
    <col min="13986" max="13986" width="13" style="58" customWidth="1"/>
    <col min="13987" max="13987" width="11.625" style="58" customWidth="1"/>
    <col min="13988" max="13989" width="12" style="58" customWidth="1"/>
    <col min="13990" max="13992" width="11.625" style="58" customWidth="1"/>
    <col min="13993" max="13993" width="11.125" style="58" customWidth="1"/>
    <col min="13994" max="13994" width="12" style="58" customWidth="1"/>
    <col min="13995" max="13995" width="13" style="58" customWidth="1"/>
    <col min="13996" max="13996" width="13.625" style="58" customWidth="1"/>
    <col min="13997" max="13997" width="11.875" style="58" customWidth="1"/>
    <col min="13998" max="13999" width="11.625" style="58" customWidth="1"/>
    <col min="14000" max="14000" width="12" style="58" customWidth="1"/>
    <col min="14001" max="14001" width="12.75" style="58" customWidth="1"/>
    <col min="14002" max="14002" width="11.625" style="58" customWidth="1"/>
    <col min="14003" max="14003" width="12.125" style="58" customWidth="1"/>
    <col min="14004" max="14005" width="11.625" style="58" customWidth="1"/>
    <col min="14006" max="14006" width="12.5" style="58" customWidth="1"/>
    <col min="14007" max="14181" width="11.625" style="58" customWidth="1"/>
    <col min="14182" max="14182" width="17.75" style="58" customWidth="1"/>
    <col min="14183" max="14184" width="9" style="58" customWidth="1"/>
    <col min="14185" max="14185" width="16.25" style="58" customWidth="1"/>
    <col min="14186" max="14186" width="24" style="58" customWidth="1"/>
    <col min="14187" max="14187" width="9" style="58"/>
    <col min="14188" max="14188" width="11.75" style="58" customWidth="1"/>
    <col min="14189" max="14189" width="8.875" style="58" customWidth="1"/>
    <col min="14190" max="14190" width="17.375" style="58" customWidth="1"/>
    <col min="14191" max="14191" width="13.25" style="58" customWidth="1"/>
    <col min="14192" max="14192" width="25.75" style="58" customWidth="1"/>
    <col min="14193" max="14193" width="11.125" style="58" customWidth="1"/>
    <col min="14194" max="14194" width="10.75" style="58" customWidth="1"/>
    <col min="14195" max="14195" width="9" style="58" customWidth="1"/>
    <col min="14196" max="14196" width="9.75" style="58" customWidth="1"/>
    <col min="14197" max="14197" width="7.5" style="58" customWidth="1"/>
    <col min="14198" max="14198" width="13.25" style="58" customWidth="1"/>
    <col min="14199" max="14199" width="11.75" style="58" customWidth="1"/>
    <col min="14200" max="14200" width="8.875" style="58" customWidth="1"/>
    <col min="14201" max="14201" width="9.625" style="58" customWidth="1"/>
    <col min="14202" max="14203" width="11.875" style="58" customWidth="1"/>
    <col min="14204" max="14204" width="11.5" style="58" customWidth="1"/>
    <col min="14205" max="14220" width="12.25" style="58" customWidth="1"/>
    <col min="14221" max="14221" width="13" style="58" customWidth="1"/>
    <col min="14222" max="14226" width="12.375" style="58" customWidth="1"/>
    <col min="14227" max="14227" width="13" style="58" customWidth="1"/>
    <col min="14228" max="14229" width="12.375" style="58" customWidth="1"/>
    <col min="14230" max="14230" width="13" style="58" customWidth="1"/>
    <col min="14231" max="14231" width="13.125" style="58" customWidth="1"/>
    <col min="14232" max="14232" width="13" style="58" customWidth="1"/>
    <col min="14233" max="14233" width="13.125" style="58" customWidth="1"/>
    <col min="14234" max="14235" width="12.375" style="58" customWidth="1"/>
    <col min="14236" max="14236" width="13" style="58" customWidth="1"/>
    <col min="14237" max="14237" width="12.375" style="58" customWidth="1"/>
    <col min="14238" max="14238" width="12.25" style="58" customWidth="1"/>
    <col min="14239" max="14239" width="12.125" style="58" customWidth="1"/>
    <col min="14240" max="14240" width="11.625" style="58" customWidth="1"/>
    <col min="14241" max="14241" width="12" style="58" customWidth="1"/>
    <col min="14242" max="14242" width="13" style="58" customWidth="1"/>
    <col min="14243" max="14243" width="11.625" style="58" customWidth="1"/>
    <col min="14244" max="14245" width="12" style="58" customWidth="1"/>
    <col min="14246" max="14248" width="11.625" style="58" customWidth="1"/>
    <col min="14249" max="14249" width="11.125" style="58" customWidth="1"/>
    <col min="14250" max="14250" width="12" style="58" customWidth="1"/>
    <col min="14251" max="14251" width="13" style="58" customWidth="1"/>
    <col min="14252" max="14252" width="13.625" style="58" customWidth="1"/>
    <col min="14253" max="14253" width="11.875" style="58" customWidth="1"/>
    <col min="14254" max="14255" width="11.625" style="58" customWidth="1"/>
    <col min="14256" max="14256" width="12" style="58" customWidth="1"/>
    <col min="14257" max="14257" width="12.75" style="58" customWidth="1"/>
    <col min="14258" max="14258" width="11.625" style="58" customWidth="1"/>
    <col min="14259" max="14259" width="12.125" style="58" customWidth="1"/>
    <col min="14260" max="14261" width="11.625" style="58" customWidth="1"/>
    <col min="14262" max="14262" width="12.5" style="58" customWidth="1"/>
    <col min="14263" max="14437" width="11.625" style="58" customWidth="1"/>
    <col min="14438" max="14438" width="17.75" style="58" customWidth="1"/>
    <col min="14439" max="14440" width="9" style="58" customWidth="1"/>
    <col min="14441" max="14441" width="16.25" style="58" customWidth="1"/>
    <col min="14442" max="14442" width="24" style="58" customWidth="1"/>
    <col min="14443" max="14443" width="9" style="58"/>
    <col min="14444" max="14444" width="11.75" style="58" customWidth="1"/>
    <col min="14445" max="14445" width="8.875" style="58" customWidth="1"/>
    <col min="14446" max="14446" width="17.375" style="58" customWidth="1"/>
    <col min="14447" max="14447" width="13.25" style="58" customWidth="1"/>
    <col min="14448" max="14448" width="25.75" style="58" customWidth="1"/>
    <col min="14449" max="14449" width="11.125" style="58" customWidth="1"/>
    <col min="14450" max="14450" width="10.75" style="58" customWidth="1"/>
    <col min="14451" max="14451" width="9" style="58" customWidth="1"/>
    <col min="14452" max="14452" width="9.75" style="58" customWidth="1"/>
    <col min="14453" max="14453" width="7.5" style="58" customWidth="1"/>
    <col min="14454" max="14454" width="13.25" style="58" customWidth="1"/>
    <col min="14455" max="14455" width="11.75" style="58" customWidth="1"/>
    <col min="14456" max="14456" width="8.875" style="58" customWidth="1"/>
    <col min="14457" max="14457" width="9.625" style="58" customWidth="1"/>
    <col min="14458" max="14459" width="11.875" style="58" customWidth="1"/>
    <col min="14460" max="14460" width="11.5" style="58" customWidth="1"/>
    <col min="14461" max="14476" width="12.25" style="58" customWidth="1"/>
    <col min="14477" max="14477" width="13" style="58" customWidth="1"/>
    <col min="14478" max="14482" width="12.375" style="58" customWidth="1"/>
    <col min="14483" max="14483" width="13" style="58" customWidth="1"/>
    <col min="14484" max="14485" width="12.375" style="58" customWidth="1"/>
    <col min="14486" max="14486" width="13" style="58" customWidth="1"/>
    <col min="14487" max="14487" width="13.125" style="58" customWidth="1"/>
    <col min="14488" max="14488" width="13" style="58" customWidth="1"/>
    <col min="14489" max="14489" width="13.125" style="58" customWidth="1"/>
    <col min="14490" max="14491" width="12.375" style="58" customWidth="1"/>
    <col min="14492" max="14492" width="13" style="58" customWidth="1"/>
    <col min="14493" max="14493" width="12.375" style="58" customWidth="1"/>
    <col min="14494" max="14494" width="12.25" style="58" customWidth="1"/>
    <col min="14495" max="14495" width="12.125" style="58" customWidth="1"/>
    <col min="14496" max="14496" width="11.625" style="58" customWidth="1"/>
    <col min="14497" max="14497" width="12" style="58" customWidth="1"/>
    <col min="14498" max="14498" width="13" style="58" customWidth="1"/>
    <col min="14499" max="14499" width="11.625" style="58" customWidth="1"/>
    <col min="14500" max="14501" width="12" style="58" customWidth="1"/>
    <col min="14502" max="14504" width="11.625" style="58" customWidth="1"/>
    <col min="14505" max="14505" width="11.125" style="58" customWidth="1"/>
    <col min="14506" max="14506" width="12" style="58" customWidth="1"/>
    <col min="14507" max="14507" width="13" style="58" customWidth="1"/>
    <col min="14508" max="14508" width="13.625" style="58" customWidth="1"/>
    <col min="14509" max="14509" width="11.875" style="58" customWidth="1"/>
    <col min="14510" max="14511" width="11.625" style="58" customWidth="1"/>
    <col min="14512" max="14512" width="12" style="58" customWidth="1"/>
    <col min="14513" max="14513" width="12.75" style="58" customWidth="1"/>
    <col min="14514" max="14514" width="11.625" style="58" customWidth="1"/>
    <col min="14515" max="14515" width="12.125" style="58" customWidth="1"/>
    <col min="14516" max="14517" width="11.625" style="58" customWidth="1"/>
    <col min="14518" max="14518" width="12.5" style="58" customWidth="1"/>
    <col min="14519" max="14693" width="11.625" style="58" customWidth="1"/>
    <col min="14694" max="14694" width="17.75" style="58" customWidth="1"/>
    <col min="14695" max="14696" width="9" style="58" customWidth="1"/>
    <col min="14697" max="14697" width="16.25" style="58" customWidth="1"/>
    <col min="14698" max="14698" width="24" style="58" customWidth="1"/>
    <col min="14699" max="14699" width="9" style="58"/>
    <col min="14700" max="14700" width="11.75" style="58" customWidth="1"/>
    <col min="14701" max="14701" width="8.875" style="58" customWidth="1"/>
    <col min="14702" max="14702" width="17.375" style="58" customWidth="1"/>
    <col min="14703" max="14703" width="13.25" style="58" customWidth="1"/>
    <col min="14704" max="14704" width="25.75" style="58" customWidth="1"/>
    <col min="14705" max="14705" width="11.125" style="58" customWidth="1"/>
    <col min="14706" max="14706" width="10.75" style="58" customWidth="1"/>
    <col min="14707" max="14707" width="9" style="58" customWidth="1"/>
    <col min="14708" max="14708" width="9.75" style="58" customWidth="1"/>
    <col min="14709" max="14709" width="7.5" style="58" customWidth="1"/>
    <col min="14710" max="14710" width="13.25" style="58" customWidth="1"/>
    <col min="14711" max="14711" width="11.75" style="58" customWidth="1"/>
    <col min="14712" max="14712" width="8.875" style="58" customWidth="1"/>
    <col min="14713" max="14713" width="9.625" style="58" customWidth="1"/>
    <col min="14714" max="14715" width="11.875" style="58" customWidth="1"/>
    <col min="14716" max="14716" width="11.5" style="58" customWidth="1"/>
    <col min="14717" max="14732" width="12.25" style="58" customWidth="1"/>
    <col min="14733" max="14733" width="13" style="58" customWidth="1"/>
    <col min="14734" max="14738" width="12.375" style="58" customWidth="1"/>
    <col min="14739" max="14739" width="13" style="58" customWidth="1"/>
    <col min="14740" max="14741" width="12.375" style="58" customWidth="1"/>
    <col min="14742" max="14742" width="13" style="58" customWidth="1"/>
    <col min="14743" max="14743" width="13.125" style="58" customWidth="1"/>
    <col min="14744" max="14744" width="13" style="58" customWidth="1"/>
    <col min="14745" max="14745" width="13.125" style="58" customWidth="1"/>
    <col min="14746" max="14747" width="12.375" style="58" customWidth="1"/>
    <col min="14748" max="14748" width="13" style="58" customWidth="1"/>
    <col min="14749" max="14749" width="12.375" style="58" customWidth="1"/>
    <col min="14750" max="14750" width="12.25" style="58" customWidth="1"/>
    <col min="14751" max="14751" width="12.125" style="58" customWidth="1"/>
    <col min="14752" max="14752" width="11.625" style="58" customWidth="1"/>
    <col min="14753" max="14753" width="12" style="58" customWidth="1"/>
    <col min="14754" max="14754" width="13" style="58" customWidth="1"/>
    <col min="14755" max="14755" width="11.625" style="58" customWidth="1"/>
    <col min="14756" max="14757" width="12" style="58" customWidth="1"/>
    <col min="14758" max="14760" width="11.625" style="58" customWidth="1"/>
    <col min="14761" max="14761" width="11.125" style="58" customWidth="1"/>
    <col min="14762" max="14762" width="12" style="58" customWidth="1"/>
    <col min="14763" max="14763" width="13" style="58" customWidth="1"/>
    <col min="14764" max="14764" width="13.625" style="58" customWidth="1"/>
    <col min="14765" max="14765" width="11.875" style="58" customWidth="1"/>
    <col min="14766" max="14767" width="11.625" style="58" customWidth="1"/>
    <col min="14768" max="14768" width="12" style="58" customWidth="1"/>
    <col min="14769" max="14769" width="12.75" style="58" customWidth="1"/>
    <col min="14770" max="14770" width="11.625" style="58" customWidth="1"/>
    <col min="14771" max="14771" width="12.125" style="58" customWidth="1"/>
    <col min="14772" max="14773" width="11.625" style="58" customWidth="1"/>
    <col min="14774" max="14774" width="12.5" style="58" customWidth="1"/>
    <col min="14775" max="14949" width="11.625" style="58" customWidth="1"/>
    <col min="14950" max="14950" width="17.75" style="58" customWidth="1"/>
    <col min="14951" max="14952" width="9" style="58" customWidth="1"/>
    <col min="14953" max="14953" width="16.25" style="58" customWidth="1"/>
    <col min="14954" max="14954" width="24" style="58" customWidth="1"/>
    <col min="14955" max="14955" width="9" style="58"/>
    <col min="14956" max="14956" width="11.75" style="58" customWidth="1"/>
    <col min="14957" max="14957" width="8.875" style="58" customWidth="1"/>
    <col min="14958" max="14958" width="17.375" style="58" customWidth="1"/>
    <col min="14959" max="14959" width="13.25" style="58" customWidth="1"/>
    <col min="14960" max="14960" width="25.75" style="58" customWidth="1"/>
    <col min="14961" max="14961" width="11.125" style="58" customWidth="1"/>
    <col min="14962" max="14962" width="10.75" style="58" customWidth="1"/>
    <col min="14963" max="14963" width="9" style="58" customWidth="1"/>
    <col min="14964" max="14964" width="9.75" style="58" customWidth="1"/>
    <col min="14965" max="14965" width="7.5" style="58" customWidth="1"/>
    <col min="14966" max="14966" width="13.25" style="58" customWidth="1"/>
    <col min="14967" max="14967" width="11.75" style="58" customWidth="1"/>
    <col min="14968" max="14968" width="8.875" style="58" customWidth="1"/>
    <col min="14969" max="14969" width="9.625" style="58" customWidth="1"/>
    <col min="14970" max="14971" width="11.875" style="58" customWidth="1"/>
    <col min="14972" max="14972" width="11.5" style="58" customWidth="1"/>
    <col min="14973" max="14988" width="12.25" style="58" customWidth="1"/>
    <col min="14989" max="14989" width="13" style="58" customWidth="1"/>
    <col min="14990" max="14994" width="12.375" style="58" customWidth="1"/>
    <col min="14995" max="14995" width="13" style="58" customWidth="1"/>
    <col min="14996" max="14997" width="12.375" style="58" customWidth="1"/>
    <col min="14998" max="14998" width="13" style="58" customWidth="1"/>
    <col min="14999" max="14999" width="13.125" style="58" customWidth="1"/>
    <col min="15000" max="15000" width="13" style="58" customWidth="1"/>
    <col min="15001" max="15001" width="13.125" style="58" customWidth="1"/>
    <col min="15002" max="15003" width="12.375" style="58" customWidth="1"/>
    <col min="15004" max="15004" width="13" style="58" customWidth="1"/>
    <col min="15005" max="15005" width="12.375" style="58" customWidth="1"/>
    <col min="15006" max="15006" width="12.25" style="58" customWidth="1"/>
    <col min="15007" max="15007" width="12.125" style="58" customWidth="1"/>
    <col min="15008" max="15008" width="11.625" style="58" customWidth="1"/>
    <col min="15009" max="15009" width="12" style="58" customWidth="1"/>
    <col min="15010" max="15010" width="13" style="58" customWidth="1"/>
    <col min="15011" max="15011" width="11.625" style="58" customWidth="1"/>
    <col min="15012" max="15013" width="12" style="58" customWidth="1"/>
    <col min="15014" max="15016" width="11.625" style="58" customWidth="1"/>
    <col min="15017" max="15017" width="11.125" style="58" customWidth="1"/>
    <col min="15018" max="15018" width="12" style="58" customWidth="1"/>
    <col min="15019" max="15019" width="13" style="58" customWidth="1"/>
    <col min="15020" max="15020" width="13.625" style="58" customWidth="1"/>
    <col min="15021" max="15021" width="11.875" style="58" customWidth="1"/>
    <col min="15022" max="15023" width="11.625" style="58" customWidth="1"/>
    <col min="15024" max="15024" width="12" style="58" customWidth="1"/>
    <col min="15025" max="15025" width="12.75" style="58" customWidth="1"/>
    <col min="15026" max="15026" width="11.625" style="58" customWidth="1"/>
    <col min="15027" max="15027" width="12.125" style="58" customWidth="1"/>
    <col min="15028" max="15029" width="11.625" style="58" customWidth="1"/>
    <col min="15030" max="15030" width="12.5" style="58" customWidth="1"/>
    <col min="15031" max="15205" width="11.625" style="58" customWidth="1"/>
    <col min="15206" max="15206" width="17.75" style="58" customWidth="1"/>
    <col min="15207" max="15208" width="9" style="58" customWidth="1"/>
    <col min="15209" max="15209" width="16.25" style="58" customWidth="1"/>
    <col min="15210" max="15210" width="24" style="58" customWidth="1"/>
    <col min="15211" max="15211" width="9" style="58"/>
    <col min="15212" max="15212" width="11.75" style="58" customWidth="1"/>
    <col min="15213" max="15213" width="8.875" style="58" customWidth="1"/>
    <col min="15214" max="15214" width="17.375" style="58" customWidth="1"/>
    <col min="15215" max="15215" width="13.25" style="58" customWidth="1"/>
    <col min="15216" max="15216" width="25.75" style="58" customWidth="1"/>
    <col min="15217" max="15217" width="11.125" style="58" customWidth="1"/>
    <col min="15218" max="15218" width="10.75" style="58" customWidth="1"/>
    <col min="15219" max="15219" width="9" style="58" customWidth="1"/>
    <col min="15220" max="15220" width="9.75" style="58" customWidth="1"/>
    <col min="15221" max="15221" width="7.5" style="58" customWidth="1"/>
    <col min="15222" max="15222" width="13.25" style="58" customWidth="1"/>
    <col min="15223" max="15223" width="11.75" style="58" customWidth="1"/>
    <col min="15224" max="15224" width="8.875" style="58" customWidth="1"/>
    <col min="15225" max="15225" width="9.625" style="58" customWidth="1"/>
    <col min="15226" max="15227" width="11.875" style="58" customWidth="1"/>
    <col min="15228" max="15228" width="11.5" style="58" customWidth="1"/>
    <col min="15229" max="15244" width="12.25" style="58" customWidth="1"/>
    <col min="15245" max="15245" width="13" style="58" customWidth="1"/>
    <col min="15246" max="15250" width="12.375" style="58" customWidth="1"/>
    <col min="15251" max="15251" width="13" style="58" customWidth="1"/>
    <col min="15252" max="15253" width="12.375" style="58" customWidth="1"/>
    <col min="15254" max="15254" width="13" style="58" customWidth="1"/>
    <col min="15255" max="15255" width="13.125" style="58" customWidth="1"/>
    <col min="15256" max="15256" width="13" style="58" customWidth="1"/>
    <col min="15257" max="15257" width="13.125" style="58" customWidth="1"/>
    <col min="15258" max="15259" width="12.375" style="58" customWidth="1"/>
    <col min="15260" max="15260" width="13" style="58" customWidth="1"/>
    <col min="15261" max="15261" width="12.375" style="58" customWidth="1"/>
    <col min="15262" max="15262" width="12.25" style="58" customWidth="1"/>
    <col min="15263" max="15263" width="12.125" style="58" customWidth="1"/>
    <col min="15264" max="15264" width="11.625" style="58" customWidth="1"/>
    <col min="15265" max="15265" width="12" style="58" customWidth="1"/>
    <col min="15266" max="15266" width="13" style="58" customWidth="1"/>
    <col min="15267" max="15267" width="11.625" style="58" customWidth="1"/>
    <col min="15268" max="15269" width="12" style="58" customWidth="1"/>
    <col min="15270" max="15272" width="11.625" style="58" customWidth="1"/>
    <col min="15273" max="15273" width="11.125" style="58" customWidth="1"/>
    <col min="15274" max="15274" width="12" style="58" customWidth="1"/>
    <col min="15275" max="15275" width="13" style="58" customWidth="1"/>
    <col min="15276" max="15276" width="13.625" style="58" customWidth="1"/>
    <col min="15277" max="15277" width="11.875" style="58" customWidth="1"/>
    <col min="15278" max="15279" width="11.625" style="58" customWidth="1"/>
    <col min="15280" max="15280" width="12" style="58" customWidth="1"/>
    <col min="15281" max="15281" width="12.75" style="58" customWidth="1"/>
    <col min="15282" max="15282" width="11.625" style="58" customWidth="1"/>
    <col min="15283" max="15283" width="12.125" style="58" customWidth="1"/>
    <col min="15284" max="15285" width="11.625" style="58" customWidth="1"/>
    <col min="15286" max="15286" width="12.5" style="58" customWidth="1"/>
    <col min="15287" max="15461" width="11.625" style="58" customWidth="1"/>
    <col min="15462" max="15462" width="17.75" style="58" customWidth="1"/>
    <col min="15463" max="15464" width="9" style="58" customWidth="1"/>
    <col min="15465" max="15465" width="16.25" style="58" customWidth="1"/>
    <col min="15466" max="15466" width="24" style="58" customWidth="1"/>
    <col min="15467" max="15467" width="9" style="58"/>
    <col min="15468" max="15468" width="11.75" style="58" customWidth="1"/>
    <col min="15469" max="15469" width="8.875" style="58" customWidth="1"/>
    <col min="15470" max="15470" width="17.375" style="58" customWidth="1"/>
    <col min="15471" max="15471" width="13.25" style="58" customWidth="1"/>
    <col min="15472" max="15472" width="25.75" style="58" customWidth="1"/>
    <col min="15473" max="15473" width="11.125" style="58" customWidth="1"/>
    <col min="15474" max="15474" width="10.75" style="58" customWidth="1"/>
    <col min="15475" max="15475" width="9" style="58" customWidth="1"/>
    <col min="15476" max="15476" width="9.75" style="58" customWidth="1"/>
    <col min="15477" max="15477" width="7.5" style="58" customWidth="1"/>
    <col min="15478" max="15478" width="13.25" style="58" customWidth="1"/>
    <col min="15479" max="15479" width="11.75" style="58" customWidth="1"/>
    <col min="15480" max="15480" width="8.875" style="58" customWidth="1"/>
    <col min="15481" max="15481" width="9.625" style="58" customWidth="1"/>
    <col min="15482" max="15483" width="11.875" style="58" customWidth="1"/>
    <col min="15484" max="15484" width="11.5" style="58" customWidth="1"/>
    <col min="15485" max="15500" width="12.25" style="58" customWidth="1"/>
    <col min="15501" max="15501" width="13" style="58" customWidth="1"/>
    <col min="15502" max="15506" width="12.375" style="58" customWidth="1"/>
    <col min="15507" max="15507" width="13" style="58" customWidth="1"/>
    <col min="15508" max="15509" width="12.375" style="58" customWidth="1"/>
    <col min="15510" max="15510" width="13" style="58" customWidth="1"/>
    <col min="15511" max="15511" width="13.125" style="58" customWidth="1"/>
    <col min="15512" max="15512" width="13" style="58" customWidth="1"/>
    <col min="15513" max="15513" width="13.125" style="58" customWidth="1"/>
    <col min="15514" max="15515" width="12.375" style="58" customWidth="1"/>
    <col min="15516" max="15516" width="13" style="58" customWidth="1"/>
    <col min="15517" max="15517" width="12.375" style="58" customWidth="1"/>
    <col min="15518" max="15518" width="12.25" style="58" customWidth="1"/>
    <col min="15519" max="15519" width="12.125" style="58" customWidth="1"/>
    <col min="15520" max="15520" width="11.625" style="58" customWidth="1"/>
    <col min="15521" max="15521" width="12" style="58" customWidth="1"/>
    <col min="15522" max="15522" width="13" style="58" customWidth="1"/>
    <col min="15523" max="15523" width="11.625" style="58" customWidth="1"/>
    <col min="15524" max="15525" width="12" style="58" customWidth="1"/>
    <col min="15526" max="15528" width="11.625" style="58" customWidth="1"/>
    <col min="15529" max="15529" width="11.125" style="58" customWidth="1"/>
    <col min="15530" max="15530" width="12" style="58" customWidth="1"/>
    <col min="15531" max="15531" width="13" style="58" customWidth="1"/>
    <col min="15532" max="15532" width="13.625" style="58" customWidth="1"/>
    <col min="15533" max="15533" width="11.875" style="58" customWidth="1"/>
    <col min="15534" max="15535" width="11.625" style="58" customWidth="1"/>
    <col min="15536" max="15536" width="12" style="58" customWidth="1"/>
    <col min="15537" max="15537" width="12.75" style="58" customWidth="1"/>
    <col min="15538" max="15538" width="11.625" style="58" customWidth="1"/>
    <col min="15539" max="15539" width="12.125" style="58" customWidth="1"/>
    <col min="15540" max="15541" width="11.625" style="58" customWidth="1"/>
    <col min="15542" max="15542" width="12.5" style="58" customWidth="1"/>
    <col min="15543" max="15717" width="11.625" style="58" customWidth="1"/>
    <col min="15718" max="15718" width="17.75" style="58" customWidth="1"/>
    <col min="15719" max="15720" width="9" style="58" customWidth="1"/>
    <col min="15721" max="15721" width="16.25" style="58" customWidth="1"/>
    <col min="15722" max="15722" width="24" style="58" customWidth="1"/>
    <col min="15723" max="15723" width="9" style="58"/>
    <col min="15724" max="15724" width="11.75" style="58" customWidth="1"/>
    <col min="15725" max="15725" width="8.875" style="58" customWidth="1"/>
    <col min="15726" max="15726" width="17.375" style="58" customWidth="1"/>
    <col min="15727" max="15727" width="13.25" style="58" customWidth="1"/>
    <col min="15728" max="15728" width="25.75" style="58" customWidth="1"/>
    <col min="15729" max="15729" width="11.125" style="58" customWidth="1"/>
    <col min="15730" max="15730" width="10.75" style="58" customWidth="1"/>
    <col min="15731" max="15731" width="9" style="58" customWidth="1"/>
    <col min="15732" max="15732" width="9.75" style="58" customWidth="1"/>
    <col min="15733" max="15733" width="7.5" style="58" customWidth="1"/>
    <col min="15734" max="15734" width="13.25" style="58" customWidth="1"/>
    <col min="15735" max="15735" width="11.75" style="58" customWidth="1"/>
    <col min="15736" max="15736" width="8.875" style="58" customWidth="1"/>
    <col min="15737" max="15737" width="9.625" style="58" customWidth="1"/>
    <col min="15738" max="15739" width="11.875" style="58" customWidth="1"/>
    <col min="15740" max="15740" width="11.5" style="58" customWidth="1"/>
    <col min="15741" max="15756" width="12.25" style="58" customWidth="1"/>
    <col min="15757" max="15757" width="13" style="58" customWidth="1"/>
    <col min="15758" max="15762" width="12.375" style="58" customWidth="1"/>
    <col min="15763" max="15763" width="13" style="58" customWidth="1"/>
    <col min="15764" max="15765" width="12.375" style="58" customWidth="1"/>
    <col min="15766" max="15766" width="13" style="58" customWidth="1"/>
    <col min="15767" max="15767" width="13.125" style="58" customWidth="1"/>
    <col min="15768" max="15768" width="13" style="58" customWidth="1"/>
    <col min="15769" max="15769" width="13.125" style="58" customWidth="1"/>
    <col min="15770" max="15771" width="12.375" style="58" customWidth="1"/>
    <col min="15772" max="15772" width="13" style="58" customWidth="1"/>
    <col min="15773" max="15773" width="12.375" style="58" customWidth="1"/>
    <col min="15774" max="15774" width="12.25" style="58" customWidth="1"/>
    <col min="15775" max="15775" width="12.125" style="58" customWidth="1"/>
    <col min="15776" max="15776" width="11.625" style="58" customWidth="1"/>
    <col min="15777" max="15777" width="12" style="58" customWidth="1"/>
    <col min="15778" max="15778" width="13" style="58" customWidth="1"/>
    <col min="15779" max="15779" width="11.625" style="58" customWidth="1"/>
    <col min="15780" max="15781" width="12" style="58" customWidth="1"/>
    <col min="15782" max="15784" width="11.625" style="58" customWidth="1"/>
    <col min="15785" max="15785" width="11.125" style="58" customWidth="1"/>
    <col min="15786" max="15786" width="12" style="58" customWidth="1"/>
    <col min="15787" max="15787" width="13" style="58" customWidth="1"/>
    <col min="15788" max="15788" width="13.625" style="58" customWidth="1"/>
    <col min="15789" max="15789" width="11.875" style="58" customWidth="1"/>
    <col min="15790" max="15791" width="11.625" style="58" customWidth="1"/>
    <col min="15792" max="15792" width="12" style="58" customWidth="1"/>
    <col min="15793" max="15793" width="12.75" style="58" customWidth="1"/>
    <col min="15794" max="15794" width="11.625" style="58" customWidth="1"/>
    <col min="15795" max="15795" width="12.125" style="58" customWidth="1"/>
    <col min="15796" max="15797" width="11.625" style="58" customWidth="1"/>
    <col min="15798" max="15798" width="12.5" style="58" customWidth="1"/>
    <col min="15799" max="15973" width="11.625" style="58" customWidth="1"/>
    <col min="15974" max="15974" width="17.75" style="58" customWidth="1"/>
    <col min="15975" max="15976" width="9" style="58" customWidth="1"/>
    <col min="15977" max="15977" width="16.25" style="58" customWidth="1"/>
    <col min="15978" max="15978" width="24" style="58" customWidth="1"/>
    <col min="15979" max="15979" width="9" style="58"/>
    <col min="15980" max="15980" width="11.75" style="58" customWidth="1"/>
    <col min="15981" max="15981" width="8.875" style="58" customWidth="1"/>
    <col min="15982" max="15982" width="17.375" style="58" customWidth="1"/>
    <col min="15983" max="15983" width="13.25" style="58" customWidth="1"/>
    <col min="15984" max="15984" width="25.75" style="58" customWidth="1"/>
    <col min="15985" max="15985" width="11.125" style="58" customWidth="1"/>
    <col min="15986" max="15986" width="10.75" style="58" customWidth="1"/>
    <col min="15987" max="15987" width="9" style="58" customWidth="1"/>
    <col min="15988" max="15988" width="9.75" style="58" customWidth="1"/>
    <col min="15989" max="15989" width="7.5" style="58" customWidth="1"/>
    <col min="15990" max="15990" width="13.25" style="58" customWidth="1"/>
    <col min="15991" max="15991" width="11.75" style="58" customWidth="1"/>
    <col min="15992" max="15992" width="8.875" style="58" customWidth="1"/>
    <col min="15993" max="15993" width="9.625" style="58" customWidth="1"/>
    <col min="15994" max="15995" width="11.875" style="58" customWidth="1"/>
    <col min="15996" max="15996" width="11.5" style="58" customWidth="1"/>
    <col min="15997" max="16012" width="12.25" style="58" customWidth="1"/>
    <col min="16013" max="16013" width="13" style="58" customWidth="1"/>
    <col min="16014" max="16018" width="12.375" style="58" customWidth="1"/>
    <col min="16019" max="16019" width="13" style="58" customWidth="1"/>
    <col min="16020" max="16021" width="12.375" style="58" customWidth="1"/>
    <col min="16022" max="16022" width="13" style="58" customWidth="1"/>
    <col min="16023" max="16023" width="13.125" style="58" customWidth="1"/>
    <col min="16024" max="16024" width="13" style="58" customWidth="1"/>
    <col min="16025" max="16025" width="13.125" style="58" customWidth="1"/>
    <col min="16026" max="16027" width="12.375" style="58" customWidth="1"/>
    <col min="16028" max="16028" width="13" style="58" customWidth="1"/>
    <col min="16029" max="16029" width="12.375" style="58" customWidth="1"/>
    <col min="16030" max="16030" width="12.25" style="58" customWidth="1"/>
    <col min="16031" max="16031" width="12.125" style="58" customWidth="1"/>
    <col min="16032" max="16032" width="11.625" style="58" customWidth="1"/>
    <col min="16033" max="16033" width="12" style="58" customWidth="1"/>
    <col min="16034" max="16034" width="13" style="58" customWidth="1"/>
    <col min="16035" max="16035" width="11.625" style="58" customWidth="1"/>
    <col min="16036" max="16037" width="12" style="58" customWidth="1"/>
    <col min="16038" max="16040" width="11.625" style="58" customWidth="1"/>
    <col min="16041" max="16041" width="11.125" style="58" customWidth="1"/>
    <col min="16042" max="16042" width="12" style="58" customWidth="1"/>
    <col min="16043" max="16043" width="13" style="58" customWidth="1"/>
    <col min="16044" max="16044" width="13.625" style="58" customWidth="1"/>
    <col min="16045" max="16045" width="11.875" style="58" customWidth="1"/>
    <col min="16046" max="16047" width="11.625" style="58" customWidth="1"/>
    <col min="16048" max="16048" width="12" style="58" customWidth="1"/>
    <col min="16049" max="16049" width="12.75" style="58" customWidth="1"/>
    <col min="16050" max="16050" width="11.625" style="58" customWidth="1"/>
    <col min="16051" max="16051" width="12.125" style="58" customWidth="1"/>
    <col min="16052" max="16053" width="11.625" style="58" customWidth="1"/>
    <col min="16054" max="16054" width="12.5" style="58" customWidth="1"/>
    <col min="16055" max="16228" width="11.625" style="58" customWidth="1"/>
    <col min="16229" max="16384" width="17.75" style="58" customWidth="1"/>
  </cols>
  <sheetData>
    <row r="1" spans="1:94" s="238" customFormat="1" ht="12.75" customHeight="1">
      <c r="A1" s="614" t="s">
        <v>792</v>
      </c>
      <c r="B1" s="615" t="s">
        <v>991</v>
      </c>
      <c r="C1" s="616" t="s">
        <v>1173</v>
      </c>
      <c r="D1" s="618" t="s">
        <v>795</v>
      </c>
      <c r="E1" s="619" t="s">
        <v>796</v>
      </c>
      <c r="F1" s="236" t="s">
        <v>797</v>
      </c>
      <c r="G1" s="237" t="s">
        <v>798</v>
      </c>
      <c r="H1" s="620" t="s">
        <v>799</v>
      </c>
      <c r="I1" s="618" t="s">
        <v>992</v>
      </c>
      <c r="J1" s="566" t="s">
        <v>993</v>
      </c>
      <c r="K1" s="566" t="s">
        <v>994</v>
      </c>
      <c r="L1" s="566" t="s">
        <v>995</v>
      </c>
      <c r="M1" s="566" t="s">
        <v>804</v>
      </c>
      <c r="N1" s="566" t="s">
        <v>996</v>
      </c>
      <c r="O1" s="566" t="s">
        <v>997</v>
      </c>
      <c r="P1" s="566" t="s">
        <v>998</v>
      </c>
      <c r="Q1" s="566" t="s">
        <v>999</v>
      </c>
      <c r="R1" s="566" t="s">
        <v>1000</v>
      </c>
      <c r="S1" s="566" t="s">
        <v>1001</v>
      </c>
      <c r="T1" s="566" t="s">
        <v>811</v>
      </c>
      <c r="U1" s="566" t="s">
        <v>812</v>
      </c>
      <c r="V1" s="566" t="s">
        <v>1002</v>
      </c>
      <c r="W1" s="566" t="s">
        <v>1003</v>
      </c>
      <c r="X1" s="566" t="s">
        <v>815</v>
      </c>
      <c r="Y1" s="566" t="s">
        <v>1004</v>
      </c>
      <c r="Z1" s="566" t="s">
        <v>817</v>
      </c>
      <c r="AA1" s="566" t="s">
        <v>818</v>
      </c>
      <c r="AB1" s="566" t="s">
        <v>1005</v>
      </c>
      <c r="AC1" s="566" t="s">
        <v>1006</v>
      </c>
      <c r="AD1" s="566" t="s">
        <v>1007</v>
      </c>
      <c r="AE1" s="566" t="s">
        <v>1008</v>
      </c>
      <c r="AF1" s="566" t="s">
        <v>1009</v>
      </c>
      <c r="AG1" s="566" t="s">
        <v>1010</v>
      </c>
      <c r="AH1" s="566" t="s">
        <v>825</v>
      </c>
      <c r="AI1" s="566" t="s">
        <v>1011</v>
      </c>
      <c r="AJ1" s="566" t="s">
        <v>827</v>
      </c>
      <c r="AK1" s="566" t="s">
        <v>1012</v>
      </c>
      <c r="AL1" s="566" t="s">
        <v>829</v>
      </c>
      <c r="AM1" s="566" t="s">
        <v>1013</v>
      </c>
      <c r="AN1" s="566" t="s">
        <v>1014</v>
      </c>
      <c r="AO1" s="566" t="s">
        <v>1015</v>
      </c>
      <c r="AP1" s="566" t="s">
        <v>1016</v>
      </c>
      <c r="AQ1" s="566" t="s">
        <v>834</v>
      </c>
      <c r="AR1" s="566" t="s">
        <v>1017</v>
      </c>
      <c r="AS1" s="566" t="s">
        <v>1018</v>
      </c>
      <c r="AT1" s="566" t="s">
        <v>837</v>
      </c>
      <c r="AU1" s="566" t="s">
        <v>1019</v>
      </c>
      <c r="AV1" s="566" t="s">
        <v>1020</v>
      </c>
      <c r="AW1" s="566" t="s">
        <v>1021</v>
      </c>
      <c r="AX1" s="566" t="s">
        <v>841</v>
      </c>
      <c r="AY1" s="566" t="s">
        <v>1022</v>
      </c>
      <c r="AZ1" s="566" t="s">
        <v>843</v>
      </c>
      <c r="BA1" s="566" t="s">
        <v>1023</v>
      </c>
      <c r="BB1" s="566" t="s">
        <v>1024</v>
      </c>
      <c r="BC1" s="566" t="s">
        <v>846</v>
      </c>
      <c r="BD1" s="566" t="s">
        <v>1025</v>
      </c>
      <c r="BE1" s="566" t="s">
        <v>848</v>
      </c>
      <c r="BF1" s="566" t="s">
        <v>1026</v>
      </c>
      <c r="BG1" s="566" t="s">
        <v>850</v>
      </c>
      <c r="BH1" s="566" t="s">
        <v>1027</v>
      </c>
      <c r="BI1" s="566" t="s">
        <v>1028</v>
      </c>
      <c r="BJ1" s="566" t="s">
        <v>1029</v>
      </c>
      <c r="BK1" s="566" t="s">
        <v>1030</v>
      </c>
      <c r="BL1" s="566" t="s">
        <v>855</v>
      </c>
      <c r="BM1" s="566" t="s">
        <v>856</v>
      </c>
      <c r="BN1" s="566" t="s">
        <v>1031</v>
      </c>
      <c r="BO1" s="566" t="s">
        <v>858</v>
      </c>
      <c r="BP1" s="566" t="s">
        <v>1032</v>
      </c>
      <c r="BQ1" s="566" t="s">
        <v>1033</v>
      </c>
      <c r="BR1" s="566" t="s">
        <v>1034</v>
      </c>
      <c r="BS1" s="566" t="s">
        <v>1035</v>
      </c>
      <c r="BT1" s="566" t="s">
        <v>1036</v>
      </c>
      <c r="BU1" s="566" t="s">
        <v>1037</v>
      </c>
      <c r="BV1" s="566" t="s">
        <v>1038</v>
      </c>
      <c r="BW1" s="566" t="s">
        <v>866</v>
      </c>
      <c r="BX1" s="566" t="s">
        <v>867</v>
      </c>
      <c r="BY1" s="566" t="s">
        <v>1039</v>
      </c>
      <c r="BZ1" s="566" t="s">
        <v>869</v>
      </c>
      <c r="CA1" s="566" t="s">
        <v>1040</v>
      </c>
      <c r="CB1" s="566" t="s">
        <v>1041</v>
      </c>
      <c r="CC1" s="566" t="s">
        <v>1042</v>
      </c>
      <c r="CD1" s="566" t="s">
        <v>873</v>
      </c>
      <c r="CE1" s="566" t="s">
        <v>1043</v>
      </c>
      <c r="CF1" s="566" t="s">
        <v>1044</v>
      </c>
      <c r="CG1" s="566" t="s">
        <v>1045</v>
      </c>
      <c r="CH1" s="566" t="s">
        <v>877</v>
      </c>
      <c r="CI1" s="566" t="s">
        <v>1046</v>
      </c>
      <c r="CJ1" s="566" t="s">
        <v>1047</v>
      </c>
      <c r="CK1" s="566" t="s">
        <v>880</v>
      </c>
      <c r="CL1" s="566" t="s">
        <v>1048</v>
      </c>
      <c r="CM1" s="566" t="s">
        <v>882</v>
      </c>
      <c r="CN1" s="566" t="s">
        <v>1049</v>
      </c>
      <c r="CO1" s="566" t="s">
        <v>884</v>
      </c>
      <c r="CP1" s="566" t="s">
        <v>1050</v>
      </c>
    </row>
    <row r="2" spans="1:94" s="70" customFormat="1">
      <c r="A2" s="614"/>
      <c r="B2" s="615"/>
      <c r="C2" s="617"/>
      <c r="D2" s="618"/>
      <c r="E2" s="619"/>
      <c r="F2" s="222" t="s">
        <v>886</v>
      </c>
      <c r="G2" s="160" t="s">
        <v>887</v>
      </c>
      <c r="H2" s="620"/>
      <c r="I2" s="618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  <c r="U2" s="566"/>
      <c r="V2" s="566"/>
      <c r="W2" s="566"/>
      <c r="X2" s="566"/>
      <c r="Y2" s="566"/>
      <c r="Z2" s="566"/>
      <c r="AA2" s="566"/>
      <c r="AB2" s="566"/>
      <c r="AC2" s="566"/>
      <c r="AD2" s="566"/>
      <c r="AE2" s="566"/>
      <c r="AF2" s="566"/>
      <c r="AG2" s="566"/>
      <c r="AH2" s="566"/>
      <c r="AI2" s="566"/>
      <c r="AJ2" s="566"/>
      <c r="AK2" s="566"/>
      <c r="AL2" s="566"/>
      <c r="AM2" s="566"/>
      <c r="AN2" s="566"/>
      <c r="AO2" s="566"/>
      <c r="AP2" s="566"/>
      <c r="AQ2" s="566"/>
      <c r="AR2" s="566"/>
      <c r="AS2" s="566"/>
      <c r="AT2" s="566"/>
      <c r="AU2" s="566"/>
      <c r="AV2" s="566"/>
      <c r="AW2" s="566"/>
      <c r="AX2" s="566"/>
      <c r="AY2" s="566"/>
      <c r="AZ2" s="566"/>
      <c r="BA2" s="566"/>
      <c r="BB2" s="566"/>
      <c r="BC2" s="566"/>
      <c r="BD2" s="566"/>
      <c r="BE2" s="566"/>
      <c r="BF2" s="566"/>
      <c r="BG2" s="566"/>
      <c r="BH2" s="566"/>
      <c r="BI2" s="566"/>
      <c r="BJ2" s="566"/>
      <c r="BK2" s="566"/>
      <c r="BL2" s="566"/>
      <c r="BM2" s="566"/>
      <c r="BN2" s="566"/>
      <c r="BO2" s="566"/>
      <c r="BP2" s="566"/>
      <c r="BQ2" s="566"/>
      <c r="BR2" s="566"/>
      <c r="BS2" s="566"/>
      <c r="BT2" s="566"/>
      <c r="BU2" s="566"/>
      <c r="BV2" s="566"/>
      <c r="BW2" s="566"/>
      <c r="BX2" s="566"/>
      <c r="BY2" s="566"/>
      <c r="BZ2" s="566"/>
      <c r="CA2" s="566"/>
      <c r="CB2" s="566"/>
      <c r="CC2" s="566"/>
      <c r="CD2" s="566"/>
      <c r="CE2" s="566"/>
      <c r="CF2" s="566"/>
      <c r="CG2" s="566"/>
      <c r="CH2" s="566"/>
      <c r="CI2" s="566"/>
      <c r="CJ2" s="566"/>
      <c r="CK2" s="566"/>
      <c r="CL2" s="566"/>
      <c r="CM2" s="566"/>
      <c r="CN2" s="566"/>
      <c r="CO2" s="566"/>
      <c r="CP2" s="566"/>
    </row>
    <row r="3" spans="1:94" ht="10.5" customHeight="1">
      <c r="A3" s="546">
        <v>1</v>
      </c>
      <c r="B3" s="536" t="s">
        <v>1051</v>
      </c>
      <c r="C3" s="537" t="s">
        <v>1052</v>
      </c>
      <c r="D3" s="538" t="s">
        <v>20</v>
      </c>
      <c r="E3" s="539" t="s">
        <v>418</v>
      </c>
      <c r="F3" s="540">
        <v>1251.8699999999999</v>
      </c>
      <c r="G3" s="540">
        <f>AVERAGE(25,35,45)/30</f>
        <v>1.1666666666666667</v>
      </c>
      <c r="H3" s="623">
        <f>G3*F3*365</f>
        <v>533087.97499999998</v>
      </c>
      <c r="I3" s="99">
        <v>300000</v>
      </c>
      <c r="J3" s="101">
        <f>ROUND(35*F3*3,0)</f>
        <v>131446</v>
      </c>
      <c r="K3" s="103">
        <f>J3</f>
        <v>131446</v>
      </c>
      <c r="L3" s="103">
        <f>K3</f>
        <v>131446</v>
      </c>
      <c r="M3" s="103">
        <f>L3</f>
        <v>131446</v>
      </c>
      <c r="N3" s="103">
        <f>M3</f>
        <v>131446</v>
      </c>
      <c r="O3" s="103">
        <f>N3</f>
        <v>131446</v>
      </c>
      <c r="P3" s="103">
        <f>ROUND(45*F3*3,0)</f>
        <v>169002</v>
      </c>
      <c r="Q3" s="103">
        <f t="shared" ref="Q3:T3" si="0">P3</f>
        <v>169002</v>
      </c>
      <c r="R3" s="103">
        <f t="shared" si="0"/>
        <v>169002</v>
      </c>
      <c r="S3" s="103">
        <f t="shared" si="0"/>
        <v>169002</v>
      </c>
      <c r="T3" s="103">
        <f t="shared" si="0"/>
        <v>169002</v>
      </c>
      <c r="U3" s="103">
        <f t="shared" ref="U3" si="1">T3</f>
        <v>169002</v>
      </c>
      <c r="V3" s="103">
        <f t="shared" ref="V3" si="2">U3</f>
        <v>169002</v>
      </c>
      <c r="W3" s="103">
        <f t="shared" ref="W3" si="3">V3</f>
        <v>169002</v>
      </c>
      <c r="X3" s="103">
        <f t="shared" ref="X3" si="4">W3</f>
        <v>169002</v>
      </c>
      <c r="Y3" s="103">
        <f t="shared" ref="Y3" si="5">X3</f>
        <v>169002</v>
      </c>
      <c r="Z3" s="103">
        <f>Y3</f>
        <v>169002</v>
      </c>
      <c r="AA3" s="103">
        <f t="shared" ref="AA3" si="6">Z3</f>
        <v>169002</v>
      </c>
      <c r="AB3" s="103">
        <f t="shared" ref="AB3" si="7">AA3</f>
        <v>169002</v>
      </c>
      <c r="AC3" s="103">
        <f>AB3</f>
        <v>169002</v>
      </c>
      <c r="AD3" s="103">
        <f t="shared" ref="AD3" si="8">AC3</f>
        <v>169002</v>
      </c>
      <c r="AE3" s="102">
        <f>AD3</f>
        <v>169002</v>
      </c>
      <c r="AF3" s="103">
        <f>AE3</f>
        <v>169002</v>
      </c>
      <c r="AG3" s="103">
        <f>AF3</f>
        <v>169002</v>
      </c>
      <c r="AH3" s="103">
        <f>ROUND(AG3*(1+取值表!$E$6)*取值表!$I$6,0)</f>
        <v>168255</v>
      </c>
      <c r="AI3" s="103">
        <f t="shared" ref="AI3:AK3" si="9">AH3</f>
        <v>168255</v>
      </c>
      <c r="AJ3" s="103">
        <f t="shared" si="9"/>
        <v>168255</v>
      </c>
      <c r="AK3" s="103">
        <f t="shared" si="9"/>
        <v>168255</v>
      </c>
      <c r="AL3" s="278">
        <f>ROUND(AK3*(1+取值表!$E$6),0)</f>
        <v>178014</v>
      </c>
      <c r="AM3" s="103">
        <f t="shared" ref="AM3" si="10">AL3</f>
        <v>178014</v>
      </c>
      <c r="AN3" s="103">
        <f t="shared" ref="AN3" si="11">AM3</f>
        <v>178014</v>
      </c>
      <c r="AO3" s="103">
        <f t="shared" ref="AO3" si="12">AN3</f>
        <v>178014</v>
      </c>
      <c r="AP3" s="101">
        <f>ROUND(AO3*(1+取值表!$E$6),0)</f>
        <v>188339</v>
      </c>
      <c r="AQ3" s="103">
        <f t="shared" ref="AQ3" si="13">AP3</f>
        <v>188339</v>
      </c>
      <c r="AR3" s="103">
        <f t="shared" ref="AR3" si="14">AQ3</f>
        <v>188339</v>
      </c>
      <c r="AS3" s="103">
        <f t="shared" ref="AS3" si="15">AR3</f>
        <v>188339</v>
      </c>
      <c r="AT3" s="101">
        <f>ROUND(AS3*(1+取值表!$E$6),0)</f>
        <v>199263</v>
      </c>
      <c r="AU3" s="103">
        <f t="shared" ref="AU3" si="16">AT3</f>
        <v>199263</v>
      </c>
      <c r="AV3" s="103">
        <f t="shared" ref="AV3" si="17">AU3</f>
        <v>199263</v>
      </c>
      <c r="AW3" s="103">
        <f t="shared" ref="AW3" si="18">AV3</f>
        <v>199263</v>
      </c>
      <c r="AX3" s="101">
        <f>ROUND(AW3*(1+取值表!$E$6),0)</f>
        <v>210820</v>
      </c>
      <c r="AY3" s="103">
        <f t="shared" ref="AY3" si="19">AX3</f>
        <v>210820</v>
      </c>
      <c r="AZ3" s="103">
        <f t="shared" ref="AZ3" si="20">AY3</f>
        <v>210820</v>
      </c>
      <c r="BA3" s="103">
        <f t="shared" ref="BA3" si="21">AZ3</f>
        <v>210820</v>
      </c>
      <c r="BB3" s="101">
        <f>ROUND(BA3*(1+取值表!$E$6),0)</f>
        <v>223048</v>
      </c>
      <c r="BC3" s="103">
        <f t="shared" ref="BC3" si="22">BB3</f>
        <v>223048</v>
      </c>
      <c r="BD3" s="103">
        <f t="shared" ref="BD3" si="23">BC3</f>
        <v>223048</v>
      </c>
      <c r="BE3" s="103">
        <f t="shared" ref="BE3" si="24">BD3</f>
        <v>223048</v>
      </c>
      <c r="BF3" s="101">
        <f>ROUND(BE3*(1+取值表!$E$6),0)</f>
        <v>235985</v>
      </c>
      <c r="BG3" s="103">
        <f t="shared" ref="BG3" si="25">BF3</f>
        <v>235985</v>
      </c>
      <c r="BH3" s="103">
        <f t="shared" ref="BH3" si="26">BG3</f>
        <v>235985</v>
      </c>
      <c r="BI3" s="103">
        <f t="shared" ref="BI3" si="27">BH3</f>
        <v>235985</v>
      </c>
      <c r="BJ3" s="101">
        <f>ROUND(BI3*(1+取值表!$E$6),0)</f>
        <v>249672</v>
      </c>
      <c r="BK3" s="103">
        <f t="shared" ref="BK3" si="28">BJ3</f>
        <v>249672</v>
      </c>
      <c r="BL3" s="103">
        <f t="shared" ref="BL3" si="29">BK3</f>
        <v>249672</v>
      </c>
      <c r="BM3" s="103">
        <f t="shared" ref="BM3" si="30">BL3</f>
        <v>249672</v>
      </c>
      <c r="BN3" s="101">
        <f>ROUND(BM3*(1+取值表!$E$6),0)</f>
        <v>264153</v>
      </c>
      <c r="BO3" s="103">
        <f t="shared" ref="BO3" si="31">BN3</f>
        <v>264153</v>
      </c>
      <c r="BP3" s="103">
        <f t="shared" ref="BP3" si="32">BO3</f>
        <v>264153</v>
      </c>
      <c r="BQ3" s="103">
        <f t="shared" ref="BQ3" si="33">BP3</f>
        <v>264153</v>
      </c>
      <c r="BR3" s="101">
        <f>ROUND(BQ3*(1+取值表!$E$6),0)</f>
        <v>279474</v>
      </c>
      <c r="BS3" s="103">
        <f t="shared" ref="BS3" si="34">BR3</f>
        <v>279474</v>
      </c>
      <c r="BT3" s="103">
        <f t="shared" ref="BT3" si="35">BS3</f>
        <v>279474</v>
      </c>
      <c r="BU3" s="103">
        <f t="shared" ref="BU3" si="36">BT3</f>
        <v>279474</v>
      </c>
      <c r="BV3" s="101">
        <f>ROUND(BU3*(1+取值表!$E$6),0)</f>
        <v>295683</v>
      </c>
      <c r="BW3" s="103">
        <f t="shared" ref="BW3" si="37">BV3</f>
        <v>295683</v>
      </c>
      <c r="BX3" s="103">
        <f t="shared" ref="BX3" si="38">BW3</f>
        <v>295683</v>
      </c>
      <c r="BY3" s="103">
        <f t="shared" ref="BY3" si="39">BX3</f>
        <v>295683</v>
      </c>
      <c r="BZ3" s="101">
        <f>ROUND(BY3*(1+取值表!$E$6),0)</f>
        <v>312833</v>
      </c>
      <c r="CA3" s="103">
        <f t="shared" ref="CA3" si="40">BZ3</f>
        <v>312833</v>
      </c>
      <c r="CB3" s="103">
        <f t="shared" ref="CB3" si="41">CA3</f>
        <v>312833</v>
      </c>
      <c r="CC3" s="103">
        <f t="shared" ref="CC3" si="42">CB3</f>
        <v>312833</v>
      </c>
      <c r="CD3" s="101">
        <f>ROUND(CC3*(1+取值表!$E$6),0)</f>
        <v>330977</v>
      </c>
      <c r="CE3" s="103">
        <f t="shared" ref="CE3" si="43">CD3</f>
        <v>330977</v>
      </c>
      <c r="CF3" s="103">
        <f t="shared" ref="CF3" si="44">CE3</f>
        <v>330977</v>
      </c>
      <c r="CG3" s="103">
        <f t="shared" ref="CG3" si="45">CF3</f>
        <v>330977</v>
      </c>
      <c r="CH3" s="101">
        <f>ROUND(CG3*(1+取值表!$E$6),0)</f>
        <v>350174</v>
      </c>
      <c r="CI3" s="103">
        <f t="shared" ref="CI3" si="46">CH3</f>
        <v>350174</v>
      </c>
      <c r="CJ3" s="103">
        <f t="shared" ref="CJ3" si="47">CI3</f>
        <v>350174</v>
      </c>
      <c r="CK3" s="103">
        <f t="shared" ref="CK3" si="48">CJ3</f>
        <v>350174</v>
      </c>
      <c r="CL3" s="101">
        <f>ROUND(CK3*(1+取值表!$E$6),0)</f>
        <v>370484</v>
      </c>
      <c r="CM3" s="103">
        <f t="shared" ref="CM3" si="49">CL3</f>
        <v>370484</v>
      </c>
      <c r="CN3" s="103">
        <f t="shared" ref="CN3" si="50">CM3</f>
        <v>370484</v>
      </c>
      <c r="CO3" s="103">
        <f t="shared" ref="CO3" si="51">CN3</f>
        <v>370484</v>
      </c>
      <c r="CP3" s="103">
        <f t="shared" ref="CP3:CP34" si="52">SUM(J3:CO3)</f>
        <v>19259408</v>
      </c>
    </row>
    <row r="4" spans="1:94" ht="12" customHeight="1">
      <c r="A4" s="546"/>
      <c r="B4" s="621"/>
      <c r="C4" s="548"/>
      <c r="D4" s="549"/>
      <c r="E4" s="547"/>
      <c r="F4" s="622"/>
      <c r="G4" s="622"/>
      <c r="H4" s="624"/>
      <c r="I4" s="99"/>
      <c r="J4" s="101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  <c r="BM4" s="103"/>
      <c r="BN4" s="103"/>
      <c r="BO4" s="103"/>
      <c r="BP4" s="103"/>
      <c r="BQ4" s="103"/>
      <c r="BR4" s="103"/>
      <c r="BS4" s="103"/>
      <c r="BT4" s="103"/>
      <c r="BU4" s="103"/>
      <c r="BV4" s="103"/>
      <c r="BW4" s="103"/>
      <c r="BX4" s="103"/>
      <c r="BY4" s="103"/>
      <c r="BZ4" s="103"/>
      <c r="CA4" s="103"/>
      <c r="CB4" s="103"/>
      <c r="CC4" s="103"/>
      <c r="CD4" s="103"/>
      <c r="CE4" s="103"/>
      <c r="CF4" s="103"/>
      <c r="CG4" s="103"/>
      <c r="CH4" s="103"/>
      <c r="CI4" s="103"/>
      <c r="CJ4" s="103"/>
      <c r="CK4" s="103"/>
      <c r="CL4" s="103"/>
      <c r="CM4" s="103"/>
      <c r="CN4" s="103"/>
      <c r="CO4" s="103"/>
      <c r="CP4" s="103">
        <f t="shared" si="52"/>
        <v>0</v>
      </c>
    </row>
    <row r="5" spans="1:94" ht="12" customHeight="1">
      <c r="A5" s="546">
        <v>2</v>
      </c>
      <c r="B5" s="550" t="s">
        <v>1053</v>
      </c>
      <c r="C5" s="548" t="s">
        <v>1054</v>
      </c>
      <c r="D5" s="549" t="s">
        <v>419</v>
      </c>
      <c r="E5" s="547" t="s">
        <v>1055</v>
      </c>
      <c r="F5" s="562">
        <v>7.8</v>
      </c>
      <c r="G5" s="562">
        <f>H5/365/F5</f>
        <v>42.149631190727078</v>
      </c>
      <c r="H5" s="613">
        <f>10000*12</f>
        <v>120000</v>
      </c>
      <c r="I5" s="99">
        <v>5000</v>
      </c>
      <c r="J5" s="102">
        <f>30000</f>
        <v>30000</v>
      </c>
      <c r="K5" s="103">
        <f>J5</f>
        <v>30000</v>
      </c>
      <c r="L5" s="103">
        <f>K5</f>
        <v>30000</v>
      </c>
      <c r="M5" s="103">
        <f>L5</f>
        <v>30000</v>
      </c>
      <c r="N5" s="103">
        <f>ROUND(M5*(1+取值表!$D$6)*取值表!$I$6,0)</f>
        <v>29867</v>
      </c>
      <c r="O5" s="103">
        <f>N5</f>
        <v>29867</v>
      </c>
      <c r="P5" s="103">
        <f>O5</f>
        <v>29867</v>
      </c>
      <c r="Q5" s="103">
        <f>P5</f>
        <v>29867</v>
      </c>
      <c r="R5" s="278">
        <f>ROUND(Q5*(1+取值表!$D$6),0)</f>
        <v>31599</v>
      </c>
      <c r="S5" s="103">
        <f t="shared" ref="S5:U5" si="53">R5</f>
        <v>31599</v>
      </c>
      <c r="T5" s="103">
        <f t="shared" si="53"/>
        <v>31599</v>
      </c>
      <c r="U5" s="103">
        <f t="shared" si="53"/>
        <v>31599</v>
      </c>
      <c r="V5" s="103">
        <f>ROUND(U5*(1+取值表!$D$6),0)</f>
        <v>33432</v>
      </c>
      <c r="W5" s="103">
        <f t="shared" ref="W5" si="54">V5</f>
        <v>33432</v>
      </c>
      <c r="X5" s="103">
        <f t="shared" ref="X5" si="55">W5</f>
        <v>33432</v>
      </c>
      <c r="Y5" s="103">
        <f t="shared" ref="Y5" si="56">X5</f>
        <v>33432</v>
      </c>
      <c r="Z5" s="103">
        <f>ROUND(Y5*(1+取值表!$D$6),0)</f>
        <v>35371</v>
      </c>
      <c r="AA5" s="103">
        <f t="shared" ref="AA5" si="57">Z5</f>
        <v>35371</v>
      </c>
      <c r="AB5" s="103">
        <f t="shared" ref="AB5" si="58">AA5</f>
        <v>35371</v>
      </c>
      <c r="AC5" s="103">
        <f t="shared" ref="AC5" si="59">AB5</f>
        <v>35371</v>
      </c>
      <c r="AD5" s="103">
        <f>ROUND(AC5*(1+取值表!$D$6),0)</f>
        <v>37423</v>
      </c>
      <c r="AE5" s="103">
        <f t="shared" ref="AE5" si="60">AD5</f>
        <v>37423</v>
      </c>
      <c r="AF5" s="103">
        <f t="shared" ref="AF5" si="61">AE5</f>
        <v>37423</v>
      </c>
      <c r="AG5" s="103">
        <f t="shared" ref="AG5" si="62">AF5</f>
        <v>37423</v>
      </c>
      <c r="AH5" s="103">
        <f>ROUND(AG5*(1+取值表!$D$6),0)</f>
        <v>39594</v>
      </c>
      <c r="AI5" s="103">
        <f t="shared" ref="AI5" si="63">AH5</f>
        <v>39594</v>
      </c>
      <c r="AJ5" s="103">
        <f t="shared" ref="AJ5" si="64">AI5</f>
        <v>39594</v>
      </c>
      <c r="AK5" s="103">
        <f t="shared" ref="AK5" si="65">AJ5</f>
        <v>39594</v>
      </c>
      <c r="AL5" s="103">
        <f>ROUND(AK5*(1+取值表!$D$6),0)</f>
        <v>41890</v>
      </c>
      <c r="AM5" s="103">
        <f t="shared" ref="AM5" si="66">AL5</f>
        <v>41890</v>
      </c>
      <c r="AN5" s="103">
        <f t="shared" ref="AN5" si="67">AM5</f>
        <v>41890</v>
      </c>
      <c r="AO5" s="103">
        <f t="shared" ref="AO5" si="68">AN5</f>
        <v>41890</v>
      </c>
      <c r="AP5" s="103">
        <f>ROUND(AO5*(1+取值表!$D$6),0)</f>
        <v>44320</v>
      </c>
      <c r="AQ5" s="103">
        <f t="shared" ref="AQ5" si="69">AP5</f>
        <v>44320</v>
      </c>
      <c r="AR5" s="103">
        <f t="shared" ref="AR5" si="70">AQ5</f>
        <v>44320</v>
      </c>
      <c r="AS5" s="103">
        <f t="shared" ref="AS5" si="71">AR5</f>
        <v>44320</v>
      </c>
      <c r="AT5" s="103">
        <f>ROUND(AS5*(1+取值表!$D$6),0)</f>
        <v>46891</v>
      </c>
      <c r="AU5" s="103">
        <f t="shared" ref="AU5" si="72">AT5</f>
        <v>46891</v>
      </c>
      <c r="AV5" s="103">
        <f t="shared" ref="AV5" si="73">AU5</f>
        <v>46891</v>
      </c>
      <c r="AW5" s="103">
        <f t="shared" ref="AW5" si="74">AV5</f>
        <v>46891</v>
      </c>
      <c r="AX5" s="103">
        <f>ROUND(AW5*(1+取值表!$D$6),0)</f>
        <v>49611</v>
      </c>
      <c r="AY5" s="103">
        <f t="shared" ref="AY5" si="75">AX5</f>
        <v>49611</v>
      </c>
      <c r="AZ5" s="103">
        <f t="shared" ref="AZ5" si="76">AY5</f>
        <v>49611</v>
      </c>
      <c r="BA5" s="103">
        <f t="shared" ref="BA5" si="77">AZ5</f>
        <v>49611</v>
      </c>
      <c r="BB5" s="103">
        <f>ROUND(BA5*(1+取值表!$D$6),0)</f>
        <v>52488</v>
      </c>
      <c r="BC5" s="103">
        <f t="shared" ref="BC5" si="78">BB5</f>
        <v>52488</v>
      </c>
      <c r="BD5" s="103">
        <f t="shared" ref="BD5" si="79">BC5</f>
        <v>52488</v>
      </c>
      <c r="BE5" s="103">
        <f t="shared" ref="BE5" si="80">BD5</f>
        <v>52488</v>
      </c>
      <c r="BF5" s="103">
        <f>ROUND(BE5*(1+取值表!$D$6),0)</f>
        <v>55532</v>
      </c>
      <c r="BG5" s="103">
        <f t="shared" ref="BG5" si="81">BF5</f>
        <v>55532</v>
      </c>
      <c r="BH5" s="103">
        <f t="shared" ref="BH5" si="82">BG5</f>
        <v>55532</v>
      </c>
      <c r="BI5" s="103">
        <f t="shared" ref="BI5" si="83">BH5</f>
        <v>55532</v>
      </c>
      <c r="BJ5" s="103">
        <f>ROUND(BI5*(1+取值表!$D$6),0)</f>
        <v>58753</v>
      </c>
      <c r="BK5" s="103">
        <f t="shared" ref="BK5" si="84">BJ5</f>
        <v>58753</v>
      </c>
      <c r="BL5" s="103">
        <f t="shared" ref="BL5" si="85">BK5</f>
        <v>58753</v>
      </c>
      <c r="BM5" s="103">
        <f t="shared" ref="BM5" si="86">BL5</f>
        <v>58753</v>
      </c>
      <c r="BN5" s="103">
        <f>ROUND(BM5*(1+取值表!$D$6),0)</f>
        <v>62161</v>
      </c>
      <c r="BO5" s="103">
        <f t="shared" ref="BO5" si="87">BN5</f>
        <v>62161</v>
      </c>
      <c r="BP5" s="103">
        <f t="shared" ref="BP5" si="88">BO5</f>
        <v>62161</v>
      </c>
      <c r="BQ5" s="103">
        <f t="shared" ref="BQ5" si="89">BP5</f>
        <v>62161</v>
      </c>
      <c r="BR5" s="103">
        <f>ROUND(BQ5*(1+取值表!$D$6),0)</f>
        <v>65766</v>
      </c>
      <c r="BS5" s="103">
        <f t="shared" ref="BS5" si="90">BR5</f>
        <v>65766</v>
      </c>
      <c r="BT5" s="103">
        <f t="shared" ref="BT5" si="91">BS5</f>
        <v>65766</v>
      </c>
      <c r="BU5" s="103">
        <f t="shared" ref="BU5" si="92">BT5</f>
        <v>65766</v>
      </c>
      <c r="BV5" s="103">
        <f>ROUND(BU5*(1+取值表!$D$6),0)</f>
        <v>69580</v>
      </c>
      <c r="BW5" s="103">
        <f t="shared" ref="BW5" si="93">BV5</f>
        <v>69580</v>
      </c>
      <c r="BX5" s="103">
        <f t="shared" ref="BX5" si="94">BW5</f>
        <v>69580</v>
      </c>
      <c r="BY5" s="103">
        <f t="shared" ref="BY5" si="95">BX5</f>
        <v>69580</v>
      </c>
      <c r="BZ5" s="103">
        <f>ROUND(BY5*(1+取值表!$D$6),0)</f>
        <v>73616</v>
      </c>
      <c r="CA5" s="103">
        <f t="shared" ref="CA5" si="96">BZ5</f>
        <v>73616</v>
      </c>
      <c r="CB5" s="103">
        <f t="shared" ref="CB5" si="97">CA5</f>
        <v>73616</v>
      </c>
      <c r="CC5" s="103">
        <f t="shared" ref="CC5" si="98">CB5</f>
        <v>73616</v>
      </c>
      <c r="CD5" s="103">
        <f>ROUND(CC5*(1+取值表!$D$6),0)</f>
        <v>77886</v>
      </c>
      <c r="CE5" s="103">
        <f t="shared" ref="CE5" si="99">CD5</f>
        <v>77886</v>
      </c>
      <c r="CF5" s="103">
        <f t="shared" ref="CF5" si="100">CE5</f>
        <v>77886</v>
      </c>
      <c r="CG5" s="103">
        <f t="shared" ref="CG5" si="101">CF5</f>
        <v>77886</v>
      </c>
      <c r="CH5" s="103">
        <f>ROUND(CG5*(1+取值表!$D$6),0)</f>
        <v>82403</v>
      </c>
      <c r="CI5" s="103">
        <f t="shared" ref="CI5" si="102">CH5</f>
        <v>82403</v>
      </c>
      <c r="CJ5" s="103">
        <f t="shared" ref="CJ5" si="103">CI5</f>
        <v>82403</v>
      </c>
      <c r="CK5" s="103">
        <f t="shared" ref="CK5" si="104">CJ5</f>
        <v>82403</v>
      </c>
      <c r="CL5" s="103">
        <f>ROUND(CK5*(1+取值表!$D$6),0)</f>
        <v>87182</v>
      </c>
      <c r="CM5" s="103">
        <f t="shared" ref="CM5" si="105">CL5</f>
        <v>87182</v>
      </c>
      <c r="CN5" s="103">
        <f t="shared" ref="CN5" si="106">CM5</f>
        <v>87182</v>
      </c>
      <c r="CO5" s="103">
        <f t="shared" ref="CO5" si="107">CN5</f>
        <v>87182</v>
      </c>
      <c r="CP5" s="103">
        <f t="shared" si="52"/>
        <v>4421460</v>
      </c>
    </row>
    <row r="6" spans="1:94">
      <c r="A6" s="546"/>
      <c r="B6" s="550"/>
      <c r="C6" s="548"/>
      <c r="D6" s="549"/>
      <c r="E6" s="547"/>
      <c r="F6" s="562"/>
      <c r="G6" s="562"/>
      <c r="H6" s="613"/>
      <c r="I6" s="99"/>
      <c r="J6" s="101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>
        <f>ROUND(AC6*(1+取值表!$E$6)*取值表!$I$6,0)</f>
        <v>0</v>
      </c>
      <c r="AE6" s="103"/>
      <c r="AF6" s="103"/>
      <c r="AG6" s="103"/>
      <c r="AH6" s="103">
        <f>ROUND(AG6*(1+取值表!$E$6)*取值表!$I$6,0)</f>
        <v>0</v>
      </c>
      <c r="AI6" s="103"/>
      <c r="AJ6" s="103"/>
      <c r="AK6" s="103"/>
      <c r="AL6" s="103">
        <f>ROUND(AK6*(1+取值表!$E$6)*取值表!$I$6,0)</f>
        <v>0</v>
      </c>
      <c r="AM6" s="103"/>
      <c r="AN6" s="103"/>
      <c r="AO6" s="103"/>
      <c r="AP6" s="103">
        <f>ROUND(AO6*(1+取值表!$E$6)*取值表!$I$6,0)</f>
        <v>0</v>
      </c>
      <c r="AQ6" s="103"/>
      <c r="AR6" s="103"/>
      <c r="AS6" s="103"/>
      <c r="AT6" s="103">
        <f>ROUND(AS6*(1+取值表!$E$6)*取值表!$I$6,0)</f>
        <v>0</v>
      </c>
      <c r="AU6" s="103"/>
      <c r="AV6" s="103"/>
      <c r="AW6" s="103"/>
      <c r="AX6" s="103">
        <f>ROUND(AW6*(1+取值表!$E$6)*取值表!$I$6,0)</f>
        <v>0</v>
      </c>
      <c r="AY6" s="103"/>
      <c r="AZ6" s="103"/>
      <c r="BA6" s="103"/>
      <c r="BB6" s="103">
        <f>ROUND(BA6*(1+取值表!$E$6)*取值表!$I$6,0)</f>
        <v>0</v>
      </c>
      <c r="BC6" s="103"/>
      <c r="BD6" s="103"/>
      <c r="BE6" s="103"/>
      <c r="BF6" s="103">
        <f>ROUND(BE6*(1+取值表!$E$6)*取值表!$I$6,0)</f>
        <v>0</v>
      </c>
      <c r="BG6" s="103"/>
      <c r="BH6" s="103"/>
      <c r="BI6" s="103"/>
      <c r="BJ6" s="103">
        <f>ROUND(BI6*(1+取值表!$E$6)*取值表!$I$6,0)</f>
        <v>0</v>
      </c>
      <c r="BK6" s="103"/>
      <c r="BL6" s="103"/>
      <c r="BM6" s="103"/>
      <c r="BN6" s="103">
        <f>ROUND(BM6*(1+取值表!$E$6)*取值表!$I$6,0)</f>
        <v>0</v>
      </c>
      <c r="BO6" s="103"/>
      <c r="BP6" s="103"/>
      <c r="BQ6" s="103"/>
      <c r="BR6" s="103">
        <f>ROUND(BQ6*(1+取值表!$E$6)*取值表!$I$6,0)</f>
        <v>0</v>
      </c>
      <c r="BS6" s="103"/>
      <c r="BT6" s="103"/>
      <c r="BU6" s="103"/>
      <c r="BV6" s="103">
        <f>ROUND(BU6*(1+取值表!$E$6)*取值表!$I$6,0)</f>
        <v>0</v>
      </c>
      <c r="BW6" s="103"/>
      <c r="BX6" s="103"/>
      <c r="BY6" s="103"/>
      <c r="BZ6" s="103">
        <f>ROUND(BY6*(1+取值表!$E$6)*取值表!$I$6,0)</f>
        <v>0</v>
      </c>
      <c r="CA6" s="103"/>
      <c r="CB6" s="103"/>
      <c r="CC6" s="103"/>
      <c r="CD6" s="103">
        <f>ROUND(CC6*(1+取值表!$E$6)*取值表!$I$6,0)</f>
        <v>0</v>
      </c>
      <c r="CE6" s="103"/>
      <c r="CF6" s="103"/>
      <c r="CG6" s="103"/>
      <c r="CH6" s="103">
        <f>ROUND(CG6*(1+取值表!$E$6)*取值表!$I$6,0)</f>
        <v>0</v>
      </c>
      <c r="CI6" s="103"/>
      <c r="CJ6" s="103"/>
      <c r="CK6" s="103"/>
      <c r="CL6" s="103">
        <f>ROUND(CK6*(1+取值表!$E$6)*取值表!$I$6,0)</f>
        <v>0</v>
      </c>
      <c r="CM6" s="103"/>
      <c r="CN6" s="103"/>
      <c r="CO6" s="103"/>
      <c r="CP6" s="103">
        <f t="shared" si="52"/>
        <v>0</v>
      </c>
    </row>
    <row r="7" spans="1:94" s="70" customFormat="1" ht="12" customHeight="1">
      <c r="A7" s="546">
        <v>3</v>
      </c>
      <c r="B7" s="536" t="s">
        <v>1056</v>
      </c>
      <c r="C7" s="537" t="s">
        <v>1057</v>
      </c>
      <c r="D7" s="538" t="s">
        <v>21</v>
      </c>
      <c r="E7" s="539" t="s">
        <v>1058</v>
      </c>
      <c r="F7" s="540">
        <v>386.7</v>
      </c>
      <c r="G7" s="540">
        <f>H7/365/F7</f>
        <v>12.500037195659798</v>
      </c>
      <c r="H7" s="623">
        <f>147027*12</f>
        <v>1764324</v>
      </c>
      <c r="I7" s="127">
        <v>188194</v>
      </c>
      <c r="J7" s="102">
        <f>147027*3</f>
        <v>441081</v>
      </c>
      <c r="K7" s="101">
        <f>J7</f>
        <v>441081</v>
      </c>
      <c r="L7" s="101">
        <f>K7</f>
        <v>441081</v>
      </c>
      <c r="M7" s="101">
        <f>L7</f>
        <v>441081</v>
      </c>
      <c r="N7" s="103">
        <f>ROUND(M7*(1+取值表!$D$6)*取值表!$I$6,0)</f>
        <v>439131</v>
      </c>
      <c r="O7" s="101">
        <f>N7</f>
        <v>439131</v>
      </c>
      <c r="P7" s="101">
        <f>O7</f>
        <v>439131</v>
      </c>
      <c r="Q7" s="101">
        <f>P7</f>
        <v>439131</v>
      </c>
      <c r="R7" s="278">
        <f>ROUND(Q7*(1+取值表!$D$6),0)</f>
        <v>464601</v>
      </c>
      <c r="S7" s="101">
        <f t="shared" ref="S7:U7" si="108">R7</f>
        <v>464601</v>
      </c>
      <c r="T7" s="101">
        <f t="shared" si="108"/>
        <v>464601</v>
      </c>
      <c r="U7" s="101">
        <f t="shared" si="108"/>
        <v>464601</v>
      </c>
      <c r="V7" s="103">
        <f>ROUND(U7*(1+取值表!$D$6),0)</f>
        <v>491548</v>
      </c>
      <c r="W7" s="101">
        <f t="shared" ref="W7:Y7" si="109">V7</f>
        <v>491548</v>
      </c>
      <c r="X7" s="101">
        <f t="shared" si="109"/>
        <v>491548</v>
      </c>
      <c r="Y7" s="101">
        <f t="shared" si="109"/>
        <v>491548</v>
      </c>
      <c r="Z7" s="103">
        <f>ROUND(Y7*(1+取值表!$D$6),0)</f>
        <v>520058</v>
      </c>
      <c r="AA7" s="101">
        <f t="shared" ref="AA7" si="110">Z7</f>
        <v>520058</v>
      </c>
      <c r="AB7" s="101">
        <f t="shared" ref="AB7" si="111">AA7</f>
        <v>520058</v>
      </c>
      <c r="AC7" s="101">
        <f t="shared" ref="AC7" si="112">AB7</f>
        <v>520058</v>
      </c>
      <c r="AD7" s="103">
        <f>ROUND(AC7*(1+取值表!$D$6),0)</f>
        <v>550221</v>
      </c>
      <c r="AE7" s="101">
        <f t="shared" ref="AE7" si="113">AD7</f>
        <v>550221</v>
      </c>
      <c r="AF7" s="101">
        <f t="shared" ref="AF7" si="114">AE7</f>
        <v>550221</v>
      </c>
      <c r="AG7" s="101">
        <f t="shared" ref="AG7" si="115">AF7</f>
        <v>550221</v>
      </c>
      <c r="AH7" s="103">
        <f>ROUND(AG7*(1+取值表!$D$6),0)</f>
        <v>582134</v>
      </c>
      <c r="AI7" s="101">
        <f t="shared" ref="AI7" si="116">AH7</f>
        <v>582134</v>
      </c>
      <c r="AJ7" s="101">
        <f t="shared" ref="AJ7" si="117">AI7</f>
        <v>582134</v>
      </c>
      <c r="AK7" s="101">
        <f t="shared" ref="AK7" si="118">AJ7</f>
        <v>582134</v>
      </c>
      <c r="AL7" s="103">
        <f>ROUND(AK7*(1+取值表!$D$6),0)</f>
        <v>615898</v>
      </c>
      <c r="AM7" s="101">
        <f t="shared" ref="AM7" si="119">AL7</f>
        <v>615898</v>
      </c>
      <c r="AN7" s="101">
        <f t="shared" ref="AN7" si="120">AM7</f>
        <v>615898</v>
      </c>
      <c r="AO7" s="101">
        <f t="shared" ref="AO7" si="121">AN7</f>
        <v>615898</v>
      </c>
      <c r="AP7" s="103">
        <f>ROUND(AO7*(1+取值表!$D$6),0)</f>
        <v>651620</v>
      </c>
      <c r="AQ7" s="101">
        <f t="shared" ref="AQ7" si="122">AP7</f>
        <v>651620</v>
      </c>
      <c r="AR7" s="101">
        <f t="shared" ref="AR7" si="123">AQ7</f>
        <v>651620</v>
      </c>
      <c r="AS7" s="101">
        <f t="shared" ref="AS7" si="124">AR7</f>
        <v>651620</v>
      </c>
      <c r="AT7" s="103">
        <f>ROUND(AS7*(1+取值表!$D$6),0)</f>
        <v>689414</v>
      </c>
      <c r="AU7" s="101">
        <f t="shared" ref="AU7" si="125">AT7</f>
        <v>689414</v>
      </c>
      <c r="AV7" s="101">
        <f t="shared" ref="AV7" si="126">AU7</f>
        <v>689414</v>
      </c>
      <c r="AW7" s="101">
        <f t="shared" ref="AW7" si="127">AV7</f>
        <v>689414</v>
      </c>
      <c r="AX7" s="103">
        <f>ROUND(AW7*(1+取值表!$D$6),0)</f>
        <v>729400</v>
      </c>
      <c r="AY7" s="101">
        <f t="shared" ref="AY7" si="128">AX7</f>
        <v>729400</v>
      </c>
      <c r="AZ7" s="101">
        <f t="shared" ref="AZ7" si="129">AY7</f>
        <v>729400</v>
      </c>
      <c r="BA7" s="101">
        <f t="shared" ref="BA7" si="130">AZ7</f>
        <v>729400</v>
      </c>
      <c r="BB7" s="103">
        <f>ROUND(BA7*(1+取值表!$D$6),0)</f>
        <v>771705</v>
      </c>
      <c r="BC7" s="101">
        <f t="shared" ref="BC7" si="131">BB7</f>
        <v>771705</v>
      </c>
      <c r="BD7" s="101">
        <f t="shared" ref="BD7" si="132">BC7</f>
        <v>771705</v>
      </c>
      <c r="BE7" s="101">
        <f t="shared" ref="BE7" si="133">BD7</f>
        <v>771705</v>
      </c>
      <c r="BF7" s="103">
        <f>ROUND(BE7*(1+取值表!$D$6),0)</f>
        <v>816464</v>
      </c>
      <c r="BG7" s="101">
        <f t="shared" ref="BG7" si="134">BF7</f>
        <v>816464</v>
      </c>
      <c r="BH7" s="101">
        <f t="shared" ref="BH7" si="135">BG7</f>
        <v>816464</v>
      </c>
      <c r="BI7" s="101">
        <f t="shared" ref="BI7" si="136">BH7</f>
        <v>816464</v>
      </c>
      <c r="BJ7" s="103">
        <f>ROUND(BI7*(1+取值表!$D$6),0)</f>
        <v>863819</v>
      </c>
      <c r="BK7" s="101">
        <f t="shared" ref="BK7" si="137">BJ7</f>
        <v>863819</v>
      </c>
      <c r="BL7" s="101">
        <f t="shared" ref="BL7" si="138">BK7</f>
        <v>863819</v>
      </c>
      <c r="BM7" s="101">
        <f t="shared" ref="BM7" si="139">BL7</f>
        <v>863819</v>
      </c>
      <c r="BN7" s="103">
        <f>ROUND(BM7*(1+取值表!$D$6),0)</f>
        <v>913921</v>
      </c>
      <c r="BO7" s="101">
        <f t="shared" ref="BO7" si="140">BN7</f>
        <v>913921</v>
      </c>
      <c r="BP7" s="101">
        <f t="shared" ref="BP7" si="141">BO7</f>
        <v>913921</v>
      </c>
      <c r="BQ7" s="101">
        <f t="shared" ref="BQ7" si="142">BP7</f>
        <v>913921</v>
      </c>
      <c r="BR7" s="103">
        <f>ROUND(BQ7*(1+取值表!$D$6),0)</f>
        <v>966928</v>
      </c>
      <c r="BS7" s="101">
        <f t="shared" ref="BS7" si="143">BR7</f>
        <v>966928</v>
      </c>
      <c r="BT7" s="101">
        <f t="shared" ref="BT7" si="144">BS7</f>
        <v>966928</v>
      </c>
      <c r="BU7" s="101">
        <f t="shared" ref="BU7" si="145">BT7</f>
        <v>966928</v>
      </c>
      <c r="BV7" s="103">
        <f>ROUND(BU7*(1+取值表!$D$6),0)</f>
        <v>1023010</v>
      </c>
      <c r="BW7" s="101">
        <f t="shared" ref="BW7" si="146">BV7</f>
        <v>1023010</v>
      </c>
      <c r="BX7" s="101">
        <f t="shared" ref="BX7" si="147">BW7</f>
        <v>1023010</v>
      </c>
      <c r="BY7" s="101">
        <f t="shared" ref="BY7" si="148">BX7</f>
        <v>1023010</v>
      </c>
      <c r="BZ7" s="103">
        <f>ROUND(BY7*(1+取值表!$D$6),0)</f>
        <v>1082345</v>
      </c>
      <c r="CA7" s="101">
        <f t="shared" ref="CA7" si="149">BZ7</f>
        <v>1082345</v>
      </c>
      <c r="CB7" s="101">
        <f t="shared" ref="CB7" si="150">CA7</f>
        <v>1082345</v>
      </c>
      <c r="CC7" s="101">
        <f t="shared" ref="CC7" si="151">CB7</f>
        <v>1082345</v>
      </c>
      <c r="CD7" s="103">
        <f>ROUND(CC7*(1+取值表!$D$6),0)</f>
        <v>1145121</v>
      </c>
      <c r="CE7" s="101">
        <f t="shared" ref="CE7" si="152">CD7</f>
        <v>1145121</v>
      </c>
      <c r="CF7" s="101">
        <f t="shared" ref="CF7" si="153">CE7</f>
        <v>1145121</v>
      </c>
      <c r="CG7" s="101">
        <f t="shared" ref="CG7" si="154">CF7</f>
        <v>1145121</v>
      </c>
      <c r="CH7" s="103">
        <f>ROUND(CG7*(1+取值表!$D$6),0)</f>
        <v>1211538</v>
      </c>
      <c r="CI7" s="101">
        <f t="shared" ref="CI7" si="155">CH7</f>
        <v>1211538</v>
      </c>
      <c r="CJ7" s="101">
        <f t="shared" ref="CJ7" si="156">CI7</f>
        <v>1211538</v>
      </c>
      <c r="CK7" s="101">
        <f t="shared" ref="CK7" si="157">CJ7</f>
        <v>1211538</v>
      </c>
      <c r="CL7" s="103">
        <f>ROUND(CK7*(1+取值表!$D$6),0)</f>
        <v>1281807</v>
      </c>
      <c r="CM7" s="101">
        <f t="shared" ref="CM7" si="158">CL7</f>
        <v>1281807</v>
      </c>
      <c r="CN7" s="101">
        <f t="shared" ref="CN7" si="159">CM7</f>
        <v>1281807</v>
      </c>
      <c r="CO7" s="101">
        <f t="shared" ref="CO7" si="160">CN7</f>
        <v>1281807</v>
      </c>
      <c r="CP7" s="103">
        <f t="shared" si="52"/>
        <v>65007056</v>
      </c>
    </row>
    <row r="8" spans="1:94" s="70" customFormat="1">
      <c r="A8" s="546"/>
      <c r="B8" s="536"/>
      <c r="C8" s="537"/>
      <c r="D8" s="538"/>
      <c r="E8" s="539"/>
      <c r="F8" s="540"/>
      <c r="G8" s="540"/>
      <c r="H8" s="623"/>
      <c r="I8" s="127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3">
        <f t="shared" si="52"/>
        <v>0</v>
      </c>
    </row>
    <row r="9" spans="1:94" ht="12" customHeight="1">
      <c r="A9" s="546">
        <v>4</v>
      </c>
      <c r="B9" s="550" t="s">
        <v>1059</v>
      </c>
      <c r="C9" s="548" t="s">
        <v>906</v>
      </c>
      <c r="D9" s="549" t="s">
        <v>22</v>
      </c>
      <c r="E9" s="547" t="s">
        <v>418</v>
      </c>
      <c r="F9" s="562">
        <v>218.34</v>
      </c>
      <c r="G9" s="562">
        <f>AVERAGE(12,13)</f>
        <v>12.5</v>
      </c>
      <c r="H9" s="613">
        <f>F9*G9*365</f>
        <v>996176.25</v>
      </c>
      <c r="I9" s="99">
        <v>225135.83</v>
      </c>
      <c r="J9" s="101">
        <f>ROUND(12*F9*365/4,0)</f>
        <v>239082</v>
      </c>
      <c r="K9" s="103">
        <f>J9</f>
        <v>239082</v>
      </c>
      <c r="L9" s="103">
        <f>K9</f>
        <v>239082</v>
      </c>
      <c r="M9" s="103">
        <f>ROUND(13*365*F9/4,0)</f>
        <v>259006</v>
      </c>
      <c r="N9" s="103">
        <f>M9</f>
        <v>259006</v>
      </c>
      <c r="O9" s="103">
        <f>N9</f>
        <v>259006</v>
      </c>
      <c r="P9" s="102">
        <f>O9</f>
        <v>259006</v>
      </c>
      <c r="Q9" s="103">
        <f>P9</f>
        <v>259006</v>
      </c>
      <c r="R9" s="103">
        <f>ROUND(Q9*(1+取值表!$D$6)*取值表!$I$6,0)</f>
        <v>257861</v>
      </c>
      <c r="S9" s="103">
        <f>R9</f>
        <v>257861</v>
      </c>
      <c r="T9" s="103">
        <f>S9</f>
        <v>257861</v>
      </c>
      <c r="U9" s="103">
        <f>T9</f>
        <v>257861</v>
      </c>
      <c r="V9" s="278">
        <f>ROUND(U9*(1+取值表!$D$6),0)</f>
        <v>272817</v>
      </c>
      <c r="W9" s="103">
        <f t="shared" ref="W9:Y9" si="161">V9</f>
        <v>272817</v>
      </c>
      <c r="X9" s="103">
        <f t="shared" si="161"/>
        <v>272817</v>
      </c>
      <c r="Y9" s="103">
        <f t="shared" si="161"/>
        <v>272817</v>
      </c>
      <c r="Z9" s="103">
        <f>ROUND(Y9*(1+取值表!$D$6),0)</f>
        <v>288640</v>
      </c>
      <c r="AA9" s="103">
        <f t="shared" ref="AA9" si="162">Z9</f>
        <v>288640</v>
      </c>
      <c r="AB9" s="103">
        <f t="shared" ref="AB9" si="163">AA9</f>
        <v>288640</v>
      </c>
      <c r="AC9" s="103">
        <f t="shared" ref="AC9" si="164">AB9</f>
        <v>288640</v>
      </c>
      <c r="AD9" s="103">
        <f>ROUND(AC9*(1+取值表!$D$6),0)</f>
        <v>305381</v>
      </c>
      <c r="AE9" s="103">
        <f t="shared" ref="AE9" si="165">AD9</f>
        <v>305381</v>
      </c>
      <c r="AF9" s="103">
        <f t="shared" ref="AF9" si="166">AE9</f>
        <v>305381</v>
      </c>
      <c r="AG9" s="103">
        <f t="shared" ref="AG9" si="167">AF9</f>
        <v>305381</v>
      </c>
      <c r="AH9" s="103">
        <f>ROUND(AG9*(1+取值表!$D$6),0)</f>
        <v>323093</v>
      </c>
      <c r="AI9" s="103">
        <f t="shared" ref="AI9" si="168">AH9</f>
        <v>323093</v>
      </c>
      <c r="AJ9" s="103">
        <f t="shared" ref="AJ9" si="169">AI9</f>
        <v>323093</v>
      </c>
      <c r="AK9" s="103">
        <f t="shared" ref="AK9" si="170">AJ9</f>
        <v>323093</v>
      </c>
      <c r="AL9" s="103">
        <f>ROUND(AK9*(1+取值表!$D$6),0)</f>
        <v>341832</v>
      </c>
      <c r="AM9" s="103">
        <f t="shared" ref="AM9" si="171">AL9</f>
        <v>341832</v>
      </c>
      <c r="AN9" s="103">
        <f t="shared" ref="AN9" si="172">AM9</f>
        <v>341832</v>
      </c>
      <c r="AO9" s="103">
        <f t="shared" ref="AO9" si="173">AN9</f>
        <v>341832</v>
      </c>
      <c r="AP9" s="103">
        <f>ROUND(AO9*(1+取值表!$D$6),0)</f>
        <v>361658</v>
      </c>
      <c r="AQ9" s="103">
        <f t="shared" ref="AQ9" si="174">AP9</f>
        <v>361658</v>
      </c>
      <c r="AR9" s="103">
        <f t="shared" ref="AR9" si="175">AQ9</f>
        <v>361658</v>
      </c>
      <c r="AS9" s="103">
        <f t="shared" ref="AS9" si="176">AR9</f>
        <v>361658</v>
      </c>
      <c r="AT9" s="103">
        <f>ROUND(AS9*(1+取值表!$D$6),0)</f>
        <v>382634</v>
      </c>
      <c r="AU9" s="103">
        <f t="shared" ref="AU9" si="177">AT9</f>
        <v>382634</v>
      </c>
      <c r="AV9" s="103">
        <f t="shared" ref="AV9" si="178">AU9</f>
        <v>382634</v>
      </c>
      <c r="AW9" s="103">
        <f t="shared" ref="AW9" si="179">AV9</f>
        <v>382634</v>
      </c>
      <c r="AX9" s="103">
        <f>ROUND(AW9*(1+取值表!$D$6),0)</f>
        <v>404827</v>
      </c>
      <c r="AY9" s="103">
        <f t="shared" ref="AY9" si="180">AX9</f>
        <v>404827</v>
      </c>
      <c r="AZ9" s="103">
        <f t="shared" ref="AZ9" si="181">AY9</f>
        <v>404827</v>
      </c>
      <c r="BA9" s="103">
        <f t="shared" ref="BA9" si="182">AZ9</f>
        <v>404827</v>
      </c>
      <c r="BB9" s="103">
        <f>ROUND(BA9*(1+取值表!$D$6),0)</f>
        <v>428307</v>
      </c>
      <c r="BC9" s="103">
        <f t="shared" ref="BC9" si="183">BB9</f>
        <v>428307</v>
      </c>
      <c r="BD9" s="103">
        <f t="shared" ref="BD9" si="184">BC9</f>
        <v>428307</v>
      </c>
      <c r="BE9" s="103">
        <f t="shared" ref="BE9" si="185">BD9</f>
        <v>428307</v>
      </c>
      <c r="BF9" s="103">
        <f>ROUND(BE9*(1+取值表!$D$6),0)</f>
        <v>453149</v>
      </c>
      <c r="BG9" s="103">
        <f t="shared" ref="BG9" si="186">BF9</f>
        <v>453149</v>
      </c>
      <c r="BH9" s="103">
        <f t="shared" ref="BH9" si="187">BG9</f>
        <v>453149</v>
      </c>
      <c r="BI9" s="103">
        <f t="shared" ref="BI9" si="188">BH9</f>
        <v>453149</v>
      </c>
      <c r="BJ9" s="103">
        <f>ROUND(BI9*(1+取值表!$D$6),0)</f>
        <v>479432</v>
      </c>
      <c r="BK9" s="103">
        <f t="shared" ref="BK9" si="189">BJ9</f>
        <v>479432</v>
      </c>
      <c r="BL9" s="103">
        <f t="shared" ref="BL9" si="190">BK9</f>
        <v>479432</v>
      </c>
      <c r="BM9" s="103">
        <f t="shared" ref="BM9" si="191">BL9</f>
        <v>479432</v>
      </c>
      <c r="BN9" s="103">
        <f>ROUND(BM9*(1+取值表!$D$6),0)</f>
        <v>507239</v>
      </c>
      <c r="BO9" s="103">
        <f t="shared" ref="BO9" si="192">BN9</f>
        <v>507239</v>
      </c>
      <c r="BP9" s="103">
        <f t="shared" ref="BP9" si="193">BO9</f>
        <v>507239</v>
      </c>
      <c r="BQ9" s="103">
        <f t="shared" ref="BQ9" si="194">BP9</f>
        <v>507239</v>
      </c>
      <c r="BR9" s="103">
        <f>ROUND(BQ9*(1+取值表!$D$6),0)</f>
        <v>536659</v>
      </c>
      <c r="BS9" s="103">
        <f t="shared" ref="BS9" si="195">BR9</f>
        <v>536659</v>
      </c>
      <c r="BT9" s="103">
        <f t="shared" ref="BT9" si="196">BS9</f>
        <v>536659</v>
      </c>
      <c r="BU9" s="103">
        <f t="shared" ref="BU9" si="197">BT9</f>
        <v>536659</v>
      </c>
      <c r="BV9" s="103">
        <f>ROUND(BU9*(1+取值表!$D$6),0)</f>
        <v>567785</v>
      </c>
      <c r="BW9" s="103">
        <f t="shared" ref="BW9" si="198">BV9</f>
        <v>567785</v>
      </c>
      <c r="BX9" s="103">
        <f t="shared" ref="BX9" si="199">BW9</f>
        <v>567785</v>
      </c>
      <c r="BY9" s="103">
        <f t="shared" ref="BY9" si="200">BX9</f>
        <v>567785</v>
      </c>
      <c r="BZ9" s="103">
        <f>ROUND(BY9*(1+取值表!$D$6),0)</f>
        <v>600717</v>
      </c>
      <c r="CA9" s="103">
        <f t="shared" ref="CA9" si="201">BZ9</f>
        <v>600717</v>
      </c>
      <c r="CB9" s="103">
        <f t="shared" ref="CB9" si="202">CA9</f>
        <v>600717</v>
      </c>
      <c r="CC9" s="103">
        <f t="shared" ref="CC9" si="203">CB9</f>
        <v>600717</v>
      </c>
      <c r="CD9" s="103">
        <f>ROUND(CC9*(1+取值表!$D$6),0)</f>
        <v>635559</v>
      </c>
      <c r="CE9" s="103">
        <f t="shared" ref="CE9" si="204">CD9</f>
        <v>635559</v>
      </c>
      <c r="CF9" s="103">
        <f t="shared" ref="CF9" si="205">CE9</f>
        <v>635559</v>
      </c>
      <c r="CG9" s="103">
        <f t="shared" ref="CG9" si="206">CF9</f>
        <v>635559</v>
      </c>
      <c r="CH9" s="103">
        <f>ROUND(CG9*(1+取值表!$D$6),0)</f>
        <v>672421</v>
      </c>
      <c r="CI9" s="103">
        <f t="shared" ref="CI9" si="207">CH9</f>
        <v>672421</v>
      </c>
      <c r="CJ9" s="103">
        <f t="shared" ref="CJ9" si="208">CI9</f>
        <v>672421</v>
      </c>
      <c r="CK9" s="103">
        <f t="shared" ref="CK9" si="209">CJ9</f>
        <v>672421</v>
      </c>
      <c r="CL9" s="103">
        <f>ROUND(CK9*(1+取值表!$D$6),0)</f>
        <v>711421</v>
      </c>
      <c r="CM9" s="103">
        <f t="shared" ref="CM9" si="210">CL9</f>
        <v>711421</v>
      </c>
      <c r="CN9" s="103">
        <f t="shared" ref="CN9" si="211">CM9</f>
        <v>711421</v>
      </c>
      <c r="CO9" s="103">
        <f t="shared" ref="CO9" si="212">CN9</f>
        <v>711421</v>
      </c>
      <c r="CP9" s="103">
        <f t="shared" si="52"/>
        <v>36138004</v>
      </c>
    </row>
    <row r="10" spans="1:94">
      <c r="A10" s="546"/>
      <c r="B10" s="550"/>
      <c r="C10" s="548"/>
      <c r="D10" s="549"/>
      <c r="E10" s="547"/>
      <c r="F10" s="562"/>
      <c r="G10" s="562"/>
      <c r="H10" s="613"/>
      <c r="I10" s="99"/>
      <c r="J10" s="101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>
        <f>ROUND(AC10*(1+取值表!$E$6)*取值表!$I$6,0)</f>
        <v>0</v>
      </c>
      <c r="AE10" s="103"/>
      <c r="AF10" s="103"/>
      <c r="AG10" s="103"/>
      <c r="AH10" s="103">
        <f>ROUND(AG10*(1+取值表!$E$6)*取值表!$I$6,0)</f>
        <v>0</v>
      </c>
      <c r="AI10" s="103"/>
      <c r="AJ10" s="103"/>
      <c r="AK10" s="103"/>
      <c r="AL10" s="103">
        <f>ROUND(AK10*(1+取值表!$E$6)*取值表!$I$6,0)</f>
        <v>0</v>
      </c>
      <c r="AM10" s="103"/>
      <c r="AN10" s="103"/>
      <c r="AO10" s="103"/>
      <c r="AP10" s="103">
        <f>ROUND(AO10*(1+取值表!$E$6)*取值表!$I$6,0)</f>
        <v>0</v>
      </c>
      <c r="AQ10" s="103"/>
      <c r="AR10" s="103"/>
      <c r="AS10" s="103"/>
      <c r="AT10" s="103">
        <f>ROUND(AS10*(1+取值表!$E$6)*取值表!$I$6,0)</f>
        <v>0</v>
      </c>
      <c r="AU10" s="103"/>
      <c r="AV10" s="103"/>
      <c r="AW10" s="103"/>
      <c r="AX10" s="103">
        <f>ROUND(AW10*(1+取值表!$E$6)*取值表!$I$6,0)</f>
        <v>0</v>
      </c>
      <c r="AY10" s="103"/>
      <c r="AZ10" s="103"/>
      <c r="BA10" s="103"/>
      <c r="BB10" s="103">
        <f>ROUND(BA10*(1+取值表!$E$6)*取值表!$I$6,0)</f>
        <v>0</v>
      </c>
      <c r="BC10" s="103"/>
      <c r="BD10" s="103"/>
      <c r="BE10" s="103"/>
      <c r="BF10" s="103">
        <f>ROUND(BE10*(1+取值表!$E$6)*取值表!$I$6,0)</f>
        <v>0</v>
      </c>
      <c r="BG10" s="103"/>
      <c r="BH10" s="103"/>
      <c r="BI10" s="103"/>
      <c r="BJ10" s="103">
        <f>ROUND(BI10*(1+取值表!$E$6)*取值表!$I$6,0)</f>
        <v>0</v>
      </c>
      <c r="BK10" s="103"/>
      <c r="BL10" s="103"/>
      <c r="BM10" s="103"/>
      <c r="BN10" s="103">
        <f>ROUND(BM10*(1+取值表!$E$6)*取值表!$I$6,0)</f>
        <v>0</v>
      </c>
      <c r="BO10" s="103"/>
      <c r="BP10" s="103"/>
      <c r="BQ10" s="103"/>
      <c r="BR10" s="103">
        <f>ROUND(BQ10*(1+取值表!$E$6)*取值表!$I$6,0)</f>
        <v>0</v>
      </c>
      <c r="BS10" s="103"/>
      <c r="BT10" s="103"/>
      <c r="BU10" s="103"/>
      <c r="BV10" s="103">
        <f>ROUND(BU10*(1+取值表!$E$6)*取值表!$I$6,0)</f>
        <v>0</v>
      </c>
      <c r="BW10" s="103"/>
      <c r="BX10" s="103"/>
      <c r="BY10" s="103"/>
      <c r="BZ10" s="103">
        <f>ROUND(BY10*(1+取值表!$E$6)*取值表!$I$6,0)</f>
        <v>0</v>
      </c>
      <c r="CA10" s="103"/>
      <c r="CB10" s="103"/>
      <c r="CC10" s="103"/>
      <c r="CD10" s="103">
        <f>ROUND(CC10*(1+取值表!$E$6)*取值表!$I$6,0)</f>
        <v>0</v>
      </c>
      <c r="CE10" s="103"/>
      <c r="CF10" s="103"/>
      <c r="CG10" s="103"/>
      <c r="CH10" s="103">
        <f>ROUND(CG10*(1+取值表!$E$6)*取值表!$I$6,0)</f>
        <v>0</v>
      </c>
      <c r="CI10" s="103"/>
      <c r="CJ10" s="103"/>
      <c r="CK10" s="103"/>
      <c r="CL10" s="103">
        <f>ROUND(CK10*(1+取值表!$E$6)*取值表!$I$6,0)</f>
        <v>0</v>
      </c>
      <c r="CM10" s="103"/>
      <c r="CN10" s="103"/>
      <c r="CO10" s="103"/>
      <c r="CP10" s="103">
        <f t="shared" si="52"/>
        <v>0</v>
      </c>
    </row>
    <row r="11" spans="1:94" ht="12" customHeight="1">
      <c r="A11" s="546">
        <v>5</v>
      </c>
      <c r="B11" s="550" t="s">
        <v>1060</v>
      </c>
      <c r="C11" s="548" t="s">
        <v>1061</v>
      </c>
      <c r="D11" s="549" t="s">
        <v>23</v>
      </c>
      <c r="E11" s="547" t="s">
        <v>418</v>
      </c>
      <c r="F11" s="562">
        <v>109.18</v>
      </c>
      <c r="G11" s="562">
        <f>AVERAGE(16.5,17,17.5)</f>
        <v>17</v>
      </c>
      <c r="H11" s="613">
        <f>F11*G11*365</f>
        <v>677461.9</v>
      </c>
      <c r="I11" s="99">
        <v>166874.81</v>
      </c>
      <c r="J11" s="101">
        <f>ROUND(16.5*F11*365/4,0)</f>
        <v>164384</v>
      </c>
      <c r="K11" s="103">
        <f>J11</f>
        <v>164384</v>
      </c>
      <c r="L11" s="103">
        <f>ROUND(17*365*F11/4,0)</f>
        <v>169365</v>
      </c>
      <c r="M11" s="103">
        <f>L11</f>
        <v>169365</v>
      </c>
      <c r="N11" s="103">
        <f>M11</f>
        <v>169365</v>
      </c>
      <c r="O11" s="103">
        <f>N11</f>
        <v>169365</v>
      </c>
      <c r="P11" s="103">
        <f>ROUND(17.5*365*F11/4,0)</f>
        <v>174347</v>
      </c>
      <c r="Q11" s="103">
        <f>P11</f>
        <v>174347</v>
      </c>
      <c r="R11" s="103">
        <f>Q11</f>
        <v>174347</v>
      </c>
      <c r="S11" s="102">
        <f>R11</f>
        <v>174347</v>
      </c>
      <c r="T11" s="103">
        <f>S11</f>
        <v>174347</v>
      </c>
      <c r="U11" s="103">
        <f>T11</f>
        <v>174347</v>
      </c>
      <c r="V11" s="103">
        <f>ROUND(U11*(1+取值表!$D$6)*取值表!$I$6,0)</f>
        <v>173576</v>
      </c>
      <c r="W11" s="103">
        <f>V11</f>
        <v>173576</v>
      </c>
      <c r="X11" s="103">
        <f>W11</f>
        <v>173576</v>
      </c>
      <c r="Y11" s="103">
        <f>X11</f>
        <v>173576</v>
      </c>
      <c r="Z11" s="278">
        <f>ROUND(Y11*(1+取值表!$D$6),0)</f>
        <v>183643</v>
      </c>
      <c r="AA11" s="103">
        <f t="shared" ref="AA11:AC11" si="213">Z11</f>
        <v>183643</v>
      </c>
      <c r="AB11" s="103">
        <f t="shared" si="213"/>
        <v>183643</v>
      </c>
      <c r="AC11" s="103">
        <f t="shared" si="213"/>
        <v>183643</v>
      </c>
      <c r="AD11" s="103">
        <f>ROUND(AC11*(1+取值表!$D$6),0)</f>
        <v>194294</v>
      </c>
      <c r="AE11" s="103">
        <f t="shared" ref="AE11" si="214">AD11</f>
        <v>194294</v>
      </c>
      <c r="AF11" s="103">
        <f t="shared" ref="AF11" si="215">AE11</f>
        <v>194294</v>
      </c>
      <c r="AG11" s="103">
        <f t="shared" ref="AG11" si="216">AF11</f>
        <v>194294</v>
      </c>
      <c r="AH11" s="103">
        <f>ROUND(AG11*(1+取值表!$D$6),0)</f>
        <v>205563</v>
      </c>
      <c r="AI11" s="103">
        <f t="shared" ref="AI11" si="217">AH11</f>
        <v>205563</v>
      </c>
      <c r="AJ11" s="103">
        <f t="shared" ref="AJ11" si="218">AI11</f>
        <v>205563</v>
      </c>
      <c r="AK11" s="103">
        <f t="shared" ref="AK11" si="219">AJ11</f>
        <v>205563</v>
      </c>
      <c r="AL11" s="103">
        <f>ROUND(AK11*(1+取值表!$D$6),0)</f>
        <v>217486</v>
      </c>
      <c r="AM11" s="103">
        <f t="shared" ref="AM11" si="220">AL11</f>
        <v>217486</v>
      </c>
      <c r="AN11" s="103">
        <f t="shared" ref="AN11" si="221">AM11</f>
        <v>217486</v>
      </c>
      <c r="AO11" s="103">
        <f t="shared" ref="AO11" si="222">AN11</f>
        <v>217486</v>
      </c>
      <c r="AP11" s="103">
        <f>ROUND(AO11*(1+取值表!$D$6),0)</f>
        <v>230100</v>
      </c>
      <c r="AQ11" s="103">
        <f t="shared" ref="AQ11" si="223">AP11</f>
        <v>230100</v>
      </c>
      <c r="AR11" s="103">
        <f t="shared" ref="AR11" si="224">AQ11</f>
        <v>230100</v>
      </c>
      <c r="AS11" s="103">
        <f t="shared" ref="AS11" si="225">AR11</f>
        <v>230100</v>
      </c>
      <c r="AT11" s="103">
        <f>ROUND(AS11*(1+取值表!$D$6),0)</f>
        <v>243446</v>
      </c>
      <c r="AU11" s="103">
        <f t="shared" ref="AU11" si="226">AT11</f>
        <v>243446</v>
      </c>
      <c r="AV11" s="103">
        <f t="shared" ref="AV11" si="227">AU11</f>
        <v>243446</v>
      </c>
      <c r="AW11" s="103">
        <f t="shared" ref="AW11" si="228">AV11</f>
        <v>243446</v>
      </c>
      <c r="AX11" s="103">
        <f>ROUND(AW11*(1+取值表!$D$6),0)</f>
        <v>257566</v>
      </c>
      <c r="AY11" s="103">
        <f t="shared" ref="AY11" si="229">AX11</f>
        <v>257566</v>
      </c>
      <c r="AZ11" s="103">
        <f t="shared" ref="AZ11" si="230">AY11</f>
        <v>257566</v>
      </c>
      <c r="BA11" s="103">
        <f t="shared" ref="BA11" si="231">AZ11</f>
        <v>257566</v>
      </c>
      <c r="BB11" s="103">
        <f>ROUND(BA11*(1+取值表!$D$6),0)</f>
        <v>272505</v>
      </c>
      <c r="BC11" s="103">
        <f t="shared" ref="BC11" si="232">BB11</f>
        <v>272505</v>
      </c>
      <c r="BD11" s="103">
        <f t="shared" ref="BD11" si="233">BC11</f>
        <v>272505</v>
      </c>
      <c r="BE11" s="103">
        <f t="shared" ref="BE11" si="234">BD11</f>
        <v>272505</v>
      </c>
      <c r="BF11" s="103">
        <f>ROUND(BE11*(1+取值表!$D$6),0)</f>
        <v>288310</v>
      </c>
      <c r="BG11" s="103">
        <f t="shared" ref="BG11" si="235">BF11</f>
        <v>288310</v>
      </c>
      <c r="BH11" s="103">
        <f t="shared" ref="BH11" si="236">BG11</f>
        <v>288310</v>
      </c>
      <c r="BI11" s="103">
        <f t="shared" ref="BI11" si="237">BH11</f>
        <v>288310</v>
      </c>
      <c r="BJ11" s="103">
        <f>ROUND(BI11*(1+取值表!$D$6),0)</f>
        <v>305032</v>
      </c>
      <c r="BK11" s="103">
        <f t="shared" ref="BK11" si="238">BJ11</f>
        <v>305032</v>
      </c>
      <c r="BL11" s="103">
        <f t="shared" ref="BL11" si="239">BK11</f>
        <v>305032</v>
      </c>
      <c r="BM11" s="103">
        <f t="shared" ref="BM11" si="240">BL11</f>
        <v>305032</v>
      </c>
      <c r="BN11" s="103">
        <f>ROUND(BM11*(1+取值表!$D$6),0)</f>
        <v>322724</v>
      </c>
      <c r="BO11" s="103">
        <f t="shared" ref="BO11" si="241">BN11</f>
        <v>322724</v>
      </c>
      <c r="BP11" s="103">
        <f t="shared" ref="BP11" si="242">BO11</f>
        <v>322724</v>
      </c>
      <c r="BQ11" s="103">
        <f t="shared" ref="BQ11" si="243">BP11</f>
        <v>322724</v>
      </c>
      <c r="BR11" s="103">
        <f>ROUND(BQ11*(1+取值表!$D$6),0)</f>
        <v>341442</v>
      </c>
      <c r="BS11" s="103">
        <f t="shared" ref="BS11" si="244">BR11</f>
        <v>341442</v>
      </c>
      <c r="BT11" s="103">
        <f t="shared" ref="BT11" si="245">BS11</f>
        <v>341442</v>
      </c>
      <c r="BU11" s="103">
        <f t="shared" ref="BU11" si="246">BT11</f>
        <v>341442</v>
      </c>
      <c r="BV11" s="103">
        <f>ROUND(BU11*(1+取值表!$D$6),0)</f>
        <v>361246</v>
      </c>
      <c r="BW11" s="103">
        <f t="shared" ref="BW11" si="247">BV11</f>
        <v>361246</v>
      </c>
      <c r="BX11" s="103">
        <f t="shared" ref="BX11" si="248">BW11</f>
        <v>361246</v>
      </c>
      <c r="BY11" s="103">
        <f t="shared" ref="BY11" si="249">BX11</f>
        <v>361246</v>
      </c>
      <c r="BZ11" s="103">
        <f>ROUND(BY11*(1+取值表!$D$6),0)</f>
        <v>382198</v>
      </c>
      <c r="CA11" s="103">
        <f t="shared" ref="CA11" si="250">BZ11</f>
        <v>382198</v>
      </c>
      <c r="CB11" s="103">
        <f t="shared" ref="CB11" si="251">CA11</f>
        <v>382198</v>
      </c>
      <c r="CC11" s="103">
        <f t="shared" ref="CC11" si="252">CB11</f>
        <v>382198</v>
      </c>
      <c r="CD11" s="103">
        <f>ROUND(CC11*(1+取值表!$D$6),0)</f>
        <v>404365</v>
      </c>
      <c r="CE11" s="103">
        <f t="shared" ref="CE11" si="253">CD11</f>
        <v>404365</v>
      </c>
      <c r="CF11" s="103">
        <f t="shared" ref="CF11" si="254">CE11</f>
        <v>404365</v>
      </c>
      <c r="CG11" s="103">
        <f t="shared" ref="CG11" si="255">CF11</f>
        <v>404365</v>
      </c>
      <c r="CH11" s="103">
        <f>ROUND(CG11*(1+取值表!$D$6),0)</f>
        <v>427818</v>
      </c>
      <c r="CI11" s="103">
        <f t="shared" ref="CI11" si="256">CH11</f>
        <v>427818</v>
      </c>
      <c r="CJ11" s="103">
        <f t="shared" ref="CJ11" si="257">CI11</f>
        <v>427818</v>
      </c>
      <c r="CK11" s="103">
        <f t="shared" ref="CK11" si="258">CJ11</f>
        <v>427818</v>
      </c>
      <c r="CL11" s="103">
        <f>ROUND(CK11*(1+取值表!$D$6),0)</f>
        <v>452631</v>
      </c>
      <c r="CM11" s="103">
        <f t="shared" ref="CM11" si="259">CL11</f>
        <v>452631</v>
      </c>
      <c r="CN11" s="103">
        <f t="shared" ref="CN11" si="260">CM11</f>
        <v>452631</v>
      </c>
      <c r="CO11" s="103">
        <f t="shared" ref="CO11" si="261">CN11</f>
        <v>452631</v>
      </c>
      <c r="CP11" s="103">
        <f t="shared" si="52"/>
        <v>23108090</v>
      </c>
    </row>
    <row r="12" spans="1:94">
      <c r="A12" s="546"/>
      <c r="B12" s="550"/>
      <c r="C12" s="548"/>
      <c r="D12" s="549"/>
      <c r="E12" s="547"/>
      <c r="F12" s="562"/>
      <c r="G12" s="562"/>
      <c r="H12" s="613"/>
      <c r="I12" s="99"/>
      <c r="J12" s="101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>
        <f>ROUND(AC12*(1+取值表!$E$6)*取值表!$I$6,0)</f>
        <v>0</v>
      </c>
      <c r="AE12" s="103"/>
      <c r="AF12" s="103"/>
      <c r="AG12" s="103"/>
      <c r="AH12" s="103">
        <f>ROUND(AG12*(1+取值表!$E$6)*取值表!$I$6,0)</f>
        <v>0</v>
      </c>
      <c r="AI12" s="103"/>
      <c r="AJ12" s="103"/>
      <c r="AK12" s="103"/>
      <c r="AL12" s="103">
        <f>ROUND(AK12*(1+取值表!$E$6)*取值表!$I$6,0)</f>
        <v>0</v>
      </c>
      <c r="AM12" s="103"/>
      <c r="AN12" s="103"/>
      <c r="AO12" s="103"/>
      <c r="AP12" s="103">
        <f>ROUND(AO12*(1+取值表!$E$6)*取值表!$I$6,0)</f>
        <v>0</v>
      </c>
      <c r="AQ12" s="103"/>
      <c r="AR12" s="103"/>
      <c r="AS12" s="103"/>
      <c r="AT12" s="103">
        <f>ROUND(AS12*(1+取值表!$E$6)*取值表!$I$6,0)</f>
        <v>0</v>
      </c>
      <c r="AU12" s="103"/>
      <c r="AV12" s="103"/>
      <c r="AW12" s="103"/>
      <c r="AX12" s="103">
        <f>ROUND(AW12*(1+取值表!$E$6)*取值表!$I$6,0)</f>
        <v>0</v>
      </c>
      <c r="AY12" s="103"/>
      <c r="AZ12" s="103"/>
      <c r="BA12" s="103"/>
      <c r="BB12" s="103">
        <f>ROUND(BA12*(1+取值表!$E$6)*取值表!$I$6,0)</f>
        <v>0</v>
      </c>
      <c r="BC12" s="103"/>
      <c r="BD12" s="103"/>
      <c r="BE12" s="103"/>
      <c r="BF12" s="103">
        <f>ROUND(BE12*(1+取值表!$E$6)*取值表!$I$6,0)</f>
        <v>0</v>
      </c>
      <c r="BG12" s="103"/>
      <c r="BH12" s="103"/>
      <c r="BI12" s="103"/>
      <c r="BJ12" s="103">
        <f>ROUND(BI12*(1+取值表!$E$6)*取值表!$I$6,0)</f>
        <v>0</v>
      </c>
      <c r="BK12" s="103"/>
      <c r="BL12" s="103"/>
      <c r="BM12" s="103"/>
      <c r="BN12" s="103">
        <f>ROUND(BM12*(1+取值表!$E$6)*取值表!$I$6,0)</f>
        <v>0</v>
      </c>
      <c r="BO12" s="103"/>
      <c r="BP12" s="103"/>
      <c r="BQ12" s="103"/>
      <c r="BR12" s="103">
        <f>ROUND(BQ12*(1+取值表!$E$6)*取值表!$I$6,0)</f>
        <v>0</v>
      </c>
      <c r="BS12" s="103"/>
      <c r="BT12" s="103"/>
      <c r="BU12" s="103"/>
      <c r="BV12" s="103">
        <f>ROUND(BU12*(1+取值表!$E$6)*取值表!$I$6,0)</f>
        <v>0</v>
      </c>
      <c r="BW12" s="103"/>
      <c r="BX12" s="103"/>
      <c r="BY12" s="103"/>
      <c r="BZ12" s="103">
        <f>ROUND(BY12*(1+取值表!$E$6)*取值表!$I$6,0)</f>
        <v>0</v>
      </c>
      <c r="CA12" s="103"/>
      <c r="CB12" s="103"/>
      <c r="CC12" s="103"/>
      <c r="CD12" s="103">
        <f>ROUND(CC12*(1+取值表!$E$6)*取值表!$I$6,0)</f>
        <v>0</v>
      </c>
      <c r="CE12" s="103"/>
      <c r="CF12" s="103"/>
      <c r="CG12" s="103"/>
      <c r="CH12" s="103">
        <f>ROUND(CG12*(1+取值表!$E$6)*取值表!$I$6,0)</f>
        <v>0</v>
      </c>
      <c r="CI12" s="103"/>
      <c r="CJ12" s="103"/>
      <c r="CK12" s="103"/>
      <c r="CL12" s="103">
        <f>ROUND(CK12*(1+取值表!$E$6)*取值表!$I$6,0)</f>
        <v>0</v>
      </c>
      <c r="CM12" s="103"/>
      <c r="CN12" s="103"/>
      <c r="CO12" s="103"/>
      <c r="CP12" s="103">
        <f t="shared" si="52"/>
        <v>0</v>
      </c>
    </row>
    <row r="13" spans="1:94" ht="12" customHeight="1">
      <c r="A13" s="546">
        <v>6</v>
      </c>
      <c r="B13" s="550" t="s">
        <v>1062</v>
      </c>
      <c r="C13" s="548" t="s">
        <v>1063</v>
      </c>
      <c r="D13" s="549" t="s">
        <v>24</v>
      </c>
      <c r="E13" s="547" t="s">
        <v>418</v>
      </c>
      <c r="F13" s="562">
        <v>205.5</v>
      </c>
      <c r="G13" s="562">
        <f>AVERAGE(16)</f>
        <v>16</v>
      </c>
      <c r="H13" s="613">
        <f>F13*G13*365</f>
        <v>1200120</v>
      </c>
      <c r="I13" s="99">
        <v>274339.93</v>
      </c>
      <c r="J13" s="101">
        <f>ROUND(16*F13*365/4,0)</f>
        <v>300030</v>
      </c>
      <c r="K13" s="103">
        <f>J13</f>
        <v>300030</v>
      </c>
      <c r="L13" s="103">
        <f>K13</f>
        <v>300030</v>
      </c>
      <c r="M13" s="102">
        <f>L13</f>
        <v>300030</v>
      </c>
      <c r="N13" s="103">
        <f>ROUND(M13*(1+取值表!$D$6)*取值表!$I$6,0)</f>
        <v>298703</v>
      </c>
      <c r="O13" s="103">
        <f>N13</f>
        <v>298703</v>
      </c>
      <c r="P13" s="103">
        <f>O13</f>
        <v>298703</v>
      </c>
      <c r="Q13" s="103">
        <f>P13</f>
        <v>298703</v>
      </c>
      <c r="R13" s="278">
        <f>ROUND(Q13*(1+取值表!$D$6),0)</f>
        <v>316028</v>
      </c>
      <c r="S13" s="103">
        <f t="shared" ref="S13:U13" si="262">R13</f>
        <v>316028</v>
      </c>
      <c r="T13" s="103">
        <f t="shared" si="262"/>
        <v>316028</v>
      </c>
      <c r="U13" s="103">
        <f t="shared" si="262"/>
        <v>316028</v>
      </c>
      <c r="V13" s="103">
        <f>ROUND(U13*(1+取值表!$D$6),0)</f>
        <v>334358</v>
      </c>
      <c r="W13" s="103">
        <f t="shared" ref="W13" si="263">V13</f>
        <v>334358</v>
      </c>
      <c r="X13" s="103">
        <f t="shared" ref="X13" si="264">W13</f>
        <v>334358</v>
      </c>
      <c r="Y13" s="103">
        <f t="shared" ref="Y13" si="265">X13</f>
        <v>334358</v>
      </c>
      <c r="Z13" s="103">
        <f>ROUND(Y13*(1+取值表!$D$6),0)</f>
        <v>353751</v>
      </c>
      <c r="AA13" s="103">
        <f t="shared" ref="AA13" si="266">Z13</f>
        <v>353751</v>
      </c>
      <c r="AB13" s="103">
        <f t="shared" ref="AB13" si="267">AA13</f>
        <v>353751</v>
      </c>
      <c r="AC13" s="103">
        <f t="shared" ref="AC13" si="268">AB13</f>
        <v>353751</v>
      </c>
      <c r="AD13" s="103">
        <f>ROUND(AC13*(1+取值表!$D$6),0)</f>
        <v>374269</v>
      </c>
      <c r="AE13" s="103">
        <f t="shared" ref="AE13" si="269">AD13</f>
        <v>374269</v>
      </c>
      <c r="AF13" s="103">
        <f t="shared" ref="AF13" si="270">AE13</f>
        <v>374269</v>
      </c>
      <c r="AG13" s="103">
        <f t="shared" ref="AG13" si="271">AF13</f>
        <v>374269</v>
      </c>
      <c r="AH13" s="103">
        <f>ROUND(AG13*(1+取值表!$D$6),0)</f>
        <v>395977</v>
      </c>
      <c r="AI13" s="103">
        <f t="shared" ref="AI13" si="272">AH13</f>
        <v>395977</v>
      </c>
      <c r="AJ13" s="103">
        <f t="shared" ref="AJ13" si="273">AI13</f>
        <v>395977</v>
      </c>
      <c r="AK13" s="103">
        <f t="shared" ref="AK13" si="274">AJ13</f>
        <v>395977</v>
      </c>
      <c r="AL13" s="103">
        <f>ROUND(AK13*(1+取值表!$D$6),0)</f>
        <v>418944</v>
      </c>
      <c r="AM13" s="103">
        <f t="shared" ref="AM13" si="275">AL13</f>
        <v>418944</v>
      </c>
      <c r="AN13" s="103">
        <f t="shared" ref="AN13" si="276">AM13</f>
        <v>418944</v>
      </c>
      <c r="AO13" s="103">
        <f t="shared" ref="AO13" si="277">AN13</f>
        <v>418944</v>
      </c>
      <c r="AP13" s="103">
        <f>ROUND(AO13*(1+取值表!$D$6),0)</f>
        <v>443243</v>
      </c>
      <c r="AQ13" s="103">
        <f t="shared" ref="AQ13" si="278">AP13</f>
        <v>443243</v>
      </c>
      <c r="AR13" s="103">
        <f t="shared" ref="AR13" si="279">AQ13</f>
        <v>443243</v>
      </c>
      <c r="AS13" s="103">
        <f t="shared" ref="AS13" si="280">AR13</f>
        <v>443243</v>
      </c>
      <c r="AT13" s="103">
        <f>ROUND(AS13*(1+取值表!$D$6),0)</f>
        <v>468951</v>
      </c>
      <c r="AU13" s="103">
        <f t="shared" ref="AU13" si="281">AT13</f>
        <v>468951</v>
      </c>
      <c r="AV13" s="103">
        <f t="shared" ref="AV13" si="282">AU13</f>
        <v>468951</v>
      </c>
      <c r="AW13" s="103">
        <f t="shared" ref="AW13" si="283">AV13</f>
        <v>468951</v>
      </c>
      <c r="AX13" s="103">
        <f>ROUND(AW13*(1+取值表!$D$6),0)</f>
        <v>496150</v>
      </c>
      <c r="AY13" s="103">
        <f t="shared" ref="AY13" si="284">AX13</f>
        <v>496150</v>
      </c>
      <c r="AZ13" s="103">
        <f t="shared" ref="AZ13" si="285">AY13</f>
        <v>496150</v>
      </c>
      <c r="BA13" s="103">
        <f t="shared" ref="BA13" si="286">AZ13</f>
        <v>496150</v>
      </c>
      <c r="BB13" s="103">
        <f>ROUND(BA13*(1+取值表!$D$6),0)</f>
        <v>524927</v>
      </c>
      <c r="BC13" s="103">
        <f t="shared" ref="BC13" si="287">BB13</f>
        <v>524927</v>
      </c>
      <c r="BD13" s="103">
        <f t="shared" ref="BD13" si="288">BC13</f>
        <v>524927</v>
      </c>
      <c r="BE13" s="103">
        <f t="shared" ref="BE13" si="289">BD13</f>
        <v>524927</v>
      </c>
      <c r="BF13" s="103">
        <f>ROUND(BE13*(1+取值表!$D$6),0)</f>
        <v>555373</v>
      </c>
      <c r="BG13" s="103">
        <f t="shared" ref="BG13" si="290">BF13</f>
        <v>555373</v>
      </c>
      <c r="BH13" s="103">
        <f t="shared" ref="BH13" si="291">BG13</f>
        <v>555373</v>
      </c>
      <c r="BI13" s="103">
        <f t="shared" ref="BI13" si="292">BH13</f>
        <v>555373</v>
      </c>
      <c r="BJ13" s="103">
        <f>ROUND(BI13*(1+取值表!$D$6),0)</f>
        <v>587585</v>
      </c>
      <c r="BK13" s="103">
        <f t="shared" ref="BK13" si="293">BJ13</f>
        <v>587585</v>
      </c>
      <c r="BL13" s="103">
        <f t="shared" ref="BL13" si="294">BK13</f>
        <v>587585</v>
      </c>
      <c r="BM13" s="103">
        <f t="shared" ref="BM13" si="295">BL13</f>
        <v>587585</v>
      </c>
      <c r="BN13" s="103">
        <f>ROUND(BM13*(1+取值表!$D$6),0)</f>
        <v>621665</v>
      </c>
      <c r="BO13" s="103">
        <f t="shared" ref="BO13" si="296">BN13</f>
        <v>621665</v>
      </c>
      <c r="BP13" s="103">
        <f t="shared" ref="BP13" si="297">BO13</f>
        <v>621665</v>
      </c>
      <c r="BQ13" s="103">
        <f t="shared" ref="BQ13" si="298">BP13</f>
        <v>621665</v>
      </c>
      <c r="BR13" s="103">
        <f>ROUND(BQ13*(1+取值表!$D$6),0)</f>
        <v>657722</v>
      </c>
      <c r="BS13" s="103">
        <f t="shared" ref="BS13" si="299">BR13</f>
        <v>657722</v>
      </c>
      <c r="BT13" s="103">
        <f t="shared" ref="BT13" si="300">BS13</f>
        <v>657722</v>
      </c>
      <c r="BU13" s="103">
        <f t="shared" ref="BU13" si="301">BT13</f>
        <v>657722</v>
      </c>
      <c r="BV13" s="103">
        <f>ROUND(BU13*(1+取值表!$D$6),0)</f>
        <v>695870</v>
      </c>
      <c r="BW13" s="103">
        <f t="shared" ref="BW13" si="302">BV13</f>
        <v>695870</v>
      </c>
      <c r="BX13" s="103">
        <f t="shared" ref="BX13" si="303">BW13</f>
        <v>695870</v>
      </c>
      <c r="BY13" s="103">
        <f t="shared" ref="BY13" si="304">BX13</f>
        <v>695870</v>
      </c>
      <c r="BZ13" s="103">
        <f>ROUND(BY13*(1+取值表!$D$6),0)</f>
        <v>736230</v>
      </c>
      <c r="CA13" s="103">
        <f t="shared" ref="CA13" si="305">BZ13</f>
        <v>736230</v>
      </c>
      <c r="CB13" s="103">
        <f t="shared" ref="CB13" si="306">CA13</f>
        <v>736230</v>
      </c>
      <c r="CC13" s="103">
        <f t="shared" ref="CC13" si="307">CB13</f>
        <v>736230</v>
      </c>
      <c r="CD13" s="103">
        <f>ROUND(CC13*(1+取值表!$D$6),0)</f>
        <v>778931</v>
      </c>
      <c r="CE13" s="103">
        <f t="shared" ref="CE13" si="308">CD13</f>
        <v>778931</v>
      </c>
      <c r="CF13" s="103">
        <f t="shared" ref="CF13" si="309">CE13</f>
        <v>778931</v>
      </c>
      <c r="CG13" s="103">
        <f t="shared" ref="CG13" si="310">CF13</f>
        <v>778931</v>
      </c>
      <c r="CH13" s="103">
        <f>ROUND(CG13*(1+取值表!$D$6),0)</f>
        <v>824109</v>
      </c>
      <c r="CI13" s="103">
        <f t="shared" ref="CI13" si="311">CH13</f>
        <v>824109</v>
      </c>
      <c r="CJ13" s="103">
        <f t="shared" ref="CJ13" si="312">CI13</f>
        <v>824109</v>
      </c>
      <c r="CK13" s="103">
        <f t="shared" ref="CK13" si="313">CJ13</f>
        <v>824109</v>
      </c>
      <c r="CL13" s="103">
        <f>ROUND(CK13*(1+取值表!$D$6),0)</f>
        <v>871907</v>
      </c>
      <c r="CM13" s="103">
        <f t="shared" ref="CM13" si="314">CL13</f>
        <v>871907</v>
      </c>
      <c r="CN13" s="103">
        <f t="shared" ref="CN13" si="315">CM13</f>
        <v>871907</v>
      </c>
      <c r="CO13" s="103">
        <f t="shared" ref="CO13" si="316">CN13</f>
        <v>871907</v>
      </c>
      <c r="CP13" s="103">
        <f t="shared" si="52"/>
        <v>44218892</v>
      </c>
    </row>
    <row r="14" spans="1:94">
      <c r="A14" s="546"/>
      <c r="B14" s="550"/>
      <c r="C14" s="548"/>
      <c r="D14" s="549"/>
      <c r="E14" s="547"/>
      <c r="F14" s="562"/>
      <c r="G14" s="562"/>
      <c r="H14" s="613"/>
      <c r="I14" s="99"/>
      <c r="J14" s="101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>
        <f t="shared" si="52"/>
        <v>0</v>
      </c>
    </row>
    <row r="15" spans="1:94" ht="12" customHeight="1">
      <c r="A15" s="546">
        <v>7</v>
      </c>
      <c r="B15" s="550" t="s">
        <v>1064</v>
      </c>
      <c r="C15" s="548" t="s">
        <v>1065</v>
      </c>
      <c r="D15" s="549" t="s">
        <v>25</v>
      </c>
      <c r="E15" s="547" t="s">
        <v>418</v>
      </c>
      <c r="F15" s="562">
        <v>147.49</v>
      </c>
      <c r="G15" s="562">
        <f>AVERAGE(17.5)</f>
        <v>17.5</v>
      </c>
      <c r="H15" s="613">
        <f>F15*G15*365</f>
        <v>942092.37500000012</v>
      </c>
      <c r="I15" s="99">
        <v>220449.62</v>
      </c>
      <c r="J15" s="101">
        <f>ROUND(17.5*F15*365/4,0)</f>
        <v>235523</v>
      </c>
      <c r="K15" s="103">
        <f>J15</f>
        <v>235523</v>
      </c>
      <c r="L15" s="102">
        <f>K15</f>
        <v>235523</v>
      </c>
      <c r="M15" s="103">
        <f>L15</f>
        <v>235523</v>
      </c>
      <c r="N15" s="103">
        <f>ROUND(M15*(1+取值表!$D$6)*取值表!$I$6,0)</f>
        <v>234482</v>
      </c>
      <c r="O15" s="103">
        <f>N15</f>
        <v>234482</v>
      </c>
      <c r="P15" s="103">
        <f>O15</f>
        <v>234482</v>
      </c>
      <c r="Q15" s="103">
        <f>P15</f>
        <v>234482</v>
      </c>
      <c r="R15" s="278">
        <f>ROUND(Q15*(1+取值表!$D$6),0)</f>
        <v>248082</v>
      </c>
      <c r="S15" s="103">
        <f t="shared" ref="S15:U15" si="317">R15</f>
        <v>248082</v>
      </c>
      <c r="T15" s="103">
        <f t="shared" si="317"/>
        <v>248082</v>
      </c>
      <c r="U15" s="103">
        <f t="shared" si="317"/>
        <v>248082</v>
      </c>
      <c r="V15" s="103">
        <f>ROUND(U15*(1+取值表!$D$6),0)</f>
        <v>262471</v>
      </c>
      <c r="W15" s="103">
        <f t="shared" ref="W15" si="318">V15</f>
        <v>262471</v>
      </c>
      <c r="X15" s="103">
        <f t="shared" ref="X15" si="319">W15</f>
        <v>262471</v>
      </c>
      <c r="Y15" s="103">
        <f t="shared" ref="Y15" si="320">X15</f>
        <v>262471</v>
      </c>
      <c r="Z15" s="103">
        <f>ROUND(Y15*(1+取值表!$D$6),0)</f>
        <v>277694</v>
      </c>
      <c r="AA15" s="103">
        <f t="shared" ref="AA15" si="321">Z15</f>
        <v>277694</v>
      </c>
      <c r="AB15" s="103">
        <f t="shared" ref="AB15" si="322">AA15</f>
        <v>277694</v>
      </c>
      <c r="AC15" s="103">
        <f t="shared" ref="AC15" si="323">AB15</f>
        <v>277694</v>
      </c>
      <c r="AD15" s="103">
        <f>ROUND(AC15*(1+取值表!$D$6),0)</f>
        <v>293800</v>
      </c>
      <c r="AE15" s="103">
        <f t="shared" ref="AE15" si="324">AD15</f>
        <v>293800</v>
      </c>
      <c r="AF15" s="103">
        <f t="shared" ref="AF15" si="325">AE15</f>
        <v>293800</v>
      </c>
      <c r="AG15" s="103">
        <f t="shared" ref="AG15" si="326">AF15</f>
        <v>293800</v>
      </c>
      <c r="AH15" s="103">
        <f>ROUND(AG15*(1+取值表!$D$6),0)</f>
        <v>310840</v>
      </c>
      <c r="AI15" s="103">
        <f t="shared" ref="AI15" si="327">AH15</f>
        <v>310840</v>
      </c>
      <c r="AJ15" s="103">
        <f t="shared" ref="AJ15" si="328">AI15</f>
        <v>310840</v>
      </c>
      <c r="AK15" s="103">
        <f t="shared" ref="AK15" si="329">AJ15</f>
        <v>310840</v>
      </c>
      <c r="AL15" s="103">
        <f>ROUND(AK15*(1+取值表!$D$6),0)</f>
        <v>328869</v>
      </c>
      <c r="AM15" s="103">
        <f t="shared" ref="AM15" si="330">AL15</f>
        <v>328869</v>
      </c>
      <c r="AN15" s="103">
        <f t="shared" ref="AN15" si="331">AM15</f>
        <v>328869</v>
      </c>
      <c r="AO15" s="103">
        <f t="shared" ref="AO15" si="332">AN15</f>
        <v>328869</v>
      </c>
      <c r="AP15" s="103">
        <f>ROUND(AO15*(1+取值表!$D$6),0)</f>
        <v>347943</v>
      </c>
      <c r="AQ15" s="103">
        <f t="shared" ref="AQ15" si="333">AP15</f>
        <v>347943</v>
      </c>
      <c r="AR15" s="103">
        <f t="shared" ref="AR15" si="334">AQ15</f>
        <v>347943</v>
      </c>
      <c r="AS15" s="103">
        <f t="shared" ref="AS15" si="335">AR15</f>
        <v>347943</v>
      </c>
      <c r="AT15" s="103">
        <f>ROUND(AS15*(1+取值表!$D$6),0)</f>
        <v>368124</v>
      </c>
      <c r="AU15" s="103">
        <f t="shared" ref="AU15" si="336">AT15</f>
        <v>368124</v>
      </c>
      <c r="AV15" s="103">
        <f t="shared" ref="AV15" si="337">AU15</f>
        <v>368124</v>
      </c>
      <c r="AW15" s="103">
        <f t="shared" ref="AW15" si="338">AV15</f>
        <v>368124</v>
      </c>
      <c r="AX15" s="103">
        <f>ROUND(AW15*(1+取值表!$D$6),0)</f>
        <v>389475</v>
      </c>
      <c r="AY15" s="103">
        <f t="shared" ref="AY15" si="339">AX15</f>
        <v>389475</v>
      </c>
      <c r="AZ15" s="103">
        <f t="shared" ref="AZ15" si="340">AY15</f>
        <v>389475</v>
      </c>
      <c r="BA15" s="103">
        <f t="shared" ref="BA15" si="341">AZ15</f>
        <v>389475</v>
      </c>
      <c r="BB15" s="103">
        <f>ROUND(BA15*(1+取值表!$D$6),0)</f>
        <v>412065</v>
      </c>
      <c r="BC15" s="103">
        <f t="shared" ref="BC15" si="342">BB15</f>
        <v>412065</v>
      </c>
      <c r="BD15" s="103">
        <f t="shared" ref="BD15" si="343">BC15</f>
        <v>412065</v>
      </c>
      <c r="BE15" s="103">
        <f t="shared" ref="BE15" si="344">BD15</f>
        <v>412065</v>
      </c>
      <c r="BF15" s="103">
        <f>ROUND(BE15*(1+取值表!$D$6),0)</f>
        <v>435965</v>
      </c>
      <c r="BG15" s="103">
        <f t="shared" ref="BG15" si="345">BF15</f>
        <v>435965</v>
      </c>
      <c r="BH15" s="103">
        <f t="shared" ref="BH15" si="346">BG15</f>
        <v>435965</v>
      </c>
      <c r="BI15" s="103">
        <f t="shared" ref="BI15" si="347">BH15</f>
        <v>435965</v>
      </c>
      <c r="BJ15" s="103">
        <f>ROUND(BI15*(1+取值表!$D$6),0)</f>
        <v>461251</v>
      </c>
      <c r="BK15" s="103">
        <f t="shared" ref="BK15" si="348">BJ15</f>
        <v>461251</v>
      </c>
      <c r="BL15" s="103">
        <f t="shared" ref="BL15" si="349">BK15</f>
        <v>461251</v>
      </c>
      <c r="BM15" s="103">
        <f t="shared" ref="BM15" si="350">BL15</f>
        <v>461251</v>
      </c>
      <c r="BN15" s="103">
        <f>ROUND(BM15*(1+取值表!$D$6),0)</f>
        <v>488004</v>
      </c>
      <c r="BO15" s="103">
        <f t="shared" ref="BO15" si="351">BN15</f>
        <v>488004</v>
      </c>
      <c r="BP15" s="103">
        <f t="shared" ref="BP15" si="352">BO15</f>
        <v>488004</v>
      </c>
      <c r="BQ15" s="103">
        <f t="shared" ref="BQ15" si="353">BP15</f>
        <v>488004</v>
      </c>
      <c r="BR15" s="103">
        <f>ROUND(BQ15*(1+取值表!$D$6),0)</f>
        <v>516308</v>
      </c>
      <c r="BS15" s="103">
        <f t="shared" ref="BS15" si="354">BR15</f>
        <v>516308</v>
      </c>
      <c r="BT15" s="103">
        <f t="shared" ref="BT15" si="355">BS15</f>
        <v>516308</v>
      </c>
      <c r="BU15" s="103">
        <f t="shared" ref="BU15" si="356">BT15</f>
        <v>516308</v>
      </c>
      <c r="BV15" s="103">
        <f>ROUND(BU15*(1+取值表!$D$6),0)</f>
        <v>546254</v>
      </c>
      <c r="BW15" s="103">
        <f t="shared" ref="BW15" si="357">BV15</f>
        <v>546254</v>
      </c>
      <c r="BX15" s="103">
        <f t="shared" ref="BX15" si="358">BW15</f>
        <v>546254</v>
      </c>
      <c r="BY15" s="103">
        <f t="shared" ref="BY15" si="359">BX15</f>
        <v>546254</v>
      </c>
      <c r="BZ15" s="103">
        <f>ROUND(BY15*(1+取值表!$D$6),0)</f>
        <v>577937</v>
      </c>
      <c r="CA15" s="103">
        <f t="shared" ref="CA15" si="360">BZ15</f>
        <v>577937</v>
      </c>
      <c r="CB15" s="103">
        <f t="shared" ref="CB15" si="361">CA15</f>
        <v>577937</v>
      </c>
      <c r="CC15" s="103">
        <f t="shared" ref="CC15" si="362">CB15</f>
        <v>577937</v>
      </c>
      <c r="CD15" s="103">
        <f>ROUND(CC15*(1+取值表!$D$6),0)</f>
        <v>611457</v>
      </c>
      <c r="CE15" s="103">
        <f t="shared" ref="CE15" si="363">CD15</f>
        <v>611457</v>
      </c>
      <c r="CF15" s="103">
        <f t="shared" ref="CF15" si="364">CE15</f>
        <v>611457</v>
      </c>
      <c r="CG15" s="103">
        <f t="shared" ref="CG15" si="365">CF15</f>
        <v>611457</v>
      </c>
      <c r="CH15" s="103">
        <f>ROUND(CG15*(1+取值表!$D$6),0)</f>
        <v>646922</v>
      </c>
      <c r="CI15" s="103">
        <f t="shared" ref="CI15" si="366">CH15</f>
        <v>646922</v>
      </c>
      <c r="CJ15" s="103">
        <f t="shared" ref="CJ15" si="367">CI15</f>
        <v>646922</v>
      </c>
      <c r="CK15" s="103">
        <f t="shared" ref="CK15" si="368">CJ15</f>
        <v>646922</v>
      </c>
      <c r="CL15" s="103">
        <f>ROUND(CK15*(1+取值表!$D$6),0)</f>
        <v>684443</v>
      </c>
      <c r="CM15" s="103">
        <f t="shared" ref="CM15" si="369">CL15</f>
        <v>684443</v>
      </c>
      <c r="CN15" s="103">
        <f t="shared" ref="CN15" si="370">CM15</f>
        <v>684443</v>
      </c>
      <c r="CO15" s="103">
        <f t="shared" ref="CO15" si="371">CN15</f>
        <v>684443</v>
      </c>
      <c r="CP15" s="103">
        <f t="shared" si="52"/>
        <v>34711636</v>
      </c>
    </row>
    <row r="16" spans="1:94">
      <c r="A16" s="546"/>
      <c r="B16" s="550"/>
      <c r="C16" s="548"/>
      <c r="D16" s="549"/>
      <c r="E16" s="547"/>
      <c r="F16" s="562"/>
      <c r="G16" s="562"/>
      <c r="H16" s="613"/>
      <c r="I16" s="99"/>
      <c r="J16" s="101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>
        <f t="shared" si="52"/>
        <v>0</v>
      </c>
    </row>
    <row r="17" spans="1:94" ht="12" customHeight="1">
      <c r="A17" s="546">
        <v>8</v>
      </c>
      <c r="B17" s="550" t="s">
        <v>1066</v>
      </c>
      <c r="C17" s="548" t="s">
        <v>1065</v>
      </c>
      <c r="D17" s="549" t="s">
        <v>25</v>
      </c>
      <c r="E17" s="547" t="s">
        <v>418</v>
      </c>
      <c r="F17" s="562">
        <v>177.48</v>
      </c>
      <c r="G17" s="562">
        <f>AVERAGE(17.5)</f>
        <v>17.5</v>
      </c>
      <c r="H17" s="613">
        <f>F17*G17*365</f>
        <v>1133653.4999999998</v>
      </c>
      <c r="I17" s="99">
        <v>265274.92</v>
      </c>
      <c r="J17" s="101">
        <f>ROUND(17.5*F17*365/4,0)</f>
        <v>283413</v>
      </c>
      <c r="K17" s="103">
        <f>J17</f>
        <v>283413</v>
      </c>
      <c r="L17" s="102">
        <f>K17</f>
        <v>283413</v>
      </c>
      <c r="M17" s="103">
        <f>L17</f>
        <v>283413</v>
      </c>
      <c r="N17" s="103">
        <f>ROUND(M17*(1+取值表!$D$6)*取值表!$I$6,0)</f>
        <v>282160</v>
      </c>
      <c r="O17" s="103">
        <f>N17</f>
        <v>282160</v>
      </c>
      <c r="P17" s="103">
        <f>O17</f>
        <v>282160</v>
      </c>
      <c r="Q17" s="103">
        <f>P17</f>
        <v>282160</v>
      </c>
      <c r="R17" s="278">
        <f>ROUND(Q17*(1+取值表!$D$6),0)</f>
        <v>298525</v>
      </c>
      <c r="S17" s="103">
        <f t="shared" ref="S17:U17" si="372">R17</f>
        <v>298525</v>
      </c>
      <c r="T17" s="103">
        <f t="shared" si="372"/>
        <v>298525</v>
      </c>
      <c r="U17" s="103">
        <f t="shared" si="372"/>
        <v>298525</v>
      </c>
      <c r="V17" s="103">
        <f>ROUND(U17*(1+取值表!$D$6),0)</f>
        <v>315839</v>
      </c>
      <c r="W17" s="103">
        <f t="shared" ref="W17" si="373">V17</f>
        <v>315839</v>
      </c>
      <c r="X17" s="103">
        <f t="shared" ref="X17" si="374">W17</f>
        <v>315839</v>
      </c>
      <c r="Y17" s="103">
        <f t="shared" ref="Y17" si="375">X17</f>
        <v>315839</v>
      </c>
      <c r="Z17" s="103">
        <f>ROUND(Y17*(1+取值表!$D$6),0)</f>
        <v>334158</v>
      </c>
      <c r="AA17" s="103">
        <f t="shared" ref="AA17" si="376">Z17</f>
        <v>334158</v>
      </c>
      <c r="AB17" s="103">
        <f t="shared" ref="AB17" si="377">AA17</f>
        <v>334158</v>
      </c>
      <c r="AC17" s="103">
        <f t="shared" ref="AC17" si="378">AB17</f>
        <v>334158</v>
      </c>
      <c r="AD17" s="103">
        <f>ROUND(AC17*(1+取值表!$D$6),0)</f>
        <v>353539</v>
      </c>
      <c r="AE17" s="103">
        <f t="shared" ref="AE17" si="379">AD17</f>
        <v>353539</v>
      </c>
      <c r="AF17" s="103">
        <f t="shared" ref="AF17" si="380">AE17</f>
        <v>353539</v>
      </c>
      <c r="AG17" s="103">
        <f t="shared" ref="AG17" si="381">AF17</f>
        <v>353539</v>
      </c>
      <c r="AH17" s="103">
        <f>ROUND(AG17*(1+取值表!$D$6),0)</f>
        <v>374044</v>
      </c>
      <c r="AI17" s="103">
        <f t="shared" ref="AI17" si="382">AH17</f>
        <v>374044</v>
      </c>
      <c r="AJ17" s="103">
        <f t="shared" ref="AJ17" si="383">AI17</f>
        <v>374044</v>
      </c>
      <c r="AK17" s="103">
        <f t="shared" ref="AK17" si="384">AJ17</f>
        <v>374044</v>
      </c>
      <c r="AL17" s="103">
        <f>ROUND(AK17*(1+取值表!$D$6),0)</f>
        <v>395739</v>
      </c>
      <c r="AM17" s="103">
        <f t="shared" ref="AM17" si="385">AL17</f>
        <v>395739</v>
      </c>
      <c r="AN17" s="103">
        <f t="shared" ref="AN17" si="386">AM17</f>
        <v>395739</v>
      </c>
      <c r="AO17" s="103">
        <f t="shared" ref="AO17" si="387">AN17</f>
        <v>395739</v>
      </c>
      <c r="AP17" s="103">
        <f>ROUND(AO17*(1+取值表!$D$6),0)</f>
        <v>418692</v>
      </c>
      <c r="AQ17" s="103">
        <f t="shared" ref="AQ17" si="388">AP17</f>
        <v>418692</v>
      </c>
      <c r="AR17" s="103">
        <f t="shared" ref="AR17" si="389">AQ17</f>
        <v>418692</v>
      </c>
      <c r="AS17" s="103">
        <f t="shared" ref="AS17" si="390">AR17</f>
        <v>418692</v>
      </c>
      <c r="AT17" s="103">
        <f>ROUND(AS17*(1+取值表!$D$6),0)</f>
        <v>442976</v>
      </c>
      <c r="AU17" s="103">
        <f t="shared" ref="AU17" si="391">AT17</f>
        <v>442976</v>
      </c>
      <c r="AV17" s="103">
        <f t="shared" ref="AV17" si="392">AU17</f>
        <v>442976</v>
      </c>
      <c r="AW17" s="103">
        <f t="shared" ref="AW17" si="393">AV17</f>
        <v>442976</v>
      </c>
      <c r="AX17" s="103">
        <f>ROUND(AW17*(1+取值表!$D$6),0)</f>
        <v>468669</v>
      </c>
      <c r="AY17" s="103">
        <f t="shared" ref="AY17" si="394">AX17</f>
        <v>468669</v>
      </c>
      <c r="AZ17" s="103">
        <f t="shared" ref="AZ17" si="395">AY17</f>
        <v>468669</v>
      </c>
      <c r="BA17" s="103">
        <f t="shared" ref="BA17" si="396">AZ17</f>
        <v>468669</v>
      </c>
      <c r="BB17" s="103">
        <f>ROUND(BA17*(1+取值表!$D$6),0)</f>
        <v>495852</v>
      </c>
      <c r="BC17" s="103">
        <f t="shared" ref="BC17" si="397">BB17</f>
        <v>495852</v>
      </c>
      <c r="BD17" s="103">
        <f t="shared" ref="BD17" si="398">BC17</f>
        <v>495852</v>
      </c>
      <c r="BE17" s="103">
        <f t="shared" ref="BE17" si="399">BD17</f>
        <v>495852</v>
      </c>
      <c r="BF17" s="103">
        <f>ROUND(BE17*(1+取值表!$D$6),0)</f>
        <v>524611</v>
      </c>
      <c r="BG17" s="103">
        <f t="shared" ref="BG17" si="400">BF17</f>
        <v>524611</v>
      </c>
      <c r="BH17" s="103">
        <f t="shared" ref="BH17" si="401">BG17</f>
        <v>524611</v>
      </c>
      <c r="BI17" s="103">
        <f t="shared" ref="BI17" si="402">BH17</f>
        <v>524611</v>
      </c>
      <c r="BJ17" s="103">
        <f>ROUND(BI17*(1+取值表!$D$6),0)</f>
        <v>555038</v>
      </c>
      <c r="BK17" s="103">
        <f t="shared" ref="BK17" si="403">BJ17</f>
        <v>555038</v>
      </c>
      <c r="BL17" s="103">
        <f t="shared" ref="BL17" si="404">BK17</f>
        <v>555038</v>
      </c>
      <c r="BM17" s="103">
        <f t="shared" ref="BM17" si="405">BL17</f>
        <v>555038</v>
      </c>
      <c r="BN17" s="103">
        <f>ROUND(BM17*(1+取值表!$D$6),0)</f>
        <v>587230</v>
      </c>
      <c r="BO17" s="103">
        <f t="shared" ref="BO17" si="406">BN17</f>
        <v>587230</v>
      </c>
      <c r="BP17" s="103">
        <f t="shared" ref="BP17" si="407">BO17</f>
        <v>587230</v>
      </c>
      <c r="BQ17" s="103">
        <f t="shared" ref="BQ17" si="408">BP17</f>
        <v>587230</v>
      </c>
      <c r="BR17" s="103">
        <f>ROUND(BQ17*(1+取值表!$D$6),0)</f>
        <v>621289</v>
      </c>
      <c r="BS17" s="103">
        <f t="shared" ref="BS17" si="409">BR17</f>
        <v>621289</v>
      </c>
      <c r="BT17" s="103">
        <f t="shared" ref="BT17" si="410">BS17</f>
        <v>621289</v>
      </c>
      <c r="BU17" s="103">
        <f t="shared" ref="BU17" si="411">BT17</f>
        <v>621289</v>
      </c>
      <c r="BV17" s="103">
        <f>ROUND(BU17*(1+取值表!$D$6),0)</f>
        <v>657324</v>
      </c>
      <c r="BW17" s="103">
        <f t="shared" ref="BW17" si="412">BV17</f>
        <v>657324</v>
      </c>
      <c r="BX17" s="103">
        <f t="shared" ref="BX17" si="413">BW17</f>
        <v>657324</v>
      </c>
      <c r="BY17" s="103">
        <f t="shared" ref="BY17" si="414">BX17</f>
        <v>657324</v>
      </c>
      <c r="BZ17" s="103">
        <f>ROUND(BY17*(1+取值表!$D$6),0)</f>
        <v>695449</v>
      </c>
      <c r="CA17" s="103">
        <f t="shared" ref="CA17" si="415">BZ17</f>
        <v>695449</v>
      </c>
      <c r="CB17" s="103">
        <f t="shared" ref="CB17" si="416">CA17</f>
        <v>695449</v>
      </c>
      <c r="CC17" s="103">
        <f t="shared" ref="CC17" si="417">CB17</f>
        <v>695449</v>
      </c>
      <c r="CD17" s="103">
        <f>ROUND(CC17*(1+取值表!$D$6),0)</f>
        <v>735785</v>
      </c>
      <c r="CE17" s="103">
        <f t="shared" ref="CE17" si="418">CD17</f>
        <v>735785</v>
      </c>
      <c r="CF17" s="103">
        <f t="shared" ref="CF17" si="419">CE17</f>
        <v>735785</v>
      </c>
      <c r="CG17" s="103">
        <f t="shared" ref="CG17" si="420">CF17</f>
        <v>735785</v>
      </c>
      <c r="CH17" s="103">
        <f>ROUND(CG17*(1+取值表!$D$6),0)</f>
        <v>778461</v>
      </c>
      <c r="CI17" s="103">
        <f t="shared" ref="CI17" si="421">CH17</f>
        <v>778461</v>
      </c>
      <c r="CJ17" s="103">
        <f t="shared" ref="CJ17" si="422">CI17</f>
        <v>778461</v>
      </c>
      <c r="CK17" s="103">
        <f t="shared" ref="CK17" si="423">CJ17</f>
        <v>778461</v>
      </c>
      <c r="CL17" s="103">
        <f>ROUND(CK17*(1+取值表!$D$6),0)</f>
        <v>823612</v>
      </c>
      <c r="CM17" s="103">
        <f t="shared" ref="CM17" si="424">CL17</f>
        <v>823612</v>
      </c>
      <c r="CN17" s="103">
        <f t="shared" ref="CN17" si="425">CM17</f>
        <v>823612</v>
      </c>
      <c r="CO17" s="103">
        <f t="shared" ref="CO17" si="426">CN17</f>
        <v>823612</v>
      </c>
      <c r="CP17" s="103">
        <f t="shared" si="52"/>
        <v>41769620</v>
      </c>
    </row>
    <row r="18" spans="1:94">
      <c r="A18" s="546"/>
      <c r="B18" s="550"/>
      <c r="C18" s="548"/>
      <c r="D18" s="549"/>
      <c r="E18" s="547"/>
      <c r="F18" s="562"/>
      <c r="G18" s="562"/>
      <c r="H18" s="613"/>
      <c r="I18" s="99"/>
      <c r="J18" s="101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>
        <f>ROUND(AC18*(1+取值表!$E$6)*取值表!$I$6,0)</f>
        <v>0</v>
      </c>
      <c r="AE18" s="103"/>
      <c r="AF18" s="103"/>
      <c r="AG18" s="103"/>
      <c r="AH18" s="103">
        <f>ROUND(AG18*(1+取值表!$E$6)*取值表!$I$6,0)</f>
        <v>0</v>
      </c>
      <c r="AI18" s="103"/>
      <c r="AJ18" s="103"/>
      <c r="AK18" s="103"/>
      <c r="AL18" s="103">
        <f>ROUND(AK18*(1+取值表!$E$6)*取值表!$I$6,0)</f>
        <v>0</v>
      </c>
      <c r="AM18" s="103"/>
      <c r="AN18" s="103"/>
      <c r="AO18" s="103"/>
      <c r="AP18" s="103">
        <f>ROUND(AO18*(1+取值表!$E$6)*取值表!$I$6,0)</f>
        <v>0</v>
      </c>
      <c r="AQ18" s="103"/>
      <c r="AR18" s="103"/>
      <c r="AS18" s="103"/>
      <c r="AT18" s="103">
        <f>ROUND(AS18*(1+取值表!$E$6)*取值表!$I$6,0)</f>
        <v>0</v>
      </c>
      <c r="AU18" s="103"/>
      <c r="AV18" s="103"/>
      <c r="AW18" s="103"/>
      <c r="AX18" s="103">
        <f>ROUND(AW18*(1+取值表!$E$6)*取值表!$I$6,0)</f>
        <v>0</v>
      </c>
      <c r="AY18" s="103"/>
      <c r="AZ18" s="103"/>
      <c r="BA18" s="103"/>
      <c r="BB18" s="103">
        <f>ROUND(BA18*(1+取值表!$E$6)*取值表!$I$6,0)</f>
        <v>0</v>
      </c>
      <c r="BC18" s="103"/>
      <c r="BD18" s="103"/>
      <c r="BE18" s="103"/>
      <c r="BF18" s="103">
        <f>ROUND(BE18*(1+取值表!$E$6)*取值表!$I$6,0)</f>
        <v>0</v>
      </c>
      <c r="BG18" s="103"/>
      <c r="BH18" s="103"/>
      <c r="BI18" s="103"/>
      <c r="BJ18" s="103">
        <f>ROUND(BI18*(1+取值表!$E$6)*取值表!$I$6,0)</f>
        <v>0</v>
      </c>
      <c r="BK18" s="103"/>
      <c r="BL18" s="103"/>
      <c r="BM18" s="103"/>
      <c r="BN18" s="103">
        <f>ROUND(BM18*(1+取值表!$E$6)*取值表!$I$6,0)</f>
        <v>0</v>
      </c>
      <c r="BO18" s="103"/>
      <c r="BP18" s="103"/>
      <c r="BQ18" s="103"/>
      <c r="BR18" s="103">
        <f>ROUND(BQ18*(1+取值表!$E$6)*取值表!$I$6,0)</f>
        <v>0</v>
      </c>
      <c r="BS18" s="103"/>
      <c r="BT18" s="103"/>
      <c r="BU18" s="103"/>
      <c r="BV18" s="103">
        <f>ROUND(BU18*(1+取值表!$E$6)*取值表!$I$6,0)</f>
        <v>0</v>
      </c>
      <c r="BW18" s="103"/>
      <c r="BX18" s="103"/>
      <c r="BY18" s="103"/>
      <c r="BZ18" s="103">
        <f>ROUND(BY18*(1+取值表!$E$6)*取值表!$I$6,0)</f>
        <v>0</v>
      </c>
      <c r="CA18" s="103"/>
      <c r="CB18" s="103"/>
      <c r="CC18" s="103"/>
      <c r="CD18" s="103">
        <f>ROUND(CC18*(1+取值表!$E$6)*取值表!$I$6,0)</f>
        <v>0</v>
      </c>
      <c r="CE18" s="103"/>
      <c r="CF18" s="103"/>
      <c r="CG18" s="103"/>
      <c r="CH18" s="103">
        <f>ROUND(CG18*(1+取值表!$E$6)*取值表!$I$6,0)</f>
        <v>0</v>
      </c>
      <c r="CI18" s="103"/>
      <c r="CJ18" s="103"/>
      <c r="CK18" s="103"/>
      <c r="CL18" s="103">
        <f>ROUND(CK18*(1+取值表!$E$6)*取值表!$I$6,0)</f>
        <v>0</v>
      </c>
      <c r="CM18" s="103"/>
      <c r="CN18" s="103"/>
      <c r="CO18" s="103"/>
      <c r="CP18" s="103">
        <f t="shared" si="52"/>
        <v>0</v>
      </c>
    </row>
    <row r="19" spans="1:94" ht="12" customHeight="1">
      <c r="A19" s="546">
        <v>9</v>
      </c>
      <c r="B19" s="550" t="s">
        <v>1067</v>
      </c>
      <c r="C19" s="548" t="s">
        <v>891</v>
      </c>
      <c r="D19" s="549" t="s">
        <v>26</v>
      </c>
      <c r="E19" s="547" t="s">
        <v>418</v>
      </c>
      <c r="F19" s="562">
        <v>210.9</v>
      </c>
      <c r="G19" s="562">
        <f>AVERAGE(14.5,14.5,15,15)</f>
        <v>14.75</v>
      </c>
      <c r="H19" s="613">
        <f>F19*G19*365</f>
        <v>1135432.875</v>
      </c>
      <c r="I19" s="99">
        <v>277122.59999999998</v>
      </c>
      <c r="J19" s="101">
        <f>ROUND(14.5*F19*365/4,0)</f>
        <v>279047</v>
      </c>
      <c r="K19" s="103">
        <f>J19</f>
        <v>279047</v>
      </c>
      <c r="L19" s="103">
        <f>K19</f>
        <v>279047</v>
      </c>
      <c r="M19" s="103">
        <f>L19</f>
        <v>279047</v>
      </c>
      <c r="N19" s="103">
        <f t="shared" ref="N19:U19" si="427">O19</f>
        <v>288669</v>
      </c>
      <c r="O19" s="103">
        <f t="shared" si="427"/>
        <v>288669</v>
      </c>
      <c r="P19" s="103">
        <f t="shared" si="427"/>
        <v>288669</v>
      </c>
      <c r="Q19" s="103">
        <f t="shared" si="427"/>
        <v>288669</v>
      </c>
      <c r="R19" s="103">
        <f t="shared" si="427"/>
        <v>288669</v>
      </c>
      <c r="S19" s="103">
        <f t="shared" si="427"/>
        <v>288669</v>
      </c>
      <c r="T19" s="103">
        <f t="shared" si="427"/>
        <v>288669</v>
      </c>
      <c r="U19" s="103">
        <f t="shared" si="427"/>
        <v>288669</v>
      </c>
      <c r="V19" s="102">
        <f>ROUND(15*F19*365/4,0)</f>
        <v>288669</v>
      </c>
      <c r="W19" s="103">
        <f>V19</f>
        <v>288669</v>
      </c>
      <c r="X19" s="103">
        <f>W19</f>
        <v>288669</v>
      </c>
      <c r="Y19" s="103">
        <f>X19</f>
        <v>288669</v>
      </c>
      <c r="Z19" s="103">
        <f>ROUND(Y19*(1+取值表!$D$6)*取值表!$I$6,0)</f>
        <v>287393</v>
      </c>
      <c r="AA19" s="103">
        <f>Z19</f>
        <v>287393</v>
      </c>
      <c r="AB19" s="103">
        <f>AA19</f>
        <v>287393</v>
      </c>
      <c r="AC19" s="103">
        <f>AB19</f>
        <v>287393</v>
      </c>
      <c r="AD19" s="278">
        <f>ROUND(AC19*(1+取值表!$E$6),0)</f>
        <v>304062</v>
      </c>
      <c r="AE19" s="103">
        <f t="shared" ref="AE19:AG19" si="428">AD19</f>
        <v>304062</v>
      </c>
      <c r="AF19" s="103">
        <f t="shared" si="428"/>
        <v>304062</v>
      </c>
      <c r="AG19" s="103">
        <f t="shared" si="428"/>
        <v>304062</v>
      </c>
      <c r="AH19" s="103">
        <f>ROUND(AG19*(1+取值表!$E$6),0)</f>
        <v>321698</v>
      </c>
      <c r="AI19" s="103">
        <f t="shared" ref="AI19" si="429">AH19</f>
        <v>321698</v>
      </c>
      <c r="AJ19" s="103">
        <f t="shared" ref="AJ19" si="430">AI19</f>
        <v>321698</v>
      </c>
      <c r="AK19" s="103">
        <f t="shared" ref="AK19" si="431">AJ19</f>
        <v>321698</v>
      </c>
      <c r="AL19" s="103">
        <f>ROUND(AK19*(1+取值表!$E$6),0)</f>
        <v>340356</v>
      </c>
      <c r="AM19" s="103">
        <f t="shared" ref="AM19" si="432">AL19</f>
        <v>340356</v>
      </c>
      <c r="AN19" s="103">
        <f t="shared" ref="AN19" si="433">AM19</f>
        <v>340356</v>
      </c>
      <c r="AO19" s="103">
        <f t="shared" ref="AO19" si="434">AN19</f>
        <v>340356</v>
      </c>
      <c r="AP19" s="103">
        <f>ROUND(AO19*(1+取值表!$E$6),0)</f>
        <v>360097</v>
      </c>
      <c r="AQ19" s="103">
        <f t="shared" ref="AQ19" si="435">AP19</f>
        <v>360097</v>
      </c>
      <c r="AR19" s="103">
        <f t="shared" ref="AR19" si="436">AQ19</f>
        <v>360097</v>
      </c>
      <c r="AS19" s="103">
        <f t="shared" ref="AS19" si="437">AR19</f>
        <v>360097</v>
      </c>
      <c r="AT19" s="103">
        <f>ROUND(AS19*(1+取值表!$E$6),0)</f>
        <v>380983</v>
      </c>
      <c r="AU19" s="103">
        <f t="shared" ref="AU19" si="438">AT19</f>
        <v>380983</v>
      </c>
      <c r="AV19" s="103">
        <f t="shared" ref="AV19" si="439">AU19</f>
        <v>380983</v>
      </c>
      <c r="AW19" s="103">
        <f t="shared" ref="AW19" si="440">AV19</f>
        <v>380983</v>
      </c>
      <c r="AX19" s="103">
        <f>ROUND(AW19*(1+取值表!$E$6),0)</f>
        <v>403080</v>
      </c>
      <c r="AY19" s="103">
        <f t="shared" ref="AY19" si="441">AX19</f>
        <v>403080</v>
      </c>
      <c r="AZ19" s="103">
        <f t="shared" ref="AZ19" si="442">AY19</f>
        <v>403080</v>
      </c>
      <c r="BA19" s="103">
        <f t="shared" ref="BA19" si="443">AZ19</f>
        <v>403080</v>
      </c>
      <c r="BB19" s="103">
        <f>ROUND(BA19*(1+取值表!$E$6),0)</f>
        <v>426459</v>
      </c>
      <c r="BC19" s="103">
        <f t="shared" ref="BC19" si="444">BB19</f>
        <v>426459</v>
      </c>
      <c r="BD19" s="103">
        <f t="shared" ref="BD19" si="445">BC19</f>
        <v>426459</v>
      </c>
      <c r="BE19" s="103">
        <f t="shared" ref="BE19" si="446">BD19</f>
        <v>426459</v>
      </c>
      <c r="BF19" s="103">
        <f>ROUND(BE19*(1+取值表!$E$6),0)</f>
        <v>451194</v>
      </c>
      <c r="BG19" s="103">
        <f t="shared" ref="BG19" si="447">BF19</f>
        <v>451194</v>
      </c>
      <c r="BH19" s="103">
        <f t="shared" ref="BH19" si="448">BG19</f>
        <v>451194</v>
      </c>
      <c r="BI19" s="103">
        <f t="shared" ref="BI19" si="449">BH19</f>
        <v>451194</v>
      </c>
      <c r="BJ19" s="103">
        <f>ROUND(BI19*(1+取值表!$E$6),0)</f>
        <v>477363</v>
      </c>
      <c r="BK19" s="103">
        <f t="shared" ref="BK19" si="450">BJ19</f>
        <v>477363</v>
      </c>
      <c r="BL19" s="103">
        <f t="shared" ref="BL19" si="451">BK19</f>
        <v>477363</v>
      </c>
      <c r="BM19" s="103">
        <f t="shared" ref="BM19" si="452">BL19</f>
        <v>477363</v>
      </c>
      <c r="BN19" s="103">
        <f>ROUND(BM19*(1+取值表!$E$6),0)</f>
        <v>505050</v>
      </c>
      <c r="BO19" s="103">
        <f t="shared" ref="BO19" si="453">BN19</f>
        <v>505050</v>
      </c>
      <c r="BP19" s="103">
        <f t="shared" ref="BP19" si="454">BO19</f>
        <v>505050</v>
      </c>
      <c r="BQ19" s="103">
        <f t="shared" ref="BQ19" si="455">BP19</f>
        <v>505050</v>
      </c>
      <c r="BR19" s="103">
        <f>ROUND(BQ19*(1+取值表!$E$6),0)</f>
        <v>534343</v>
      </c>
      <c r="BS19" s="103">
        <f t="shared" ref="BS19" si="456">BR19</f>
        <v>534343</v>
      </c>
      <c r="BT19" s="103">
        <f t="shared" ref="BT19" si="457">BS19</f>
        <v>534343</v>
      </c>
      <c r="BU19" s="103">
        <f t="shared" ref="BU19" si="458">BT19</f>
        <v>534343</v>
      </c>
      <c r="BV19" s="103">
        <f>ROUND(BU19*(1+取值表!$E$6),0)</f>
        <v>565335</v>
      </c>
      <c r="BW19" s="103">
        <f t="shared" ref="BW19" si="459">BV19</f>
        <v>565335</v>
      </c>
      <c r="BX19" s="103">
        <f t="shared" ref="BX19" si="460">BW19</f>
        <v>565335</v>
      </c>
      <c r="BY19" s="103">
        <f t="shared" ref="BY19" si="461">BX19</f>
        <v>565335</v>
      </c>
      <c r="BZ19" s="103">
        <f>ROUND(BY19*(1+取值表!$E$6),0)</f>
        <v>598124</v>
      </c>
      <c r="CA19" s="103">
        <f t="shared" ref="CA19" si="462">BZ19</f>
        <v>598124</v>
      </c>
      <c r="CB19" s="103">
        <f t="shared" ref="CB19" si="463">CA19</f>
        <v>598124</v>
      </c>
      <c r="CC19" s="103">
        <f t="shared" ref="CC19" si="464">CB19</f>
        <v>598124</v>
      </c>
      <c r="CD19" s="103">
        <f>ROUND(CC19*(1+取值表!$E$6),0)</f>
        <v>632815</v>
      </c>
      <c r="CE19" s="103">
        <f t="shared" ref="CE19" si="465">CD19</f>
        <v>632815</v>
      </c>
      <c r="CF19" s="103">
        <f t="shared" ref="CF19" si="466">CE19</f>
        <v>632815</v>
      </c>
      <c r="CG19" s="103">
        <f t="shared" ref="CG19" si="467">CF19</f>
        <v>632815</v>
      </c>
      <c r="CH19" s="103">
        <f>ROUND(CG19*(1+取值表!$E$6),0)</f>
        <v>669518</v>
      </c>
      <c r="CI19" s="103">
        <f t="shared" ref="CI19" si="468">CH19</f>
        <v>669518</v>
      </c>
      <c r="CJ19" s="103">
        <f t="shared" ref="CJ19" si="469">CI19</f>
        <v>669518</v>
      </c>
      <c r="CK19" s="103">
        <f t="shared" ref="CK19" si="470">CJ19</f>
        <v>669518</v>
      </c>
      <c r="CL19" s="103">
        <f>ROUND(CK19*(1+取值表!$E$6),0)</f>
        <v>708350</v>
      </c>
      <c r="CM19" s="103">
        <f t="shared" ref="CM19" si="471">CL19</f>
        <v>708350</v>
      </c>
      <c r="CN19" s="103">
        <f t="shared" ref="CN19" si="472">CM19</f>
        <v>708350</v>
      </c>
      <c r="CO19" s="103">
        <f t="shared" ref="CO19" si="473">CN19</f>
        <v>708350</v>
      </c>
      <c r="CP19" s="103">
        <f t="shared" si="52"/>
        <v>36445096</v>
      </c>
    </row>
    <row r="20" spans="1:94">
      <c r="A20" s="546"/>
      <c r="B20" s="550"/>
      <c r="C20" s="548"/>
      <c r="D20" s="549"/>
      <c r="E20" s="547"/>
      <c r="F20" s="562"/>
      <c r="G20" s="562"/>
      <c r="H20" s="613"/>
      <c r="I20" s="99"/>
      <c r="J20" s="101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>
        <f>ROUND(AC20*(1+取值表!$E$6)*取值表!$I$6,0)</f>
        <v>0</v>
      </c>
      <c r="AE20" s="103"/>
      <c r="AF20" s="103"/>
      <c r="AG20" s="103"/>
      <c r="AH20" s="103">
        <f>ROUND(AG20*(1+取值表!$E$6)*取值表!$I$6,0)</f>
        <v>0</v>
      </c>
      <c r="AI20" s="103"/>
      <c r="AJ20" s="103"/>
      <c r="AK20" s="103"/>
      <c r="AL20" s="103">
        <f>ROUND(AK20*(1+取值表!$E$6)*取值表!$I$6,0)</f>
        <v>0</v>
      </c>
      <c r="AM20" s="103"/>
      <c r="AN20" s="103"/>
      <c r="AO20" s="103"/>
      <c r="AP20" s="103">
        <f>ROUND(AO20*(1+取值表!$E$6)*取值表!$I$6,0)</f>
        <v>0</v>
      </c>
      <c r="AQ20" s="103"/>
      <c r="AR20" s="103"/>
      <c r="AS20" s="103"/>
      <c r="AT20" s="103">
        <f>ROUND(AS20*(1+取值表!$E$6)*取值表!$I$6,0)</f>
        <v>0</v>
      </c>
      <c r="AU20" s="103"/>
      <c r="AV20" s="103"/>
      <c r="AW20" s="103"/>
      <c r="AX20" s="103">
        <f>ROUND(AW20*(1+取值表!$E$6)*取值表!$I$6,0)</f>
        <v>0</v>
      </c>
      <c r="AY20" s="103"/>
      <c r="AZ20" s="103"/>
      <c r="BA20" s="103"/>
      <c r="BB20" s="103">
        <f>ROUND(BA20*(1+取值表!$E$6)*取值表!$I$6,0)</f>
        <v>0</v>
      </c>
      <c r="BC20" s="103"/>
      <c r="BD20" s="103"/>
      <c r="BE20" s="103"/>
      <c r="BF20" s="103">
        <f>ROUND(BE20*(1+取值表!$E$6)*取值表!$I$6,0)</f>
        <v>0</v>
      </c>
      <c r="BG20" s="103"/>
      <c r="BH20" s="103"/>
      <c r="BI20" s="103"/>
      <c r="BJ20" s="103">
        <f>ROUND(BI20*(1+取值表!$E$6)*取值表!$I$6,0)</f>
        <v>0</v>
      </c>
      <c r="BK20" s="103"/>
      <c r="BL20" s="103"/>
      <c r="BM20" s="103"/>
      <c r="BN20" s="103">
        <f>ROUND(BM20*(1+取值表!$E$6)*取值表!$I$6,0)</f>
        <v>0</v>
      </c>
      <c r="BO20" s="103"/>
      <c r="BP20" s="103"/>
      <c r="BQ20" s="103"/>
      <c r="BR20" s="103">
        <f>ROUND(BQ20*(1+取值表!$E$6)*取值表!$I$6,0)</f>
        <v>0</v>
      </c>
      <c r="BS20" s="103"/>
      <c r="BT20" s="103"/>
      <c r="BU20" s="103"/>
      <c r="BV20" s="103">
        <f>ROUND(BU20*(1+取值表!$E$6)*取值表!$I$6,0)</f>
        <v>0</v>
      </c>
      <c r="BW20" s="103"/>
      <c r="BX20" s="103"/>
      <c r="BY20" s="103"/>
      <c r="BZ20" s="103">
        <f>ROUND(BY20*(1+取值表!$E$6)*取值表!$I$6,0)</f>
        <v>0</v>
      </c>
      <c r="CA20" s="103"/>
      <c r="CB20" s="103"/>
      <c r="CC20" s="103"/>
      <c r="CD20" s="103">
        <f>ROUND(CC20*(1+取值表!$E$6)*取值表!$I$6,0)</f>
        <v>0</v>
      </c>
      <c r="CE20" s="103"/>
      <c r="CF20" s="103"/>
      <c r="CG20" s="103"/>
      <c r="CH20" s="103">
        <f>ROUND(CG20*(1+取值表!$E$6)*取值表!$I$6,0)</f>
        <v>0</v>
      </c>
      <c r="CI20" s="103"/>
      <c r="CJ20" s="103"/>
      <c r="CK20" s="103"/>
      <c r="CL20" s="103">
        <f>ROUND(CK20*(1+取值表!$E$6)*取值表!$I$6,0)</f>
        <v>0</v>
      </c>
      <c r="CM20" s="103"/>
      <c r="CN20" s="103"/>
      <c r="CO20" s="103"/>
      <c r="CP20" s="103">
        <f t="shared" si="52"/>
        <v>0</v>
      </c>
    </row>
    <row r="21" spans="1:94" ht="12" customHeight="1">
      <c r="A21" s="546">
        <v>10</v>
      </c>
      <c r="B21" s="550" t="s">
        <v>1068</v>
      </c>
      <c r="C21" s="548" t="s">
        <v>1069</v>
      </c>
      <c r="D21" s="549" t="s">
        <v>420</v>
      </c>
      <c r="E21" s="547" t="s">
        <v>418</v>
      </c>
      <c r="F21" s="562">
        <v>210</v>
      </c>
      <c r="G21" s="562">
        <v>14</v>
      </c>
      <c r="H21" s="613">
        <f>F21*G21*365</f>
        <v>1073100</v>
      </c>
      <c r="I21" s="99">
        <v>268275</v>
      </c>
      <c r="J21" s="101">
        <f>ROUND(G21*F21*365/4,0)</f>
        <v>268275</v>
      </c>
      <c r="K21" s="103">
        <f t="shared" ref="K21:V21" si="474">J21</f>
        <v>268275</v>
      </c>
      <c r="L21" s="103">
        <f t="shared" si="474"/>
        <v>268275</v>
      </c>
      <c r="M21" s="103">
        <f t="shared" si="474"/>
        <v>268275</v>
      </c>
      <c r="N21" s="103">
        <f t="shared" si="474"/>
        <v>268275</v>
      </c>
      <c r="O21" s="103">
        <f t="shared" si="474"/>
        <v>268275</v>
      </c>
      <c r="P21" s="103">
        <f t="shared" si="474"/>
        <v>268275</v>
      </c>
      <c r="Q21" s="103">
        <f t="shared" si="474"/>
        <v>268275</v>
      </c>
      <c r="R21" s="103">
        <f t="shared" si="474"/>
        <v>268275</v>
      </c>
      <c r="S21" s="103">
        <f t="shared" si="474"/>
        <v>268275</v>
      </c>
      <c r="T21" s="103">
        <f t="shared" si="474"/>
        <v>268275</v>
      </c>
      <c r="U21" s="103">
        <f t="shared" si="474"/>
        <v>268275</v>
      </c>
      <c r="V21" s="102">
        <f t="shared" si="474"/>
        <v>268275</v>
      </c>
      <c r="W21" s="103">
        <f>V21</f>
        <v>268275</v>
      </c>
      <c r="X21" s="103">
        <f>W21</f>
        <v>268275</v>
      </c>
      <c r="Y21" s="103">
        <f>X21</f>
        <v>268275</v>
      </c>
      <c r="Z21" s="103">
        <f>ROUND(Y21*(1+取值表!$D$6)*取值表!$I$6,0)</f>
        <v>267089</v>
      </c>
      <c r="AA21" s="103">
        <f>Z21</f>
        <v>267089</v>
      </c>
      <c r="AB21" s="103">
        <f>AA21</f>
        <v>267089</v>
      </c>
      <c r="AC21" s="103">
        <f>AB21</f>
        <v>267089</v>
      </c>
      <c r="AD21" s="278">
        <f>ROUND(AC21*(1+取值表!$E$6),0)</f>
        <v>282580</v>
      </c>
      <c r="AE21" s="103">
        <f t="shared" ref="AE21:AG21" si="475">AD21</f>
        <v>282580</v>
      </c>
      <c r="AF21" s="103">
        <f t="shared" si="475"/>
        <v>282580</v>
      </c>
      <c r="AG21" s="103">
        <f t="shared" si="475"/>
        <v>282580</v>
      </c>
      <c r="AH21" s="103">
        <f>ROUND(AG21*(1+取值表!$E$6),0)</f>
        <v>298970</v>
      </c>
      <c r="AI21" s="103">
        <f t="shared" ref="AI21" si="476">AH21</f>
        <v>298970</v>
      </c>
      <c r="AJ21" s="103">
        <f t="shared" ref="AJ21" si="477">AI21</f>
        <v>298970</v>
      </c>
      <c r="AK21" s="103">
        <f t="shared" ref="AK21" si="478">AJ21</f>
        <v>298970</v>
      </c>
      <c r="AL21" s="103">
        <f>ROUND(AK21*(1+取值表!$E$6),0)</f>
        <v>316310</v>
      </c>
      <c r="AM21" s="103">
        <f t="shared" ref="AM21" si="479">AL21</f>
        <v>316310</v>
      </c>
      <c r="AN21" s="103">
        <f t="shared" ref="AN21" si="480">AM21</f>
        <v>316310</v>
      </c>
      <c r="AO21" s="103">
        <f t="shared" ref="AO21" si="481">AN21</f>
        <v>316310</v>
      </c>
      <c r="AP21" s="103">
        <f>ROUND(AO21*(1+取值表!$E$6),0)</f>
        <v>334656</v>
      </c>
      <c r="AQ21" s="103">
        <f t="shared" ref="AQ21" si="482">AP21</f>
        <v>334656</v>
      </c>
      <c r="AR21" s="103">
        <f t="shared" ref="AR21" si="483">AQ21</f>
        <v>334656</v>
      </c>
      <c r="AS21" s="103">
        <f t="shared" ref="AS21" si="484">AR21</f>
        <v>334656</v>
      </c>
      <c r="AT21" s="103">
        <f>ROUND(AS21*(1+取值表!$E$6),0)</f>
        <v>354066</v>
      </c>
      <c r="AU21" s="103">
        <f t="shared" ref="AU21" si="485">AT21</f>
        <v>354066</v>
      </c>
      <c r="AV21" s="103">
        <f t="shared" ref="AV21" si="486">AU21</f>
        <v>354066</v>
      </c>
      <c r="AW21" s="103">
        <f t="shared" ref="AW21" si="487">AV21</f>
        <v>354066</v>
      </c>
      <c r="AX21" s="103">
        <f>ROUND(AW21*(1+取值表!$E$6),0)</f>
        <v>374602</v>
      </c>
      <c r="AY21" s="103">
        <f t="shared" ref="AY21" si="488">AX21</f>
        <v>374602</v>
      </c>
      <c r="AZ21" s="103">
        <f t="shared" ref="AZ21" si="489">AY21</f>
        <v>374602</v>
      </c>
      <c r="BA21" s="103">
        <f t="shared" ref="BA21" si="490">AZ21</f>
        <v>374602</v>
      </c>
      <c r="BB21" s="103">
        <f>ROUND(BA21*(1+取值表!$E$6),0)</f>
        <v>396329</v>
      </c>
      <c r="BC21" s="103">
        <f t="shared" ref="BC21" si="491">BB21</f>
        <v>396329</v>
      </c>
      <c r="BD21" s="103">
        <f t="shared" ref="BD21" si="492">BC21</f>
        <v>396329</v>
      </c>
      <c r="BE21" s="103">
        <f t="shared" ref="BE21" si="493">BD21</f>
        <v>396329</v>
      </c>
      <c r="BF21" s="103">
        <f>ROUND(BE21*(1+取值表!$E$6),0)</f>
        <v>419316</v>
      </c>
      <c r="BG21" s="103">
        <f t="shared" ref="BG21" si="494">BF21</f>
        <v>419316</v>
      </c>
      <c r="BH21" s="103">
        <f t="shared" ref="BH21" si="495">BG21</f>
        <v>419316</v>
      </c>
      <c r="BI21" s="103">
        <f t="shared" ref="BI21" si="496">BH21</f>
        <v>419316</v>
      </c>
      <c r="BJ21" s="103">
        <f>ROUND(BI21*(1+取值表!$E$6),0)</f>
        <v>443636</v>
      </c>
      <c r="BK21" s="103">
        <f t="shared" ref="BK21" si="497">BJ21</f>
        <v>443636</v>
      </c>
      <c r="BL21" s="103">
        <f t="shared" ref="BL21" si="498">BK21</f>
        <v>443636</v>
      </c>
      <c r="BM21" s="103">
        <f t="shared" ref="BM21" si="499">BL21</f>
        <v>443636</v>
      </c>
      <c r="BN21" s="103">
        <f>ROUND(BM21*(1+取值表!$E$6),0)</f>
        <v>469367</v>
      </c>
      <c r="BO21" s="103">
        <f t="shared" ref="BO21" si="500">BN21</f>
        <v>469367</v>
      </c>
      <c r="BP21" s="103">
        <f t="shared" ref="BP21" si="501">BO21</f>
        <v>469367</v>
      </c>
      <c r="BQ21" s="103">
        <f t="shared" ref="BQ21" si="502">BP21</f>
        <v>469367</v>
      </c>
      <c r="BR21" s="103">
        <f>ROUND(BQ21*(1+取值表!$E$6),0)</f>
        <v>496590</v>
      </c>
      <c r="BS21" s="103">
        <f t="shared" ref="BS21" si="503">BR21</f>
        <v>496590</v>
      </c>
      <c r="BT21" s="103">
        <f t="shared" ref="BT21" si="504">BS21</f>
        <v>496590</v>
      </c>
      <c r="BU21" s="103">
        <f t="shared" ref="BU21" si="505">BT21</f>
        <v>496590</v>
      </c>
      <c r="BV21" s="103">
        <f>ROUND(BU21*(1+取值表!$E$6),0)</f>
        <v>525392</v>
      </c>
      <c r="BW21" s="103">
        <f t="shared" ref="BW21" si="506">BV21</f>
        <v>525392</v>
      </c>
      <c r="BX21" s="103">
        <f t="shared" ref="BX21" si="507">BW21</f>
        <v>525392</v>
      </c>
      <c r="BY21" s="103">
        <f t="shared" ref="BY21" si="508">BX21</f>
        <v>525392</v>
      </c>
      <c r="BZ21" s="103">
        <f>ROUND(BY21*(1+取值表!$E$6),0)</f>
        <v>555865</v>
      </c>
      <c r="CA21" s="103">
        <f t="shared" ref="CA21" si="509">BZ21</f>
        <v>555865</v>
      </c>
      <c r="CB21" s="103">
        <f t="shared" ref="CB21" si="510">CA21</f>
        <v>555865</v>
      </c>
      <c r="CC21" s="103">
        <f t="shared" ref="CC21" si="511">CB21</f>
        <v>555865</v>
      </c>
      <c r="CD21" s="103">
        <f>ROUND(CC21*(1+取值表!$E$6),0)</f>
        <v>588105</v>
      </c>
      <c r="CE21" s="103">
        <f t="shared" ref="CE21" si="512">CD21</f>
        <v>588105</v>
      </c>
      <c r="CF21" s="103">
        <f t="shared" ref="CF21" si="513">CE21</f>
        <v>588105</v>
      </c>
      <c r="CG21" s="103">
        <f t="shared" ref="CG21" si="514">CF21</f>
        <v>588105</v>
      </c>
      <c r="CH21" s="103">
        <f>ROUND(CG21*(1+取值表!$E$6),0)</f>
        <v>622215</v>
      </c>
      <c r="CI21" s="103">
        <f t="shared" ref="CI21" si="515">CH21</f>
        <v>622215</v>
      </c>
      <c r="CJ21" s="103">
        <f t="shared" ref="CJ21" si="516">CI21</f>
        <v>622215</v>
      </c>
      <c r="CK21" s="103">
        <f t="shared" ref="CK21" si="517">CJ21</f>
        <v>622215</v>
      </c>
      <c r="CL21" s="103">
        <f>ROUND(CK21*(1+取值表!$E$6),0)</f>
        <v>658303</v>
      </c>
      <c r="CM21" s="103">
        <f t="shared" ref="CM21" si="518">CL21</f>
        <v>658303</v>
      </c>
      <c r="CN21" s="103">
        <f t="shared" ref="CN21" si="519">CM21</f>
        <v>658303</v>
      </c>
      <c r="CO21" s="103">
        <f t="shared" ref="CO21" si="520">CN21</f>
        <v>658303</v>
      </c>
      <c r="CP21" s="103">
        <f t="shared" si="52"/>
        <v>33905964</v>
      </c>
    </row>
    <row r="22" spans="1:94">
      <c r="A22" s="546"/>
      <c r="B22" s="550"/>
      <c r="C22" s="548"/>
      <c r="D22" s="549"/>
      <c r="E22" s="547"/>
      <c r="F22" s="562"/>
      <c r="G22" s="562"/>
      <c r="H22" s="613"/>
      <c r="I22" s="99"/>
      <c r="J22" s="101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>
        <f>ROUND(AC22*(1+取值表!$E$6)*取值表!$I$6,0)</f>
        <v>0</v>
      </c>
      <c r="AE22" s="103"/>
      <c r="AF22" s="103"/>
      <c r="AG22" s="103"/>
      <c r="AH22" s="103">
        <f>ROUND(AG22*(1+取值表!$E$6)*取值表!$I$6,0)</f>
        <v>0</v>
      </c>
      <c r="AI22" s="103"/>
      <c r="AJ22" s="103"/>
      <c r="AK22" s="103"/>
      <c r="AL22" s="103">
        <f>ROUND(AK22*(1+取值表!$E$6)*取值表!$I$6,0)</f>
        <v>0</v>
      </c>
      <c r="AM22" s="103"/>
      <c r="AN22" s="103"/>
      <c r="AO22" s="103"/>
      <c r="AP22" s="103">
        <f>ROUND(AO22*(1+取值表!$E$6)*取值表!$I$6,0)</f>
        <v>0</v>
      </c>
      <c r="AQ22" s="103"/>
      <c r="AR22" s="103"/>
      <c r="AS22" s="103"/>
      <c r="AT22" s="103">
        <f>ROUND(AS22*(1+取值表!$E$6)*取值表!$I$6,0)</f>
        <v>0</v>
      </c>
      <c r="AU22" s="103"/>
      <c r="AV22" s="103"/>
      <c r="AW22" s="103"/>
      <c r="AX22" s="103">
        <f>ROUND(AW22*(1+取值表!$E$6)*取值表!$I$6,0)</f>
        <v>0</v>
      </c>
      <c r="AY22" s="103"/>
      <c r="AZ22" s="103"/>
      <c r="BA22" s="103"/>
      <c r="BB22" s="103">
        <f>ROUND(BA22*(1+取值表!$E$6)*取值表!$I$6,0)</f>
        <v>0</v>
      </c>
      <c r="BC22" s="103"/>
      <c r="BD22" s="103"/>
      <c r="BE22" s="103"/>
      <c r="BF22" s="103">
        <f>ROUND(BE22*(1+取值表!$E$6)*取值表!$I$6,0)</f>
        <v>0</v>
      </c>
      <c r="BG22" s="103"/>
      <c r="BH22" s="103"/>
      <c r="BI22" s="103"/>
      <c r="BJ22" s="103">
        <f>ROUND(BI22*(1+取值表!$E$6)*取值表!$I$6,0)</f>
        <v>0</v>
      </c>
      <c r="BK22" s="103"/>
      <c r="BL22" s="103"/>
      <c r="BM22" s="103"/>
      <c r="BN22" s="103">
        <f>ROUND(BM22*(1+取值表!$E$6)*取值表!$I$6,0)</f>
        <v>0</v>
      </c>
      <c r="BO22" s="103"/>
      <c r="BP22" s="103"/>
      <c r="BQ22" s="103"/>
      <c r="BR22" s="103">
        <f>ROUND(BQ22*(1+取值表!$E$6)*取值表!$I$6,0)</f>
        <v>0</v>
      </c>
      <c r="BS22" s="103"/>
      <c r="BT22" s="103"/>
      <c r="BU22" s="103"/>
      <c r="BV22" s="103">
        <f>ROUND(BU22*(1+取值表!$E$6)*取值表!$I$6,0)</f>
        <v>0</v>
      </c>
      <c r="BW22" s="103"/>
      <c r="BX22" s="103"/>
      <c r="BY22" s="103"/>
      <c r="BZ22" s="103">
        <f>ROUND(BY22*(1+取值表!$E$6)*取值表!$I$6,0)</f>
        <v>0</v>
      </c>
      <c r="CA22" s="103"/>
      <c r="CB22" s="103"/>
      <c r="CC22" s="103"/>
      <c r="CD22" s="103">
        <f>ROUND(CC22*(1+取值表!$E$6)*取值表!$I$6,0)</f>
        <v>0</v>
      </c>
      <c r="CE22" s="103"/>
      <c r="CF22" s="103"/>
      <c r="CG22" s="103"/>
      <c r="CH22" s="103">
        <f>ROUND(CG22*(1+取值表!$E$6)*取值表!$I$6,0)</f>
        <v>0</v>
      </c>
      <c r="CI22" s="103"/>
      <c r="CJ22" s="103"/>
      <c r="CK22" s="103"/>
      <c r="CL22" s="103">
        <f>ROUND(CK22*(1+取值表!$E$6)*取值表!$I$6,0)</f>
        <v>0</v>
      </c>
      <c r="CM22" s="103"/>
      <c r="CN22" s="103"/>
      <c r="CO22" s="103"/>
      <c r="CP22" s="103">
        <f t="shared" si="52"/>
        <v>0</v>
      </c>
    </row>
    <row r="23" spans="1:94">
      <c r="A23" s="546">
        <v>11</v>
      </c>
      <c r="B23" s="550" t="s">
        <v>1070</v>
      </c>
      <c r="C23" s="548" t="s">
        <v>1071</v>
      </c>
      <c r="D23" s="549" t="s">
        <v>421</v>
      </c>
      <c r="E23" s="547" t="s">
        <v>418</v>
      </c>
      <c r="F23" s="562">
        <v>41.74</v>
      </c>
      <c r="G23" s="562">
        <f>H23/F23/365</f>
        <v>17.000001312758041</v>
      </c>
      <c r="H23" s="613">
        <f>21583.06*12</f>
        <v>258996.72000000003</v>
      </c>
      <c r="I23" s="99">
        <v>64749.17</v>
      </c>
      <c r="J23" s="102">
        <f>ROUND(21583.06*3,0)</f>
        <v>64749</v>
      </c>
      <c r="K23" s="103">
        <f>J23</f>
        <v>64749</v>
      </c>
      <c r="L23" s="103">
        <f>K23</f>
        <v>64749</v>
      </c>
      <c r="M23" s="103">
        <f>L23</f>
        <v>64749</v>
      </c>
      <c r="N23" s="103">
        <f>ROUND(M23*(1+取值表!$D$6)*取值表!$I$6,0)</f>
        <v>64463</v>
      </c>
      <c r="O23" s="103">
        <f>N23</f>
        <v>64463</v>
      </c>
      <c r="P23" s="103">
        <f>O23</f>
        <v>64463</v>
      </c>
      <c r="Q23" s="103">
        <f>P23</f>
        <v>64463</v>
      </c>
      <c r="R23" s="278">
        <f>ROUND(Q23*(1+取值表!$D$6),0)</f>
        <v>68202</v>
      </c>
      <c r="S23" s="103">
        <f t="shared" ref="S23:U23" si="521">R23</f>
        <v>68202</v>
      </c>
      <c r="T23" s="103">
        <f t="shared" si="521"/>
        <v>68202</v>
      </c>
      <c r="U23" s="103">
        <f t="shared" si="521"/>
        <v>68202</v>
      </c>
      <c r="V23" s="103">
        <f>ROUND(U23*(1+取值表!$D$6),0)</f>
        <v>72158</v>
      </c>
      <c r="W23" s="103">
        <f t="shared" ref="W23" si="522">V23</f>
        <v>72158</v>
      </c>
      <c r="X23" s="103">
        <f t="shared" ref="X23" si="523">W23</f>
        <v>72158</v>
      </c>
      <c r="Y23" s="103">
        <f t="shared" ref="Y23" si="524">X23</f>
        <v>72158</v>
      </c>
      <c r="Z23" s="103">
        <f>ROUND(Y23*(1+取值表!$D$6),0)</f>
        <v>76343</v>
      </c>
      <c r="AA23" s="103">
        <f t="shared" ref="AA23" si="525">Z23</f>
        <v>76343</v>
      </c>
      <c r="AB23" s="103">
        <f t="shared" ref="AB23" si="526">AA23</f>
        <v>76343</v>
      </c>
      <c r="AC23" s="103">
        <f t="shared" ref="AC23" si="527">AB23</f>
        <v>76343</v>
      </c>
      <c r="AD23" s="103">
        <f>ROUND(AC23*(1+取值表!$D$6),0)</f>
        <v>80771</v>
      </c>
      <c r="AE23" s="103">
        <f t="shared" ref="AE23" si="528">AD23</f>
        <v>80771</v>
      </c>
      <c r="AF23" s="103">
        <f t="shared" ref="AF23" si="529">AE23</f>
        <v>80771</v>
      </c>
      <c r="AG23" s="103">
        <f t="shared" ref="AG23" si="530">AF23</f>
        <v>80771</v>
      </c>
      <c r="AH23" s="103">
        <f>ROUND(AG23*(1+取值表!$D$6),0)</f>
        <v>85456</v>
      </c>
      <c r="AI23" s="103">
        <f t="shared" ref="AI23" si="531">AH23</f>
        <v>85456</v>
      </c>
      <c r="AJ23" s="103">
        <f t="shared" ref="AJ23" si="532">AI23</f>
        <v>85456</v>
      </c>
      <c r="AK23" s="103">
        <f t="shared" ref="AK23" si="533">AJ23</f>
        <v>85456</v>
      </c>
      <c r="AL23" s="103">
        <f>ROUND(AK23*(1+取值表!$D$6),0)</f>
        <v>90412</v>
      </c>
      <c r="AM23" s="103">
        <f t="shared" ref="AM23" si="534">AL23</f>
        <v>90412</v>
      </c>
      <c r="AN23" s="103">
        <f t="shared" ref="AN23" si="535">AM23</f>
        <v>90412</v>
      </c>
      <c r="AO23" s="103">
        <f t="shared" ref="AO23" si="536">AN23</f>
        <v>90412</v>
      </c>
      <c r="AP23" s="103">
        <f>ROUND(AO23*(1+取值表!$D$6),0)</f>
        <v>95656</v>
      </c>
      <c r="AQ23" s="103">
        <f t="shared" ref="AQ23" si="537">AP23</f>
        <v>95656</v>
      </c>
      <c r="AR23" s="103">
        <f t="shared" ref="AR23" si="538">AQ23</f>
        <v>95656</v>
      </c>
      <c r="AS23" s="103">
        <f t="shared" ref="AS23" si="539">AR23</f>
        <v>95656</v>
      </c>
      <c r="AT23" s="103">
        <f>ROUND(AS23*(1+取值表!$D$6),0)</f>
        <v>101204</v>
      </c>
      <c r="AU23" s="103">
        <f t="shared" ref="AU23" si="540">AT23</f>
        <v>101204</v>
      </c>
      <c r="AV23" s="103">
        <f t="shared" ref="AV23" si="541">AU23</f>
        <v>101204</v>
      </c>
      <c r="AW23" s="103">
        <f t="shared" ref="AW23" si="542">AV23</f>
        <v>101204</v>
      </c>
      <c r="AX23" s="103">
        <f>ROUND(AW23*(1+取值表!$D$6),0)</f>
        <v>107074</v>
      </c>
      <c r="AY23" s="103">
        <f t="shared" ref="AY23" si="543">AX23</f>
        <v>107074</v>
      </c>
      <c r="AZ23" s="103">
        <f t="shared" ref="AZ23" si="544">AY23</f>
        <v>107074</v>
      </c>
      <c r="BA23" s="103">
        <f t="shared" ref="BA23" si="545">AZ23</f>
        <v>107074</v>
      </c>
      <c r="BB23" s="103">
        <f>ROUND(BA23*(1+取值表!$D$6),0)</f>
        <v>113284</v>
      </c>
      <c r="BC23" s="103">
        <f t="shared" ref="BC23" si="546">BB23</f>
        <v>113284</v>
      </c>
      <c r="BD23" s="103">
        <f t="shared" ref="BD23" si="547">BC23</f>
        <v>113284</v>
      </c>
      <c r="BE23" s="103">
        <f t="shared" ref="BE23" si="548">BD23</f>
        <v>113284</v>
      </c>
      <c r="BF23" s="103">
        <f>ROUND(BE23*(1+取值表!$D$6),0)</f>
        <v>119854</v>
      </c>
      <c r="BG23" s="103">
        <f t="shared" ref="BG23" si="549">BF23</f>
        <v>119854</v>
      </c>
      <c r="BH23" s="103">
        <f t="shared" ref="BH23" si="550">BG23</f>
        <v>119854</v>
      </c>
      <c r="BI23" s="103">
        <f t="shared" ref="BI23" si="551">BH23</f>
        <v>119854</v>
      </c>
      <c r="BJ23" s="103">
        <f>ROUND(BI23*(1+取值表!$D$6),0)</f>
        <v>126806</v>
      </c>
      <c r="BK23" s="103">
        <f t="shared" ref="BK23" si="552">BJ23</f>
        <v>126806</v>
      </c>
      <c r="BL23" s="103">
        <f t="shared" ref="BL23" si="553">BK23</f>
        <v>126806</v>
      </c>
      <c r="BM23" s="103">
        <f t="shared" ref="BM23" si="554">BL23</f>
        <v>126806</v>
      </c>
      <c r="BN23" s="103">
        <f>ROUND(BM23*(1+取值表!$D$6),0)</f>
        <v>134161</v>
      </c>
      <c r="BO23" s="103">
        <f t="shared" ref="BO23" si="555">BN23</f>
        <v>134161</v>
      </c>
      <c r="BP23" s="103">
        <f t="shared" ref="BP23" si="556">BO23</f>
        <v>134161</v>
      </c>
      <c r="BQ23" s="103">
        <f t="shared" ref="BQ23" si="557">BP23</f>
        <v>134161</v>
      </c>
      <c r="BR23" s="103">
        <f>ROUND(BQ23*(1+取值表!$D$6),0)</f>
        <v>141942</v>
      </c>
      <c r="BS23" s="103">
        <f t="shared" ref="BS23" si="558">BR23</f>
        <v>141942</v>
      </c>
      <c r="BT23" s="103">
        <f t="shared" ref="BT23" si="559">BS23</f>
        <v>141942</v>
      </c>
      <c r="BU23" s="103">
        <f t="shared" ref="BU23" si="560">BT23</f>
        <v>141942</v>
      </c>
      <c r="BV23" s="103">
        <f>ROUND(BU23*(1+取值表!$D$6),0)</f>
        <v>150175</v>
      </c>
      <c r="BW23" s="103">
        <f t="shared" ref="BW23" si="561">BV23</f>
        <v>150175</v>
      </c>
      <c r="BX23" s="103">
        <f t="shared" ref="BX23" si="562">BW23</f>
        <v>150175</v>
      </c>
      <c r="BY23" s="103">
        <f t="shared" ref="BY23" si="563">BX23</f>
        <v>150175</v>
      </c>
      <c r="BZ23" s="103">
        <f>ROUND(BY23*(1+取值表!$D$6),0)</f>
        <v>158885</v>
      </c>
      <c r="CA23" s="103">
        <f t="shared" ref="CA23" si="564">BZ23</f>
        <v>158885</v>
      </c>
      <c r="CB23" s="103">
        <f t="shared" ref="CB23" si="565">CA23</f>
        <v>158885</v>
      </c>
      <c r="CC23" s="103">
        <f t="shared" ref="CC23" si="566">CB23</f>
        <v>158885</v>
      </c>
      <c r="CD23" s="103">
        <f>ROUND(CC23*(1+取值表!$D$6),0)</f>
        <v>168100</v>
      </c>
      <c r="CE23" s="103">
        <f t="shared" ref="CE23" si="567">CD23</f>
        <v>168100</v>
      </c>
      <c r="CF23" s="103">
        <f t="shared" ref="CF23" si="568">CE23</f>
        <v>168100</v>
      </c>
      <c r="CG23" s="103">
        <f t="shared" ref="CG23" si="569">CF23</f>
        <v>168100</v>
      </c>
      <c r="CH23" s="103">
        <f>ROUND(CG23*(1+取值表!$D$6),0)</f>
        <v>177850</v>
      </c>
      <c r="CI23" s="103">
        <f t="shared" ref="CI23" si="570">CH23</f>
        <v>177850</v>
      </c>
      <c r="CJ23" s="103">
        <f t="shared" ref="CJ23" si="571">CI23</f>
        <v>177850</v>
      </c>
      <c r="CK23" s="103">
        <f t="shared" ref="CK23" si="572">CJ23</f>
        <v>177850</v>
      </c>
      <c r="CL23" s="103">
        <f>ROUND(CK23*(1+取值表!$D$6),0)</f>
        <v>188165</v>
      </c>
      <c r="CM23" s="103">
        <f t="shared" ref="CM23" si="573">CL23</f>
        <v>188165</v>
      </c>
      <c r="CN23" s="103">
        <f t="shared" ref="CN23" si="574">CM23</f>
        <v>188165</v>
      </c>
      <c r="CO23" s="103">
        <f t="shared" ref="CO23" si="575">CN23</f>
        <v>188165</v>
      </c>
      <c r="CP23" s="103">
        <f t="shared" si="52"/>
        <v>9542840</v>
      </c>
    </row>
    <row r="24" spans="1:94">
      <c r="A24" s="546"/>
      <c r="B24" s="550"/>
      <c r="C24" s="548"/>
      <c r="D24" s="549"/>
      <c r="E24" s="547"/>
      <c r="F24" s="562"/>
      <c r="G24" s="562"/>
      <c r="H24" s="613"/>
      <c r="I24" s="99"/>
      <c r="J24" s="101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>
        <f t="shared" si="52"/>
        <v>0</v>
      </c>
    </row>
    <row r="25" spans="1:94">
      <c r="A25" s="546">
        <v>12</v>
      </c>
      <c r="B25" s="536" t="s">
        <v>1072</v>
      </c>
      <c r="C25" s="548" t="s">
        <v>1073</v>
      </c>
      <c r="D25" s="549" t="s">
        <v>422</v>
      </c>
      <c r="E25" s="547" t="s">
        <v>418</v>
      </c>
      <c r="F25" s="562">
        <v>188.15</v>
      </c>
      <c r="G25" s="562">
        <v>20</v>
      </c>
      <c r="H25" s="613">
        <f>F25*G25*365</f>
        <v>1373495</v>
      </c>
      <c r="I25" s="99">
        <v>343373.75</v>
      </c>
      <c r="J25" s="101">
        <f>ROUND(125903.71*3,0)</f>
        <v>377711</v>
      </c>
      <c r="K25" s="102">
        <f>J25</f>
        <v>377711</v>
      </c>
      <c r="L25" s="103">
        <f>K25</f>
        <v>377711</v>
      </c>
      <c r="M25" s="103">
        <f>L25</f>
        <v>377711</v>
      </c>
      <c r="N25" s="103">
        <f>ROUND(M25*(1+取值表!$D$6)*取值表!$I$6,0)</f>
        <v>376041</v>
      </c>
      <c r="O25" s="103">
        <f>N25</f>
        <v>376041</v>
      </c>
      <c r="P25" s="103">
        <f>O25</f>
        <v>376041</v>
      </c>
      <c r="Q25" s="103">
        <f>P25</f>
        <v>376041</v>
      </c>
      <c r="R25" s="278">
        <f>ROUND(Q25*(1+取值表!$D$6),0)</f>
        <v>397851</v>
      </c>
      <c r="S25" s="103">
        <f t="shared" ref="S25:U25" si="576">R25</f>
        <v>397851</v>
      </c>
      <c r="T25" s="103">
        <f t="shared" si="576"/>
        <v>397851</v>
      </c>
      <c r="U25" s="103">
        <f t="shared" si="576"/>
        <v>397851</v>
      </c>
      <c r="V25" s="103">
        <f>ROUND(U25*(1+取值表!$D$6),0)</f>
        <v>420926</v>
      </c>
      <c r="W25" s="103">
        <f t="shared" ref="W25" si="577">V25</f>
        <v>420926</v>
      </c>
      <c r="X25" s="103">
        <f t="shared" ref="X25" si="578">W25</f>
        <v>420926</v>
      </c>
      <c r="Y25" s="103">
        <f t="shared" ref="Y25" si="579">X25</f>
        <v>420926</v>
      </c>
      <c r="Z25" s="103">
        <f>ROUND(Y25*(1+取值表!$D$6),0)</f>
        <v>445340</v>
      </c>
      <c r="AA25" s="103">
        <f t="shared" ref="AA25" si="580">Z25</f>
        <v>445340</v>
      </c>
      <c r="AB25" s="103">
        <f t="shared" ref="AB25" si="581">AA25</f>
        <v>445340</v>
      </c>
      <c r="AC25" s="103">
        <f t="shared" ref="AC25" si="582">AB25</f>
        <v>445340</v>
      </c>
      <c r="AD25" s="103">
        <f>ROUND(AC25*(1+取值表!$D$6),0)</f>
        <v>471170</v>
      </c>
      <c r="AE25" s="103">
        <f t="shared" ref="AE25" si="583">AD25</f>
        <v>471170</v>
      </c>
      <c r="AF25" s="103">
        <f t="shared" ref="AF25" si="584">AE25</f>
        <v>471170</v>
      </c>
      <c r="AG25" s="103">
        <f t="shared" ref="AG25" si="585">AF25</f>
        <v>471170</v>
      </c>
      <c r="AH25" s="103">
        <f>ROUND(AG25*(1+取值表!$D$6),0)</f>
        <v>498498</v>
      </c>
      <c r="AI25" s="103">
        <f t="shared" ref="AI25" si="586">AH25</f>
        <v>498498</v>
      </c>
      <c r="AJ25" s="103">
        <f t="shared" ref="AJ25" si="587">AI25</f>
        <v>498498</v>
      </c>
      <c r="AK25" s="103">
        <f t="shared" ref="AK25" si="588">AJ25</f>
        <v>498498</v>
      </c>
      <c r="AL25" s="103">
        <f>ROUND(AK25*(1+取值表!$D$6),0)</f>
        <v>527411</v>
      </c>
      <c r="AM25" s="103">
        <f t="shared" ref="AM25" si="589">AL25</f>
        <v>527411</v>
      </c>
      <c r="AN25" s="103">
        <f t="shared" ref="AN25" si="590">AM25</f>
        <v>527411</v>
      </c>
      <c r="AO25" s="103">
        <f t="shared" ref="AO25" si="591">AN25</f>
        <v>527411</v>
      </c>
      <c r="AP25" s="103">
        <f>ROUND(AO25*(1+取值表!$D$6),0)</f>
        <v>558001</v>
      </c>
      <c r="AQ25" s="103">
        <f t="shared" ref="AQ25" si="592">AP25</f>
        <v>558001</v>
      </c>
      <c r="AR25" s="103">
        <f t="shared" ref="AR25" si="593">AQ25</f>
        <v>558001</v>
      </c>
      <c r="AS25" s="103">
        <f t="shared" ref="AS25" si="594">AR25</f>
        <v>558001</v>
      </c>
      <c r="AT25" s="103">
        <f>ROUND(AS25*(1+取值表!$D$6),0)</f>
        <v>590365</v>
      </c>
      <c r="AU25" s="103">
        <f t="shared" ref="AU25" si="595">AT25</f>
        <v>590365</v>
      </c>
      <c r="AV25" s="103">
        <f t="shared" ref="AV25" si="596">AU25</f>
        <v>590365</v>
      </c>
      <c r="AW25" s="103">
        <f t="shared" ref="AW25" si="597">AV25</f>
        <v>590365</v>
      </c>
      <c r="AX25" s="103">
        <f>ROUND(AW25*(1+取值表!$D$6),0)</f>
        <v>624606</v>
      </c>
      <c r="AY25" s="103">
        <f t="shared" ref="AY25" si="598">AX25</f>
        <v>624606</v>
      </c>
      <c r="AZ25" s="103">
        <f t="shared" ref="AZ25" si="599">AY25</f>
        <v>624606</v>
      </c>
      <c r="BA25" s="103">
        <f t="shared" ref="BA25" si="600">AZ25</f>
        <v>624606</v>
      </c>
      <c r="BB25" s="103">
        <f>ROUND(BA25*(1+取值表!$D$6),0)</f>
        <v>660833</v>
      </c>
      <c r="BC25" s="103">
        <f t="shared" ref="BC25" si="601">BB25</f>
        <v>660833</v>
      </c>
      <c r="BD25" s="103">
        <f t="shared" ref="BD25" si="602">BC25</f>
        <v>660833</v>
      </c>
      <c r="BE25" s="103">
        <f t="shared" ref="BE25" si="603">BD25</f>
        <v>660833</v>
      </c>
      <c r="BF25" s="103">
        <f>ROUND(BE25*(1+取值表!$D$6),0)</f>
        <v>699161</v>
      </c>
      <c r="BG25" s="103">
        <f t="shared" ref="BG25" si="604">BF25</f>
        <v>699161</v>
      </c>
      <c r="BH25" s="103">
        <f t="shared" ref="BH25" si="605">BG25</f>
        <v>699161</v>
      </c>
      <c r="BI25" s="103">
        <f t="shared" ref="BI25" si="606">BH25</f>
        <v>699161</v>
      </c>
      <c r="BJ25" s="103">
        <f>ROUND(BI25*(1+取值表!$D$6),0)</f>
        <v>739712</v>
      </c>
      <c r="BK25" s="103">
        <f t="shared" ref="BK25" si="607">BJ25</f>
        <v>739712</v>
      </c>
      <c r="BL25" s="103">
        <f t="shared" ref="BL25" si="608">BK25</f>
        <v>739712</v>
      </c>
      <c r="BM25" s="103">
        <f t="shared" ref="BM25" si="609">BL25</f>
        <v>739712</v>
      </c>
      <c r="BN25" s="103">
        <f>ROUND(BM25*(1+取值表!$D$6),0)</f>
        <v>782615</v>
      </c>
      <c r="BO25" s="103">
        <f t="shared" ref="BO25" si="610">BN25</f>
        <v>782615</v>
      </c>
      <c r="BP25" s="103">
        <f t="shared" ref="BP25" si="611">BO25</f>
        <v>782615</v>
      </c>
      <c r="BQ25" s="103">
        <f t="shared" ref="BQ25" si="612">BP25</f>
        <v>782615</v>
      </c>
      <c r="BR25" s="103">
        <f>ROUND(BQ25*(1+取值表!$D$6),0)</f>
        <v>828007</v>
      </c>
      <c r="BS25" s="103">
        <f t="shared" ref="BS25" si="613">BR25</f>
        <v>828007</v>
      </c>
      <c r="BT25" s="103">
        <f t="shared" ref="BT25" si="614">BS25</f>
        <v>828007</v>
      </c>
      <c r="BU25" s="103">
        <f t="shared" ref="BU25" si="615">BT25</f>
        <v>828007</v>
      </c>
      <c r="BV25" s="103">
        <f>ROUND(BU25*(1+取值表!$D$6),0)</f>
        <v>876031</v>
      </c>
      <c r="BW25" s="103">
        <f t="shared" ref="BW25" si="616">BV25</f>
        <v>876031</v>
      </c>
      <c r="BX25" s="103">
        <f t="shared" ref="BX25" si="617">BW25</f>
        <v>876031</v>
      </c>
      <c r="BY25" s="103">
        <f t="shared" ref="BY25" si="618">BX25</f>
        <v>876031</v>
      </c>
      <c r="BZ25" s="103">
        <f>ROUND(BY25*(1+取值表!$D$6),0)</f>
        <v>926841</v>
      </c>
      <c r="CA25" s="103">
        <f t="shared" ref="CA25" si="619">BZ25</f>
        <v>926841</v>
      </c>
      <c r="CB25" s="103">
        <f t="shared" ref="CB25" si="620">CA25</f>
        <v>926841</v>
      </c>
      <c r="CC25" s="103">
        <f t="shared" ref="CC25" si="621">CB25</f>
        <v>926841</v>
      </c>
      <c r="CD25" s="103">
        <f>ROUND(CC25*(1+取值表!$D$6),0)</f>
        <v>980598</v>
      </c>
      <c r="CE25" s="103">
        <f t="shared" ref="CE25" si="622">CD25</f>
        <v>980598</v>
      </c>
      <c r="CF25" s="103">
        <f t="shared" ref="CF25" si="623">CE25</f>
        <v>980598</v>
      </c>
      <c r="CG25" s="103">
        <f t="shared" ref="CG25" si="624">CF25</f>
        <v>980598</v>
      </c>
      <c r="CH25" s="103">
        <f>ROUND(CG25*(1+取值表!$D$6),0)</f>
        <v>1037473</v>
      </c>
      <c r="CI25" s="103">
        <f t="shared" ref="CI25" si="625">CH25</f>
        <v>1037473</v>
      </c>
      <c r="CJ25" s="103">
        <f t="shared" ref="CJ25" si="626">CI25</f>
        <v>1037473</v>
      </c>
      <c r="CK25" s="103">
        <f t="shared" ref="CK25" si="627">CJ25</f>
        <v>1037473</v>
      </c>
      <c r="CL25" s="103">
        <f>ROUND(CK25*(1+取值表!$D$6),0)</f>
        <v>1097646</v>
      </c>
      <c r="CM25" s="103">
        <f t="shared" ref="CM25" si="628">CL25</f>
        <v>1097646</v>
      </c>
      <c r="CN25" s="103">
        <f t="shared" ref="CN25" si="629">CM25</f>
        <v>1097646</v>
      </c>
      <c r="CO25" s="103">
        <f t="shared" ref="CO25" si="630">CN25</f>
        <v>1097646</v>
      </c>
      <c r="CP25" s="103">
        <f t="shared" si="52"/>
        <v>55667348</v>
      </c>
    </row>
    <row r="26" spans="1:94">
      <c r="A26" s="546"/>
      <c r="B26" s="536"/>
      <c r="C26" s="548"/>
      <c r="D26" s="549"/>
      <c r="E26" s="547"/>
      <c r="F26" s="562"/>
      <c r="G26" s="562"/>
      <c r="H26" s="613"/>
      <c r="I26" s="99"/>
      <c r="J26" s="101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>
        <f t="shared" si="52"/>
        <v>0</v>
      </c>
    </row>
    <row r="27" spans="1:94" ht="12" customHeight="1">
      <c r="A27" s="546">
        <v>13</v>
      </c>
      <c r="B27" s="550" t="s">
        <v>1074</v>
      </c>
      <c r="C27" s="548" t="s">
        <v>1075</v>
      </c>
      <c r="D27" s="549" t="s">
        <v>423</v>
      </c>
      <c r="E27" s="547" t="s">
        <v>418</v>
      </c>
      <c r="F27" s="562">
        <v>129.53</v>
      </c>
      <c r="G27" s="562">
        <v>14</v>
      </c>
      <c r="H27" s="613">
        <f>F27*G27*365</f>
        <v>661898.30000000005</v>
      </c>
      <c r="I27" s="99">
        <v>165474.57</v>
      </c>
      <c r="J27" s="102">
        <f>ROUND(G27*F27*365/4,0)</f>
        <v>165475</v>
      </c>
      <c r="K27" s="103">
        <f>J27</f>
        <v>165475</v>
      </c>
      <c r="L27" s="103">
        <f>K27</f>
        <v>165475</v>
      </c>
      <c r="M27" s="103">
        <f>L27</f>
        <v>165475</v>
      </c>
      <c r="N27" s="103">
        <f>ROUND(M27*(1+取值表!$D$6)*取值表!$I$6,0)</f>
        <v>164743</v>
      </c>
      <c r="O27" s="103">
        <f>N27</f>
        <v>164743</v>
      </c>
      <c r="P27" s="103">
        <f>O27</f>
        <v>164743</v>
      </c>
      <c r="Q27" s="103">
        <f>P27</f>
        <v>164743</v>
      </c>
      <c r="R27" s="278">
        <f>ROUND(Q27*(1+取值表!$D$6),0)</f>
        <v>174298</v>
      </c>
      <c r="S27" s="103">
        <f t="shared" ref="S27:U27" si="631">R27</f>
        <v>174298</v>
      </c>
      <c r="T27" s="103">
        <f t="shared" si="631"/>
        <v>174298</v>
      </c>
      <c r="U27" s="103">
        <f t="shared" si="631"/>
        <v>174298</v>
      </c>
      <c r="V27" s="103">
        <f>ROUND(U27*(1+取值表!$D$6),0)</f>
        <v>184407</v>
      </c>
      <c r="W27" s="103">
        <f t="shared" ref="W27" si="632">V27</f>
        <v>184407</v>
      </c>
      <c r="X27" s="103">
        <f t="shared" ref="X27" si="633">W27</f>
        <v>184407</v>
      </c>
      <c r="Y27" s="103">
        <f t="shared" ref="Y27" si="634">X27</f>
        <v>184407</v>
      </c>
      <c r="Z27" s="103">
        <f>ROUND(Y27*(1+取值表!$D$6),0)</f>
        <v>195103</v>
      </c>
      <c r="AA27" s="103">
        <f t="shared" ref="AA27" si="635">Z27</f>
        <v>195103</v>
      </c>
      <c r="AB27" s="103">
        <f t="shared" ref="AB27" si="636">AA27</f>
        <v>195103</v>
      </c>
      <c r="AC27" s="103">
        <f t="shared" ref="AC27" si="637">AB27</f>
        <v>195103</v>
      </c>
      <c r="AD27" s="103">
        <f>ROUND(AC27*(1+取值表!$D$6),0)</f>
        <v>206419</v>
      </c>
      <c r="AE27" s="103">
        <f t="shared" ref="AE27" si="638">AD27</f>
        <v>206419</v>
      </c>
      <c r="AF27" s="103">
        <f t="shared" ref="AF27" si="639">AE27</f>
        <v>206419</v>
      </c>
      <c r="AG27" s="103">
        <f t="shared" ref="AG27" si="640">AF27</f>
        <v>206419</v>
      </c>
      <c r="AH27" s="103">
        <f>ROUND(AG27*(1+取值表!$D$6),0)</f>
        <v>218391</v>
      </c>
      <c r="AI27" s="103">
        <f t="shared" ref="AI27" si="641">AH27</f>
        <v>218391</v>
      </c>
      <c r="AJ27" s="103">
        <f t="shared" ref="AJ27" si="642">AI27</f>
        <v>218391</v>
      </c>
      <c r="AK27" s="103">
        <f t="shared" ref="AK27" si="643">AJ27</f>
        <v>218391</v>
      </c>
      <c r="AL27" s="103">
        <f>ROUND(AK27*(1+取值表!$D$6),0)</f>
        <v>231058</v>
      </c>
      <c r="AM27" s="103">
        <f t="shared" ref="AM27" si="644">AL27</f>
        <v>231058</v>
      </c>
      <c r="AN27" s="103">
        <f t="shared" ref="AN27" si="645">AM27</f>
        <v>231058</v>
      </c>
      <c r="AO27" s="103">
        <f t="shared" ref="AO27" si="646">AN27</f>
        <v>231058</v>
      </c>
      <c r="AP27" s="103">
        <f>ROUND(AO27*(1+取值表!$D$6),0)</f>
        <v>244459</v>
      </c>
      <c r="AQ27" s="103">
        <f t="shared" ref="AQ27" si="647">AP27</f>
        <v>244459</v>
      </c>
      <c r="AR27" s="103">
        <f t="shared" ref="AR27" si="648">AQ27</f>
        <v>244459</v>
      </c>
      <c r="AS27" s="103">
        <f t="shared" ref="AS27" si="649">AR27</f>
        <v>244459</v>
      </c>
      <c r="AT27" s="103">
        <f>ROUND(AS27*(1+取值表!$D$6),0)</f>
        <v>258638</v>
      </c>
      <c r="AU27" s="103">
        <f t="shared" ref="AU27" si="650">AT27</f>
        <v>258638</v>
      </c>
      <c r="AV27" s="103">
        <f t="shared" ref="AV27" si="651">AU27</f>
        <v>258638</v>
      </c>
      <c r="AW27" s="103">
        <f t="shared" ref="AW27" si="652">AV27</f>
        <v>258638</v>
      </c>
      <c r="AX27" s="103">
        <f>ROUND(AW27*(1+取值表!$D$6),0)</f>
        <v>273639</v>
      </c>
      <c r="AY27" s="103">
        <f t="shared" ref="AY27" si="653">AX27</f>
        <v>273639</v>
      </c>
      <c r="AZ27" s="103">
        <f t="shared" ref="AZ27" si="654">AY27</f>
        <v>273639</v>
      </c>
      <c r="BA27" s="103">
        <f t="shared" ref="BA27" si="655">AZ27</f>
        <v>273639</v>
      </c>
      <c r="BB27" s="103">
        <f>ROUND(BA27*(1+取值表!$D$6),0)</f>
        <v>289510</v>
      </c>
      <c r="BC27" s="103">
        <f t="shared" ref="BC27" si="656">BB27</f>
        <v>289510</v>
      </c>
      <c r="BD27" s="103">
        <f t="shared" ref="BD27" si="657">BC27</f>
        <v>289510</v>
      </c>
      <c r="BE27" s="103">
        <f t="shared" ref="BE27" si="658">BD27</f>
        <v>289510</v>
      </c>
      <c r="BF27" s="103">
        <f>ROUND(BE27*(1+取值表!$D$6),0)</f>
        <v>306302</v>
      </c>
      <c r="BG27" s="103">
        <f t="shared" ref="BG27" si="659">BF27</f>
        <v>306302</v>
      </c>
      <c r="BH27" s="103">
        <f t="shared" ref="BH27" si="660">BG27</f>
        <v>306302</v>
      </c>
      <c r="BI27" s="103">
        <f t="shared" ref="BI27" si="661">BH27</f>
        <v>306302</v>
      </c>
      <c r="BJ27" s="103">
        <f>ROUND(BI27*(1+取值表!$D$6),0)</f>
        <v>324068</v>
      </c>
      <c r="BK27" s="103">
        <f t="shared" ref="BK27" si="662">BJ27</f>
        <v>324068</v>
      </c>
      <c r="BL27" s="103">
        <f t="shared" ref="BL27" si="663">BK27</f>
        <v>324068</v>
      </c>
      <c r="BM27" s="103">
        <f t="shared" ref="BM27" si="664">BL27</f>
        <v>324068</v>
      </c>
      <c r="BN27" s="103">
        <f>ROUND(BM27*(1+取值表!$D$6),0)</f>
        <v>342864</v>
      </c>
      <c r="BO27" s="103">
        <f t="shared" ref="BO27" si="665">BN27</f>
        <v>342864</v>
      </c>
      <c r="BP27" s="103">
        <f t="shared" ref="BP27" si="666">BO27</f>
        <v>342864</v>
      </c>
      <c r="BQ27" s="103">
        <f t="shared" ref="BQ27" si="667">BP27</f>
        <v>342864</v>
      </c>
      <c r="BR27" s="103">
        <f>ROUND(BQ27*(1+取值表!$D$6),0)</f>
        <v>362750</v>
      </c>
      <c r="BS27" s="103">
        <f t="shared" ref="BS27" si="668">BR27</f>
        <v>362750</v>
      </c>
      <c r="BT27" s="103">
        <f t="shared" ref="BT27" si="669">BS27</f>
        <v>362750</v>
      </c>
      <c r="BU27" s="103">
        <f t="shared" ref="BU27" si="670">BT27</f>
        <v>362750</v>
      </c>
      <c r="BV27" s="103">
        <f>ROUND(BU27*(1+取值表!$D$6),0)</f>
        <v>383790</v>
      </c>
      <c r="BW27" s="103">
        <f t="shared" ref="BW27" si="671">BV27</f>
        <v>383790</v>
      </c>
      <c r="BX27" s="103">
        <f t="shared" ref="BX27" si="672">BW27</f>
        <v>383790</v>
      </c>
      <c r="BY27" s="103">
        <f t="shared" ref="BY27" si="673">BX27</f>
        <v>383790</v>
      </c>
      <c r="BZ27" s="103">
        <f>ROUND(BY27*(1+取值表!$D$6),0)</f>
        <v>406050</v>
      </c>
      <c r="CA27" s="103">
        <f t="shared" ref="CA27" si="674">BZ27</f>
        <v>406050</v>
      </c>
      <c r="CB27" s="103">
        <f t="shared" ref="CB27" si="675">CA27</f>
        <v>406050</v>
      </c>
      <c r="CC27" s="103">
        <f t="shared" ref="CC27" si="676">CB27</f>
        <v>406050</v>
      </c>
      <c r="CD27" s="103">
        <f>ROUND(CC27*(1+取值表!$D$6),0)</f>
        <v>429601</v>
      </c>
      <c r="CE27" s="103">
        <f t="shared" ref="CE27" si="677">CD27</f>
        <v>429601</v>
      </c>
      <c r="CF27" s="103">
        <f t="shared" ref="CF27" si="678">CE27</f>
        <v>429601</v>
      </c>
      <c r="CG27" s="103">
        <f t="shared" ref="CG27" si="679">CF27</f>
        <v>429601</v>
      </c>
      <c r="CH27" s="103">
        <f>ROUND(CG27*(1+取值表!$D$6),0)</f>
        <v>454518</v>
      </c>
      <c r="CI27" s="103">
        <f t="shared" ref="CI27" si="680">CH27</f>
        <v>454518</v>
      </c>
      <c r="CJ27" s="103">
        <f t="shared" ref="CJ27" si="681">CI27</f>
        <v>454518</v>
      </c>
      <c r="CK27" s="103">
        <f t="shared" ref="CK27" si="682">CJ27</f>
        <v>454518</v>
      </c>
      <c r="CL27" s="103">
        <f>ROUND(CK27*(1+取值表!$D$6),0)</f>
        <v>480880</v>
      </c>
      <c r="CM27" s="103">
        <f t="shared" ref="CM27" si="683">CL27</f>
        <v>480880</v>
      </c>
      <c r="CN27" s="103">
        <f t="shared" ref="CN27" si="684">CM27</f>
        <v>480880</v>
      </c>
      <c r="CO27" s="103">
        <f t="shared" ref="CO27" si="685">CN27</f>
        <v>480880</v>
      </c>
      <c r="CP27" s="103">
        <f t="shared" si="52"/>
        <v>24387852</v>
      </c>
    </row>
    <row r="28" spans="1:94">
      <c r="A28" s="546"/>
      <c r="B28" s="550"/>
      <c r="C28" s="548"/>
      <c r="D28" s="549"/>
      <c r="E28" s="547"/>
      <c r="F28" s="562"/>
      <c r="G28" s="562"/>
      <c r="H28" s="613"/>
      <c r="I28" s="99"/>
      <c r="J28" s="101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>
        <f t="shared" si="52"/>
        <v>0</v>
      </c>
    </row>
    <row r="29" spans="1:94">
      <c r="A29" s="546">
        <v>14</v>
      </c>
      <c r="B29" s="550" t="s">
        <v>1076</v>
      </c>
      <c r="C29" s="548" t="s">
        <v>1077</v>
      </c>
      <c r="D29" s="549" t="s">
        <v>424</v>
      </c>
      <c r="E29" s="547" t="s">
        <v>418</v>
      </c>
      <c r="F29" s="562">
        <v>18</v>
      </c>
      <c r="G29" s="562">
        <f>H29/F29/365</f>
        <v>14.611872146118721</v>
      </c>
      <c r="H29" s="613">
        <f>8000*12</f>
        <v>96000</v>
      </c>
      <c r="I29" s="99">
        <v>0</v>
      </c>
      <c r="J29" s="102">
        <f>8000*3</f>
        <v>24000</v>
      </c>
      <c r="K29" s="103">
        <f>J29</f>
        <v>24000</v>
      </c>
      <c r="L29" s="103">
        <f>K29</f>
        <v>24000</v>
      </c>
      <c r="M29" s="103">
        <f>L29</f>
        <v>24000</v>
      </c>
      <c r="N29" s="103">
        <f>ROUND(M29*(1+取值表!$D$6)*取值表!$I$6,0)</f>
        <v>23894</v>
      </c>
      <c r="O29" s="103">
        <f>N29</f>
        <v>23894</v>
      </c>
      <c r="P29" s="103">
        <f>O29</f>
        <v>23894</v>
      </c>
      <c r="Q29" s="103">
        <f>P29</f>
        <v>23894</v>
      </c>
      <c r="R29" s="278">
        <f>ROUND(Q29*(1+取值表!$D$6),0)</f>
        <v>25280</v>
      </c>
      <c r="S29" s="103">
        <f t="shared" ref="S29:U29" si="686">R29</f>
        <v>25280</v>
      </c>
      <c r="T29" s="103">
        <f t="shared" si="686"/>
        <v>25280</v>
      </c>
      <c r="U29" s="103">
        <f t="shared" si="686"/>
        <v>25280</v>
      </c>
      <c r="V29" s="103">
        <f>ROUND(U29*(1+取值表!$D$6),0)</f>
        <v>26746</v>
      </c>
      <c r="W29" s="103">
        <f t="shared" ref="W29" si="687">V29</f>
        <v>26746</v>
      </c>
      <c r="X29" s="103">
        <f t="shared" ref="X29" si="688">W29</f>
        <v>26746</v>
      </c>
      <c r="Y29" s="103">
        <f t="shared" ref="Y29" si="689">X29</f>
        <v>26746</v>
      </c>
      <c r="Z29" s="103">
        <f>ROUND(Y29*(1+取值表!$D$6),0)</f>
        <v>28297</v>
      </c>
      <c r="AA29" s="103">
        <f t="shared" ref="AA29" si="690">Z29</f>
        <v>28297</v>
      </c>
      <c r="AB29" s="103">
        <f t="shared" ref="AB29" si="691">AA29</f>
        <v>28297</v>
      </c>
      <c r="AC29" s="103">
        <f t="shared" ref="AC29" si="692">AB29</f>
        <v>28297</v>
      </c>
      <c r="AD29" s="103">
        <f>ROUND(AC29*(1+取值表!$D$6),0)</f>
        <v>29938</v>
      </c>
      <c r="AE29" s="103">
        <f t="shared" ref="AE29" si="693">AD29</f>
        <v>29938</v>
      </c>
      <c r="AF29" s="103">
        <f t="shared" ref="AF29" si="694">AE29</f>
        <v>29938</v>
      </c>
      <c r="AG29" s="103">
        <f t="shared" ref="AG29" si="695">AF29</f>
        <v>29938</v>
      </c>
      <c r="AH29" s="103">
        <f>ROUND(AG29*(1+取值表!$D$6),0)</f>
        <v>31674</v>
      </c>
      <c r="AI29" s="103">
        <f t="shared" ref="AI29" si="696">AH29</f>
        <v>31674</v>
      </c>
      <c r="AJ29" s="103">
        <f t="shared" ref="AJ29" si="697">AI29</f>
        <v>31674</v>
      </c>
      <c r="AK29" s="103">
        <f t="shared" ref="AK29" si="698">AJ29</f>
        <v>31674</v>
      </c>
      <c r="AL29" s="103">
        <f>ROUND(AK29*(1+取值表!$D$6),0)</f>
        <v>33511</v>
      </c>
      <c r="AM29" s="103">
        <f t="shared" ref="AM29" si="699">AL29</f>
        <v>33511</v>
      </c>
      <c r="AN29" s="103">
        <f t="shared" ref="AN29" si="700">AM29</f>
        <v>33511</v>
      </c>
      <c r="AO29" s="103">
        <f t="shared" ref="AO29" si="701">AN29</f>
        <v>33511</v>
      </c>
      <c r="AP29" s="103">
        <f>ROUND(AO29*(1+取值表!$D$6),0)</f>
        <v>35455</v>
      </c>
      <c r="AQ29" s="103">
        <f t="shared" ref="AQ29" si="702">AP29</f>
        <v>35455</v>
      </c>
      <c r="AR29" s="103">
        <f t="shared" ref="AR29" si="703">AQ29</f>
        <v>35455</v>
      </c>
      <c r="AS29" s="103">
        <f t="shared" ref="AS29" si="704">AR29</f>
        <v>35455</v>
      </c>
      <c r="AT29" s="103">
        <f>ROUND(AS29*(1+取值表!$D$6),0)</f>
        <v>37511</v>
      </c>
      <c r="AU29" s="103">
        <f t="shared" ref="AU29" si="705">AT29</f>
        <v>37511</v>
      </c>
      <c r="AV29" s="103">
        <f t="shared" ref="AV29" si="706">AU29</f>
        <v>37511</v>
      </c>
      <c r="AW29" s="103">
        <f t="shared" ref="AW29" si="707">AV29</f>
        <v>37511</v>
      </c>
      <c r="AX29" s="103">
        <f>ROUND(AW29*(1+取值表!$D$6),0)</f>
        <v>39687</v>
      </c>
      <c r="AY29" s="103">
        <f t="shared" ref="AY29" si="708">AX29</f>
        <v>39687</v>
      </c>
      <c r="AZ29" s="103">
        <f t="shared" ref="AZ29" si="709">AY29</f>
        <v>39687</v>
      </c>
      <c r="BA29" s="103">
        <f t="shared" ref="BA29" si="710">AZ29</f>
        <v>39687</v>
      </c>
      <c r="BB29" s="103">
        <f>ROUND(BA29*(1+取值表!$D$6),0)</f>
        <v>41989</v>
      </c>
      <c r="BC29" s="103">
        <f t="shared" ref="BC29" si="711">BB29</f>
        <v>41989</v>
      </c>
      <c r="BD29" s="103">
        <f t="shared" ref="BD29" si="712">BC29</f>
        <v>41989</v>
      </c>
      <c r="BE29" s="103">
        <f t="shared" ref="BE29" si="713">BD29</f>
        <v>41989</v>
      </c>
      <c r="BF29" s="103">
        <f>ROUND(BE29*(1+取值表!$D$6),0)</f>
        <v>44424</v>
      </c>
      <c r="BG29" s="103">
        <f t="shared" ref="BG29" si="714">BF29</f>
        <v>44424</v>
      </c>
      <c r="BH29" s="103">
        <f t="shared" ref="BH29" si="715">BG29</f>
        <v>44424</v>
      </c>
      <c r="BI29" s="103">
        <f t="shared" ref="BI29" si="716">BH29</f>
        <v>44424</v>
      </c>
      <c r="BJ29" s="103">
        <f>ROUND(BI29*(1+取值表!$D$6),0)</f>
        <v>47001</v>
      </c>
      <c r="BK29" s="103">
        <f t="shared" ref="BK29" si="717">BJ29</f>
        <v>47001</v>
      </c>
      <c r="BL29" s="103">
        <f t="shared" ref="BL29" si="718">BK29</f>
        <v>47001</v>
      </c>
      <c r="BM29" s="103">
        <f t="shared" ref="BM29" si="719">BL29</f>
        <v>47001</v>
      </c>
      <c r="BN29" s="103">
        <f>ROUND(BM29*(1+取值表!$D$6),0)</f>
        <v>49727</v>
      </c>
      <c r="BO29" s="103">
        <f t="shared" ref="BO29" si="720">BN29</f>
        <v>49727</v>
      </c>
      <c r="BP29" s="103">
        <f t="shared" ref="BP29" si="721">BO29</f>
        <v>49727</v>
      </c>
      <c r="BQ29" s="103">
        <f t="shared" ref="BQ29" si="722">BP29</f>
        <v>49727</v>
      </c>
      <c r="BR29" s="103">
        <f>ROUND(BQ29*(1+取值表!$D$6),0)</f>
        <v>52611</v>
      </c>
      <c r="BS29" s="103">
        <f t="shared" ref="BS29" si="723">BR29</f>
        <v>52611</v>
      </c>
      <c r="BT29" s="103">
        <f t="shared" ref="BT29" si="724">BS29</f>
        <v>52611</v>
      </c>
      <c r="BU29" s="103">
        <f t="shared" ref="BU29" si="725">BT29</f>
        <v>52611</v>
      </c>
      <c r="BV29" s="103">
        <f>ROUND(BU29*(1+取值表!$D$6),0)</f>
        <v>55662</v>
      </c>
      <c r="BW29" s="103">
        <f t="shared" ref="BW29" si="726">BV29</f>
        <v>55662</v>
      </c>
      <c r="BX29" s="103">
        <f t="shared" ref="BX29" si="727">BW29</f>
        <v>55662</v>
      </c>
      <c r="BY29" s="103">
        <f t="shared" ref="BY29" si="728">BX29</f>
        <v>55662</v>
      </c>
      <c r="BZ29" s="103">
        <f>ROUND(BY29*(1+取值表!$D$6),0)</f>
        <v>58890</v>
      </c>
      <c r="CA29" s="103">
        <f t="shared" ref="CA29" si="729">BZ29</f>
        <v>58890</v>
      </c>
      <c r="CB29" s="103">
        <f t="shared" ref="CB29" si="730">CA29</f>
        <v>58890</v>
      </c>
      <c r="CC29" s="103">
        <f t="shared" ref="CC29" si="731">CB29</f>
        <v>58890</v>
      </c>
      <c r="CD29" s="103">
        <f>ROUND(CC29*(1+取值表!$D$6),0)</f>
        <v>62306</v>
      </c>
      <c r="CE29" s="103">
        <f t="shared" ref="CE29" si="732">CD29</f>
        <v>62306</v>
      </c>
      <c r="CF29" s="103">
        <f t="shared" ref="CF29" si="733">CE29</f>
        <v>62306</v>
      </c>
      <c r="CG29" s="103">
        <f t="shared" ref="CG29" si="734">CF29</f>
        <v>62306</v>
      </c>
      <c r="CH29" s="103">
        <f>ROUND(CG29*(1+取值表!$D$6),0)</f>
        <v>65920</v>
      </c>
      <c r="CI29" s="103">
        <f t="shared" ref="CI29" si="735">CH29</f>
        <v>65920</v>
      </c>
      <c r="CJ29" s="103">
        <f t="shared" ref="CJ29" si="736">CI29</f>
        <v>65920</v>
      </c>
      <c r="CK29" s="103">
        <f t="shared" ref="CK29" si="737">CJ29</f>
        <v>65920</v>
      </c>
      <c r="CL29" s="103">
        <f>ROUND(CK29*(1+取值表!$D$6),0)</f>
        <v>69743</v>
      </c>
      <c r="CM29" s="103">
        <f t="shared" ref="CM29" si="738">CL29</f>
        <v>69743</v>
      </c>
      <c r="CN29" s="103">
        <f t="shared" ref="CN29" si="739">CM29</f>
        <v>69743</v>
      </c>
      <c r="CO29" s="103">
        <f t="shared" ref="CO29" si="740">CN29</f>
        <v>69743</v>
      </c>
      <c r="CP29" s="103">
        <f t="shared" si="52"/>
        <v>3537064</v>
      </c>
    </row>
    <row r="30" spans="1:94">
      <c r="A30" s="546"/>
      <c r="B30" s="550"/>
      <c r="C30" s="548"/>
      <c r="D30" s="549"/>
      <c r="E30" s="547"/>
      <c r="F30" s="562"/>
      <c r="G30" s="562"/>
      <c r="H30" s="613"/>
      <c r="I30" s="99"/>
      <c r="J30" s="101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>
        <f t="shared" si="52"/>
        <v>0</v>
      </c>
    </row>
    <row r="31" spans="1:94" ht="12" customHeight="1">
      <c r="A31" s="546">
        <v>15</v>
      </c>
      <c r="B31" s="550" t="s">
        <v>1078</v>
      </c>
      <c r="C31" s="548" t="s">
        <v>1079</v>
      </c>
      <c r="D31" s="549" t="s">
        <v>425</v>
      </c>
      <c r="E31" s="547" t="s">
        <v>418</v>
      </c>
      <c r="F31" s="562">
        <v>22.09</v>
      </c>
      <c r="G31" s="562">
        <v>33</v>
      </c>
      <c r="H31" s="613">
        <f>F31*G31*365</f>
        <v>266074.05</v>
      </c>
      <c r="I31" s="99">
        <v>74581.36</v>
      </c>
      <c r="J31" s="101">
        <f>ROUND(24860.45*3,0)</f>
        <v>74581</v>
      </c>
      <c r="K31" s="102">
        <f>J31</f>
        <v>74581</v>
      </c>
      <c r="L31" s="103">
        <f>K31</f>
        <v>74581</v>
      </c>
      <c r="M31" s="103">
        <f>L31</f>
        <v>74581</v>
      </c>
      <c r="N31" s="103">
        <f>ROUND(M31*(1+取值表!$D$6)*取值表!$I$6,0)</f>
        <v>74251</v>
      </c>
      <c r="O31" s="103">
        <f>N31</f>
        <v>74251</v>
      </c>
      <c r="P31" s="103">
        <f>O31</f>
        <v>74251</v>
      </c>
      <c r="Q31" s="103">
        <f>P31</f>
        <v>74251</v>
      </c>
      <c r="R31" s="278">
        <f>ROUND(Q31*(1+取值表!$D$6),0)</f>
        <v>78558</v>
      </c>
      <c r="S31" s="103">
        <f t="shared" ref="S31:U31" si="741">R31</f>
        <v>78558</v>
      </c>
      <c r="T31" s="103">
        <f t="shared" si="741"/>
        <v>78558</v>
      </c>
      <c r="U31" s="103">
        <f t="shared" si="741"/>
        <v>78558</v>
      </c>
      <c r="V31" s="103">
        <f>ROUND(U31*(1+取值表!$D$6),0)</f>
        <v>83114</v>
      </c>
      <c r="W31" s="103">
        <f t="shared" ref="W31" si="742">V31</f>
        <v>83114</v>
      </c>
      <c r="X31" s="103">
        <f t="shared" ref="X31" si="743">W31</f>
        <v>83114</v>
      </c>
      <c r="Y31" s="103">
        <f t="shared" ref="Y31" si="744">X31</f>
        <v>83114</v>
      </c>
      <c r="Z31" s="103">
        <f>ROUND(Y31*(1+取值表!$D$6),0)</f>
        <v>87935</v>
      </c>
      <c r="AA31" s="103">
        <f t="shared" ref="AA31" si="745">Z31</f>
        <v>87935</v>
      </c>
      <c r="AB31" s="103">
        <f t="shared" ref="AB31" si="746">AA31</f>
        <v>87935</v>
      </c>
      <c r="AC31" s="103">
        <f t="shared" ref="AC31" si="747">AB31</f>
        <v>87935</v>
      </c>
      <c r="AD31" s="103">
        <f>ROUND(AC31*(1+取值表!$D$6),0)</f>
        <v>93035</v>
      </c>
      <c r="AE31" s="103">
        <f t="shared" ref="AE31" si="748">AD31</f>
        <v>93035</v>
      </c>
      <c r="AF31" s="103">
        <f t="shared" ref="AF31" si="749">AE31</f>
        <v>93035</v>
      </c>
      <c r="AG31" s="103">
        <f t="shared" ref="AG31" si="750">AF31</f>
        <v>93035</v>
      </c>
      <c r="AH31" s="103">
        <f>ROUND(AG31*(1+取值表!$D$6),0)</f>
        <v>98431</v>
      </c>
      <c r="AI31" s="103">
        <f t="shared" ref="AI31" si="751">AH31</f>
        <v>98431</v>
      </c>
      <c r="AJ31" s="103">
        <f t="shared" ref="AJ31" si="752">AI31</f>
        <v>98431</v>
      </c>
      <c r="AK31" s="103">
        <f t="shared" ref="AK31" si="753">AJ31</f>
        <v>98431</v>
      </c>
      <c r="AL31" s="103">
        <f>ROUND(AK31*(1+取值表!$D$6),0)</f>
        <v>104140</v>
      </c>
      <c r="AM31" s="103">
        <f t="shared" ref="AM31" si="754">AL31</f>
        <v>104140</v>
      </c>
      <c r="AN31" s="103">
        <f t="shared" ref="AN31" si="755">AM31</f>
        <v>104140</v>
      </c>
      <c r="AO31" s="103">
        <f t="shared" ref="AO31" si="756">AN31</f>
        <v>104140</v>
      </c>
      <c r="AP31" s="103">
        <f>ROUND(AO31*(1+取值表!$D$6),0)</f>
        <v>110180</v>
      </c>
      <c r="AQ31" s="103">
        <f t="shared" ref="AQ31" si="757">AP31</f>
        <v>110180</v>
      </c>
      <c r="AR31" s="103">
        <f t="shared" ref="AR31" si="758">AQ31</f>
        <v>110180</v>
      </c>
      <c r="AS31" s="103">
        <f t="shared" ref="AS31" si="759">AR31</f>
        <v>110180</v>
      </c>
      <c r="AT31" s="103">
        <f>ROUND(AS31*(1+取值表!$D$6),0)</f>
        <v>116570</v>
      </c>
      <c r="AU31" s="103">
        <f t="shared" ref="AU31" si="760">AT31</f>
        <v>116570</v>
      </c>
      <c r="AV31" s="103">
        <f t="shared" ref="AV31" si="761">AU31</f>
        <v>116570</v>
      </c>
      <c r="AW31" s="103">
        <f t="shared" ref="AW31" si="762">AV31</f>
        <v>116570</v>
      </c>
      <c r="AX31" s="103">
        <f>ROUND(AW31*(1+取值表!$D$6),0)</f>
        <v>123331</v>
      </c>
      <c r="AY31" s="103">
        <f t="shared" ref="AY31" si="763">AX31</f>
        <v>123331</v>
      </c>
      <c r="AZ31" s="103">
        <f t="shared" ref="AZ31" si="764">AY31</f>
        <v>123331</v>
      </c>
      <c r="BA31" s="103">
        <f t="shared" ref="BA31" si="765">AZ31</f>
        <v>123331</v>
      </c>
      <c r="BB31" s="103">
        <f>ROUND(BA31*(1+取值表!$D$6),0)</f>
        <v>130484</v>
      </c>
      <c r="BC31" s="103">
        <f t="shared" ref="BC31" si="766">BB31</f>
        <v>130484</v>
      </c>
      <c r="BD31" s="103">
        <f t="shared" ref="BD31" si="767">BC31</f>
        <v>130484</v>
      </c>
      <c r="BE31" s="103">
        <f t="shared" ref="BE31" si="768">BD31</f>
        <v>130484</v>
      </c>
      <c r="BF31" s="103">
        <f>ROUND(BE31*(1+取值表!$D$6),0)</f>
        <v>138052</v>
      </c>
      <c r="BG31" s="103">
        <f t="shared" ref="BG31" si="769">BF31</f>
        <v>138052</v>
      </c>
      <c r="BH31" s="103">
        <f t="shared" ref="BH31" si="770">BG31</f>
        <v>138052</v>
      </c>
      <c r="BI31" s="103">
        <f t="shared" ref="BI31" si="771">BH31</f>
        <v>138052</v>
      </c>
      <c r="BJ31" s="103">
        <f>ROUND(BI31*(1+取值表!$D$6),0)</f>
        <v>146059</v>
      </c>
      <c r="BK31" s="103">
        <f t="shared" ref="BK31" si="772">BJ31</f>
        <v>146059</v>
      </c>
      <c r="BL31" s="103">
        <f t="shared" ref="BL31" si="773">BK31</f>
        <v>146059</v>
      </c>
      <c r="BM31" s="103">
        <f t="shared" ref="BM31" si="774">BL31</f>
        <v>146059</v>
      </c>
      <c r="BN31" s="103">
        <f>ROUND(BM31*(1+取值表!$D$6),0)</f>
        <v>154530</v>
      </c>
      <c r="BO31" s="103">
        <f t="shared" ref="BO31" si="775">BN31</f>
        <v>154530</v>
      </c>
      <c r="BP31" s="103">
        <f t="shared" ref="BP31" si="776">BO31</f>
        <v>154530</v>
      </c>
      <c r="BQ31" s="103">
        <f t="shared" ref="BQ31" si="777">BP31</f>
        <v>154530</v>
      </c>
      <c r="BR31" s="103">
        <f>ROUND(BQ31*(1+取值表!$D$6),0)</f>
        <v>163493</v>
      </c>
      <c r="BS31" s="103">
        <f t="shared" ref="BS31" si="778">BR31</f>
        <v>163493</v>
      </c>
      <c r="BT31" s="103">
        <f t="shared" ref="BT31" si="779">BS31</f>
        <v>163493</v>
      </c>
      <c r="BU31" s="103">
        <f t="shared" ref="BU31" si="780">BT31</f>
        <v>163493</v>
      </c>
      <c r="BV31" s="103">
        <f>ROUND(BU31*(1+取值表!$D$6),0)</f>
        <v>172976</v>
      </c>
      <c r="BW31" s="103">
        <f t="shared" ref="BW31" si="781">BV31</f>
        <v>172976</v>
      </c>
      <c r="BX31" s="103">
        <f t="shared" ref="BX31" si="782">BW31</f>
        <v>172976</v>
      </c>
      <c r="BY31" s="103">
        <f t="shared" ref="BY31" si="783">BX31</f>
        <v>172976</v>
      </c>
      <c r="BZ31" s="103">
        <f>ROUND(BY31*(1+取值表!$D$6),0)</f>
        <v>183009</v>
      </c>
      <c r="CA31" s="103">
        <f t="shared" ref="CA31" si="784">BZ31</f>
        <v>183009</v>
      </c>
      <c r="CB31" s="103">
        <f t="shared" ref="CB31" si="785">CA31</f>
        <v>183009</v>
      </c>
      <c r="CC31" s="103">
        <f t="shared" ref="CC31" si="786">CB31</f>
        <v>183009</v>
      </c>
      <c r="CD31" s="103">
        <f>ROUND(CC31*(1+取值表!$D$6),0)</f>
        <v>193624</v>
      </c>
      <c r="CE31" s="103">
        <f t="shared" ref="CE31" si="787">CD31</f>
        <v>193624</v>
      </c>
      <c r="CF31" s="103">
        <f t="shared" ref="CF31" si="788">CE31</f>
        <v>193624</v>
      </c>
      <c r="CG31" s="103">
        <f t="shared" ref="CG31" si="789">CF31</f>
        <v>193624</v>
      </c>
      <c r="CH31" s="103">
        <f>ROUND(CG31*(1+取值表!$D$6),0)</f>
        <v>204854</v>
      </c>
      <c r="CI31" s="103">
        <f t="shared" ref="CI31" si="790">CH31</f>
        <v>204854</v>
      </c>
      <c r="CJ31" s="103">
        <f t="shared" ref="CJ31" si="791">CI31</f>
        <v>204854</v>
      </c>
      <c r="CK31" s="103">
        <f t="shared" ref="CK31" si="792">CJ31</f>
        <v>204854</v>
      </c>
      <c r="CL31" s="103">
        <f>ROUND(CK31*(1+取值表!$D$6),0)</f>
        <v>216736</v>
      </c>
      <c r="CM31" s="103">
        <f t="shared" ref="CM31" si="793">CL31</f>
        <v>216736</v>
      </c>
      <c r="CN31" s="103">
        <f t="shared" ref="CN31" si="794">CM31</f>
        <v>216736</v>
      </c>
      <c r="CO31" s="103">
        <f t="shared" ref="CO31" si="795">CN31</f>
        <v>216736</v>
      </c>
      <c r="CP31" s="103">
        <f t="shared" si="52"/>
        <v>10991772</v>
      </c>
    </row>
    <row r="32" spans="1:94">
      <c r="A32" s="546"/>
      <c r="B32" s="550"/>
      <c r="C32" s="548"/>
      <c r="D32" s="549"/>
      <c r="E32" s="547"/>
      <c r="F32" s="562"/>
      <c r="G32" s="562"/>
      <c r="H32" s="613"/>
      <c r="I32" s="99"/>
      <c r="J32" s="101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>
        <f>ROUND(AC32*(1+取值表!$E$6)*取值表!$I$6,0)</f>
        <v>0</v>
      </c>
      <c r="AE32" s="103"/>
      <c r="AF32" s="103"/>
      <c r="AG32" s="103"/>
      <c r="AH32" s="103">
        <f>ROUND(AG32*(1+取值表!$E$6)*取值表!$I$6,0)</f>
        <v>0</v>
      </c>
      <c r="AI32" s="103"/>
      <c r="AJ32" s="103"/>
      <c r="AK32" s="103"/>
      <c r="AL32" s="103">
        <f>ROUND(AK32*(1+取值表!$E$6)*取值表!$I$6,0)</f>
        <v>0</v>
      </c>
      <c r="AM32" s="103"/>
      <c r="AN32" s="103"/>
      <c r="AO32" s="103"/>
      <c r="AP32" s="103">
        <f>ROUND(AO32*(1+取值表!$E$6)*取值表!$I$6,0)</f>
        <v>0</v>
      </c>
      <c r="AQ32" s="103"/>
      <c r="AR32" s="103"/>
      <c r="AS32" s="103"/>
      <c r="AT32" s="103">
        <f>ROUND(AS32*(1+取值表!$E$6)*取值表!$I$6,0)</f>
        <v>0</v>
      </c>
      <c r="AU32" s="103"/>
      <c r="AV32" s="103"/>
      <c r="AW32" s="103"/>
      <c r="AX32" s="103">
        <f>ROUND(AW32*(1+取值表!$E$6)*取值表!$I$6,0)</f>
        <v>0</v>
      </c>
      <c r="AY32" s="103"/>
      <c r="AZ32" s="103"/>
      <c r="BA32" s="103"/>
      <c r="BB32" s="103">
        <f>ROUND(BA32*(1+取值表!$E$6)*取值表!$I$6,0)</f>
        <v>0</v>
      </c>
      <c r="BC32" s="103"/>
      <c r="BD32" s="103"/>
      <c r="BE32" s="103"/>
      <c r="BF32" s="103">
        <f>ROUND(BE32*(1+取值表!$E$6)*取值表!$I$6,0)</f>
        <v>0</v>
      </c>
      <c r="BG32" s="103"/>
      <c r="BH32" s="103"/>
      <c r="BI32" s="103"/>
      <c r="BJ32" s="103">
        <f>ROUND(BI32*(1+取值表!$E$6)*取值表!$I$6,0)</f>
        <v>0</v>
      </c>
      <c r="BK32" s="103"/>
      <c r="BL32" s="103"/>
      <c r="BM32" s="103"/>
      <c r="BN32" s="103">
        <f>ROUND(BM32*(1+取值表!$E$6)*取值表!$I$6,0)</f>
        <v>0</v>
      </c>
      <c r="BO32" s="103"/>
      <c r="BP32" s="103"/>
      <c r="BQ32" s="103"/>
      <c r="BR32" s="103">
        <f>ROUND(BQ32*(1+取值表!$E$6)*取值表!$I$6,0)</f>
        <v>0</v>
      </c>
      <c r="BS32" s="103"/>
      <c r="BT32" s="103"/>
      <c r="BU32" s="103"/>
      <c r="BV32" s="103">
        <f>ROUND(BU32*(1+取值表!$E$6)*取值表!$I$6,0)</f>
        <v>0</v>
      </c>
      <c r="BW32" s="103"/>
      <c r="BX32" s="103"/>
      <c r="BY32" s="103"/>
      <c r="BZ32" s="103">
        <f>ROUND(BY32*(1+取值表!$E$6)*取值表!$I$6,0)</f>
        <v>0</v>
      </c>
      <c r="CA32" s="103"/>
      <c r="CB32" s="103"/>
      <c r="CC32" s="103"/>
      <c r="CD32" s="103">
        <f>ROUND(CC32*(1+取值表!$E$6)*取值表!$I$6,0)</f>
        <v>0</v>
      </c>
      <c r="CE32" s="103"/>
      <c r="CF32" s="103"/>
      <c r="CG32" s="103"/>
      <c r="CH32" s="103">
        <f>ROUND(CG32*(1+取值表!$E$6)*取值表!$I$6,0)</f>
        <v>0</v>
      </c>
      <c r="CI32" s="103"/>
      <c r="CJ32" s="103"/>
      <c r="CK32" s="103"/>
      <c r="CL32" s="103">
        <f>ROUND(CK32*(1+取值表!$E$6)*取值表!$I$6,0)</f>
        <v>0</v>
      </c>
      <c r="CM32" s="103"/>
      <c r="CN32" s="103"/>
      <c r="CO32" s="103"/>
      <c r="CP32" s="103">
        <f t="shared" si="52"/>
        <v>0</v>
      </c>
    </row>
    <row r="33" spans="1:95">
      <c r="A33" s="546">
        <v>16</v>
      </c>
      <c r="B33" s="550" t="s">
        <v>1080</v>
      </c>
      <c r="C33" s="548" t="s">
        <v>1081</v>
      </c>
      <c r="D33" s="549" t="s">
        <v>426</v>
      </c>
      <c r="E33" s="547" t="s">
        <v>418</v>
      </c>
      <c r="F33" s="562">
        <v>24.39</v>
      </c>
      <c r="G33" s="562">
        <v>33</v>
      </c>
      <c r="H33" s="613">
        <f>F33*G33*365</f>
        <v>293777.55</v>
      </c>
      <c r="I33" s="99">
        <v>75669.98</v>
      </c>
      <c r="J33" s="101">
        <f>ROUND(24481.46*3,0)</f>
        <v>73444</v>
      </c>
      <c r="K33" s="103">
        <f t="shared" ref="K33:Q33" si="796">J33</f>
        <v>73444</v>
      </c>
      <c r="L33" s="103">
        <f t="shared" si="796"/>
        <v>73444</v>
      </c>
      <c r="M33" s="103">
        <f t="shared" si="796"/>
        <v>73444</v>
      </c>
      <c r="N33" s="103">
        <f t="shared" si="796"/>
        <v>73444</v>
      </c>
      <c r="O33" s="102">
        <f t="shared" si="796"/>
        <v>73444</v>
      </c>
      <c r="P33" s="103">
        <f t="shared" si="796"/>
        <v>73444</v>
      </c>
      <c r="Q33" s="103">
        <f t="shared" si="796"/>
        <v>73444</v>
      </c>
      <c r="R33" s="103">
        <f>ROUND(Q33*(1+取值表!$D$6)*取值表!$I$6,0)</f>
        <v>73119</v>
      </c>
      <c r="S33" s="103">
        <f>R33</f>
        <v>73119</v>
      </c>
      <c r="T33" s="103">
        <f>S33</f>
        <v>73119</v>
      </c>
      <c r="U33" s="103">
        <f>T33</f>
        <v>73119</v>
      </c>
      <c r="V33" s="278">
        <f>ROUND(U33*(1+取值表!$D$6),0)</f>
        <v>77360</v>
      </c>
      <c r="W33" s="103">
        <f t="shared" ref="W33:Y33" si="797">V33</f>
        <v>77360</v>
      </c>
      <c r="X33" s="103">
        <f t="shared" si="797"/>
        <v>77360</v>
      </c>
      <c r="Y33" s="103">
        <f t="shared" si="797"/>
        <v>77360</v>
      </c>
      <c r="Z33" s="103">
        <f>ROUND(Y33*(1+取值表!$D$6),0)</f>
        <v>81847</v>
      </c>
      <c r="AA33" s="103">
        <f t="shared" ref="AA33" si="798">Z33</f>
        <v>81847</v>
      </c>
      <c r="AB33" s="103">
        <f t="shared" ref="AB33" si="799">AA33</f>
        <v>81847</v>
      </c>
      <c r="AC33" s="103">
        <f t="shared" ref="AC33" si="800">AB33</f>
        <v>81847</v>
      </c>
      <c r="AD33" s="103">
        <f>ROUND(AC33*(1+取值表!$D$6),0)</f>
        <v>86594</v>
      </c>
      <c r="AE33" s="103">
        <f t="shared" ref="AE33" si="801">AD33</f>
        <v>86594</v>
      </c>
      <c r="AF33" s="103">
        <f t="shared" ref="AF33" si="802">AE33</f>
        <v>86594</v>
      </c>
      <c r="AG33" s="103">
        <f t="shared" ref="AG33" si="803">AF33</f>
        <v>86594</v>
      </c>
      <c r="AH33" s="103">
        <f>ROUND(AG33*(1+取值表!$D$6),0)</f>
        <v>91616</v>
      </c>
      <c r="AI33" s="103">
        <f t="shared" ref="AI33" si="804">AH33</f>
        <v>91616</v>
      </c>
      <c r="AJ33" s="103">
        <f t="shared" ref="AJ33" si="805">AI33</f>
        <v>91616</v>
      </c>
      <c r="AK33" s="103">
        <f t="shared" ref="AK33" si="806">AJ33</f>
        <v>91616</v>
      </c>
      <c r="AL33" s="103">
        <f>ROUND(AK33*(1+取值表!$D$6),0)</f>
        <v>96930</v>
      </c>
      <c r="AM33" s="103">
        <f t="shared" ref="AM33" si="807">AL33</f>
        <v>96930</v>
      </c>
      <c r="AN33" s="103">
        <f t="shared" ref="AN33" si="808">AM33</f>
        <v>96930</v>
      </c>
      <c r="AO33" s="103">
        <f t="shared" ref="AO33" si="809">AN33</f>
        <v>96930</v>
      </c>
      <c r="AP33" s="103">
        <f>ROUND(AO33*(1+取值表!$D$6),0)</f>
        <v>102552</v>
      </c>
      <c r="AQ33" s="103">
        <f t="shared" ref="AQ33" si="810">AP33</f>
        <v>102552</v>
      </c>
      <c r="AR33" s="103">
        <f t="shared" ref="AR33" si="811">AQ33</f>
        <v>102552</v>
      </c>
      <c r="AS33" s="103">
        <f t="shared" ref="AS33" si="812">AR33</f>
        <v>102552</v>
      </c>
      <c r="AT33" s="103">
        <f>ROUND(AS33*(1+取值表!$D$6),0)</f>
        <v>108500</v>
      </c>
      <c r="AU33" s="103">
        <f t="shared" ref="AU33" si="813">AT33</f>
        <v>108500</v>
      </c>
      <c r="AV33" s="103">
        <f t="shared" ref="AV33" si="814">AU33</f>
        <v>108500</v>
      </c>
      <c r="AW33" s="103">
        <f t="shared" ref="AW33" si="815">AV33</f>
        <v>108500</v>
      </c>
      <c r="AX33" s="103">
        <f>ROUND(AW33*(1+取值表!$D$6),0)</f>
        <v>114793</v>
      </c>
      <c r="AY33" s="103">
        <f t="shared" ref="AY33" si="816">AX33</f>
        <v>114793</v>
      </c>
      <c r="AZ33" s="103">
        <f t="shared" ref="AZ33" si="817">AY33</f>
        <v>114793</v>
      </c>
      <c r="BA33" s="103">
        <f t="shared" ref="BA33" si="818">AZ33</f>
        <v>114793</v>
      </c>
      <c r="BB33" s="103">
        <f>ROUND(BA33*(1+取值表!$D$6),0)</f>
        <v>121451</v>
      </c>
      <c r="BC33" s="103">
        <f t="shared" ref="BC33" si="819">BB33</f>
        <v>121451</v>
      </c>
      <c r="BD33" s="103">
        <f t="shared" ref="BD33" si="820">BC33</f>
        <v>121451</v>
      </c>
      <c r="BE33" s="103">
        <f t="shared" ref="BE33" si="821">BD33</f>
        <v>121451</v>
      </c>
      <c r="BF33" s="103">
        <f>ROUND(BE33*(1+取值表!$D$6),0)</f>
        <v>128495</v>
      </c>
      <c r="BG33" s="103">
        <f t="shared" ref="BG33" si="822">BF33</f>
        <v>128495</v>
      </c>
      <c r="BH33" s="103">
        <f t="shared" ref="BH33" si="823">BG33</f>
        <v>128495</v>
      </c>
      <c r="BI33" s="103">
        <f t="shared" ref="BI33" si="824">BH33</f>
        <v>128495</v>
      </c>
      <c r="BJ33" s="103">
        <f>ROUND(BI33*(1+取值表!$D$6),0)</f>
        <v>135948</v>
      </c>
      <c r="BK33" s="103">
        <f t="shared" ref="BK33" si="825">BJ33</f>
        <v>135948</v>
      </c>
      <c r="BL33" s="103">
        <f t="shared" ref="BL33" si="826">BK33</f>
        <v>135948</v>
      </c>
      <c r="BM33" s="103">
        <f t="shared" ref="BM33" si="827">BL33</f>
        <v>135948</v>
      </c>
      <c r="BN33" s="103">
        <f>ROUND(BM33*(1+取值表!$D$6),0)</f>
        <v>143833</v>
      </c>
      <c r="BO33" s="103">
        <f t="shared" ref="BO33" si="828">BN33</f>
        <v>143833</v>
      </c>
      <c r="BP33" s="103">
        <f t="shared" ref="BP33" si="829">BO33</f>
        <v>143833</v>
      </c>
      <c r="BQ33" s="103">
        <f t="shared" ref="BQ33" si="830">BP33</f>
        <v>143833</v>
      </c>
      <c r="BR33" s="103">
        <f>ROUND(BQ33*(1+取值表!$D$6),0)</f>
        <v>152175</v>
      </c>
      <c r="BS33" s="103">
        <f t="shared" ref="BS33" si="831">BR33</f>
        <v>152175</v>
      </c>
      <c r="BT33" s="103">
        <f t="shared" ref="BT33" si="832">BS33</f>
        <v>152175</v>
      </c>
      <c r="BU33" s="103">
        <f t="shared" ref="BU33" si="833">BT33</f>
        <v>152175</v>
      </c>
      <c r="BV33" s="103">
        <f>ROUND(BU33*(1+取值表!$D$6),0)</f>
        <v>161001</v>
      </c>
      <c r="BW33" s="103">
        <f t="shared" ref="BW33" si="834">BV33</f>
        <v>161001</v>
      </c>
      <c r="BX33" s="103">
        <f t="shared" ref="BX33" si="835">BW33</f>
        <v>161001</v>
      </c>
      <c r="BY33" s="103">
        <f t="shared" ref="BY33" si="836">BX33</f>
        <v>161001</v>
      </c>
      <c r="BZ33" s="103">
        <f>ROUND(BY33*(1+取值表!$D$6),0)</f>
        <v>170339</v>
      </c>
      <c r="CA33" s="103">
        <f t="shared" ref="CA33" si="837">BZ33</f>
        <v>170339</v>
      </c>
      <c r="CB33" s="103">
        <f t="shared" ref="CB33" si="838">CA33</f>
        <v>170339</v>
      </c>
      <c r="CC33" s="103">
        <f t="shared" ref="CC33" si="839">CB33</f>
        <v>170339</v>
      </c>
      <c r="CD33" s="103">
        <f>ROUND(CC33*(1+取值表!$D$6),0)</f>
        <v>180219</v>
      </c>
      <c r="CE33" s="103">
        <f t="shared" ref="CE33" si="840">CD33</f>
        <v>180219</v>
      </c>
      <c r="CF33" s="103">
        <f t="shared" ref="CF33" si="841">CE33</f>
        <v>180219</v>
      </c>
      <c r="CG33" s="103">
        <f t="shared" ref="CG33" si="842">CF33</f>
        <v>180219</v>
      </c>
      <c r="CH33" s="103">
        <f>ROUND(CG33*(1+取值表!$D$6),0)</f>
        <v>190672</v>
      </c>
      <c r="CI33" s="103">
        <f t="shared" ref="CI33" si="843">CH33</f>
        <v>190672</v>
      </c>
      <c r="CJ33" s="103">
        <f t="shared" ref="CJ33" si="844">CI33</f>
        <v>190672</v>
      </c>
      <c r="CK33" s="103">
        <f t="shared" ref="CK33" si="845">CJ33</f>
        <v>190672</v>
      </c>
      <c r="CL33" s="103">
        <f>ROUND(CK33*(1+取值表!$D$6),0)</f>
        <v>201731</v>
      </c>
      <c r="CM33" s="103">
        <f t="shared" ref="CM33" si="846">CL33</f>
        <v>201731</v>
      </c>
      <c r="CN33" s="103">
        <f t="shared" ref="CN33" si="847">CM33</f>
        <v>201731</v>
      </c>
      <c r="CO33" s="103">
        <f t="shared" ref="CO33" si="848">CN33</f>
        <v>201731</v>
      </c>
      <c r="CP33" s="103">
        <f t="shared" si="52"/>
        <v>10264252</v>
      </c>
    </row>
    <row r="34" spans="1:95">
      <c r="A34" s="546"/>
      <c r="B34" s="550"/>
      <c r="C34" s="548"/>
      <c r="D34" s="549"/>
      <c r="E34" s="547"/>
      <c r="F34" s="562"/>
      <c r="G34" s="562"/>
      <c r="H34" s="613"/>
      <c r="I34" s="99"/>
      <c r="J34" s="101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>
        <f>ROUND(AC34*(1+取值表!$E$6)*取值表!$I$6,0)</f>
        <v>0</v>
      </c>
      <c r="AE34" s="103"/>
      <c r="AF34" s="103"/>
      <c r="AG34" s="103"/>
      <c r="AH34" s="103">
        <f>ROUND(AG34*(1+取值表!$E$6)*取值表!$I$6,0)</f>
        <v>0</v>
      </c>
      <c r="AI34" s="103"/>
      <c r="AJ34" s="103"/>
      <c r="AK34" s="103"/>
      <c r="AL34" s="103">
        <f>ROUND(AK34*(1+取值表!$E$6)*取值表!$I$6,0)</f>
        <v>0</v>
      </c>
      <c r="AM34" s="103"/>
      <c r="AN34" s="103"/>
      <c r="AO34" s="103"/>
      <c r="AP34" s="103">
        <f>ROUND(AO34*(1+取值表!$E$6)*取值表!$I$6,0)</f>
        <v>0</v>
      </c>
      <c r="AQ34" s="103"/>
      <c r="AR34" s="103"/>
      <c r="AS34" s="103"/>
      <c r="AT34" s="103">
        <f>ROUND(AS34*(1+取值表!$E$6)*取值表!$I$6,0)</f>
        <v>0</v>
      </c>
      <c r="AU34" s="103"/>
      <c r="AV34" s="103"/>
      <c r="AW34" s="103"/>
      <c r="AX34" s="103">
        <f>ROUND(AW34*(1+取值表!$E$6)*取值表!$I$6,0)</f>
        <v>0</v>
      </c>
      <c r="AY34" s="103"/>
      <c r="AZ34" s="103"/>
      <c r="BA34" s="103"/>
      <c r="BB34" s="103">
        <f>ROUND(BA34*(1+取值表!$E$6)*取值表!$I$6,0)</f>
        <v>0</v>
      </c>
      <c r="BC34" s="103"/>
      <c r="BD34" s="103"/>
      <c r="BE34" s="103"/>
      <c r="BF34" s="103">
        <f>ROUND(BE34*(1+取值表!$E$6)*取值表!$I$6,0)</f>
        <v>0</v>
      </c>
      <c r="BG34" s="103"/>
      <c r="BH34" s="103"/>
      <c r="BI34" s="103"/>
      <c r="BJ34" s="103">
        <f>ROUND(BI34*(1+取值表!$E$6)*取值表!$I$6,0)</f>
        <v>0</v>
      </c>
      <c r="BK34" s="103"/>
      <c r="BL34" s="103"/>
      <c r="BM34" s="103"/>
      <c r="BN34" s="103">
        <f>ROUND(BM34*(1+取值表!$E$6)*取值表!$I$6,0)</f>
        <v>0</v>
      </c>
      <c r="BO34" s="103"/>
      <c r="BP34" s="103"/>
      <c r="BQ34" s="103"/>
      <c r="BR34" s="103">
        <f>ROUND(BQ34*(1+取值表!$E$6)*取值表!$I$6,0)</f>
        <v>0</v>
      </c>
      <c r="BS34" s="103"/>
      <c r="BT34" s="103"/>
      <c r="BU34" s="103"/>
      <c r="BV34" s="103">
        <f>ROUND(BU34*(1+取值表!$E$6)*取值表!$I$6,0)</f>
        <v>0</v>
      </c>
      <c r="BW34" s="103"/>
      <c r="BX34" s="103"/>
      <c r="BY34" s="103"/>
      <c r="BZ34" s="103">
        <f>ROUND(BY34*(1+取值表!$E$6)*取值表!$I$6,0)</f>
        <v>0</v>
      </c>
      <c r="CA34" s="103"/>
      <c r="CB34" s="103"/>
      <c r="CC34" s="103"/>
      <c r="CD34" s="103">
        <f>ROUND(CC34*(1+取值表!$E$6)*取值表!$I$6,0)</f>
        <v>0</v>
      </c>
      <c r="CE34" s="103"/>
      <c r="CF34" s="103"/>
      <c r="CG34" s="103"/>
      <c r="CH34" s="103">
        <f>ROUND(CG34*(1+取值表!$E$6)*取值表!$I$6,0)</f>
        <v>0</v>
      </c>
      <c r="CI34" s="103"/>
      <c r="CJ34" s="103"/>
      <c r="CK34" s="103"/>
      <c r="CL34" s="103">
        <f>ROUND(CK34*(1+取值表!$E$6)*取值表!$I$6,0)</f>
        <v>0</v>
      </c>
      <c r="CM34" s="103"/>
      <c r="CN34" s="103"/>
      <c r="CO34" s="103"/>
      <c r="CP34" s="103">
        <f t="shared" si="52"/>
        <v>0</v>
      </c>
    </row>
    <row r="35" spans="1:95" ht="12" customHeight="1">
      <c r="A35" s="546">
        <v>17</v>
      </c>
      <c r="B35" s="550" t="s">
        <v>1082</v>
      </c>
      <c r="C35" s="548" t="s">
        <v>1083</v>
      </c>
      <c r="D35" s="549" t="s">
        <v>427</v>
      </c>
      <c r="E35" s="547" t="s">
        <v>418</v>
      </c>
      <c r="F35" s="562">
        <v>25.62</v>
      </c>
      <c r="G35" s="562">
        <v>39</v>
      </c>
      <c r="H35" s="613">
        <f>F35*G35*365</f>
        <v>364700.7</v>
      </c>
      <c r="I35" s="99">
        <v>84161.7</v>
      </c>
      <c r="J35" s="101">
        <f>ROUND(30391.73*3,0)</f>
        <v>91175</v>
      </c>
      <c r="K35" s="102">
        <f>J35</f>
        <v>91175</v>
      </c>
      <c r="L35" s="103">
        <f>K35</f>
        <v>91175</v>
      </c>
      <c r="M35" s="103">
        <f>L35</f>
        <v>91175</v>
      </c>
      <c r="N35" s="103">
        <f>ROUND(M35*(1+取值表!$D$6)*取值表!$I$6,0)</f>
        <v>90772</v>
      </c>
      <c r="O35" s="103">
        <f>N35</f>
        <v>90772</v>
      </c>
      <c r="P35" s="103">
        <f>O35</f>
        <v>90772</v>
      </c>
      <c r="Q35" s="103">
        <f>P35</f>
        <v>90772</v>
      </c>
      <c r="R35" s="278">
        <f>ROUND(Q35*(1+取值表!$D$6),0)</f>
        <v>96037</v>
      </c>
      <c r="S35" s="103">
        <f t="shared" ref="S35:U35" si="849">R35</f>
        <v>96037</v>
      </c>
      <c r="T35" s="103">
        <f t="shared" si="849"/>
        <v>96037</v>
      </c>
      <c r="U35" s="103">
        <f t="shared" si="849"/>
        <v>96037</v>
      </c>
      <c r="V35" s="103">
        <f>ROUND(U35*(1+取值表!$D$6),0)</f>
        <v>101607</v>
      </c>
      <c r="W35" s="103">
        <f t="shared" ref="W35" si="850">V35</f>
        <v>101607</v>
      </c>
      <c r="X35" s="103">
        <f t="shared" ref="X35" si="851">W35</f>
        <v>101607</v>
      </c>
      <c r="Y35" s="103">
        <f t="shared" ref="Y35" si="852">X35</f>
        <v>101607</v>
      </c>
      <c r="Z35" s="103">
        <f>ROUND(Y35*(1+取值表!$D$6),0)</f>
        <v>107500</v>
      </c>
      <c r="AA35" s="103">
        <f t="shared" ref="AA35" si="853">Z35</f>
        <v>107500</v>
      </c>
      <c r="AB35" s="103">
        <f t="shared" ref="AB35" si="854">AA35</f>
        <v>107500</v>
      </c>
      <c r="AC35" s="103">
        <f t="shared" ref="AC35" si="855">AB35</f>
        <v>107500</v>
      </c>
      <c r="AD35" s="103">
        <f>ROUND(AC35*(1+取值表!$D$6),0)</f>
        <v>113735</v>
      </c>
      <c r="AE35" s="103">
        <f t="shared" ref="AE35" si="856">AD35</f>
        <v>113735</v>
      </c>
      <c r="AF35" s="103">
        <f t="shared" ref="AF35" si="857">AE35</f>
        <v>113735</v>
      </c>
      <c r="AG35" s="103">
        <f t="shared" ref="AG35" si="858">AF35</f>
        <v>113735</v>
      </c>
      <c r="AH35" s="103">
        <f>ROUND(AG35*(1+取值表!$D$6),0)</f>
        <v>120332</v>
      </c>
      <c r="AI35" s="103">
        <f t="shared" ref="AI35" si="859">AH35</f>
        <v>120332</v>
      </c>
      <c r="AJ35" s="103">
        <f t="shared" ref="AJ35" si="860">AI35</f>
        <v>120332</v>
      </c>
      <c r="AK35" s="103">
        <f t="shared" ref="AK35" si="861">AJ35</f>
        <v>120332</v>
      </c>
      <c r="AL35" s="103">
        <f>ROUND(AK35*(1+取值表!$D$6),0)</f>
        <v>127311</v>
      </c>
      <c r="AM35" s="103">
        <f t="shared" ref="AM35" si="862">AL35</f>
        <v>127311</v>
      </c>
      <c r="AN35" s="103">
        <f t="shared" ref="AN35" si="863">AM35</f>
        <v>127311</v>
      </c>
      <c r="AO35" s="103">
        <f t="shared" ref="AO35" si="864">AN35</f>
        <v>127311</v>
      </c>
      <c r="AP35" s="103">
        <f>ROUND(AO35*(1+取值表!$D$6),0)</f>
        <v>134695</v>
      </c>
      <c r="AQ35" s="103">
        <f t="shared" ref="AQ35" si="865">AP35</f>
        <v>134695</v>
      </c>
      <c r="AR35" s="103">
        <f t="shared" ref="AR35" si="866">AQ35</f>
        <v>134695</v>
      </c>
      <c r="AS35" s="103">
        <f t="shared" ref="AS35" si="867">AR35</f>
        <v>134695</v>
      </c>
      <c r="AT35" s="103">
        <f>ROUND(AS35*(1+取值表!$D$6),0)</f>
        <v>142507</v>
      </c>
      <c r="AU35" s="103">
        <f t="shared" ref="AU35" si="868">AT35</f>
        <v>142507</v>
      </c>
      <c r="AV35" s="103">
        <f t="shared" ref="AV35" si="869">AU35</f>
        <v>142507</v>
      </c>
      <c r="AW35" s="103">
        <f t="shared" ref="AW35" si="870">AV35</f>
        <v>142507</v>
      </c>
      <c r="AX35" s="103">
        <f>ROUND(AW35*(1+取值表!$D$6),0)</f>
        <v>150772</v>
      </c>
      <c r="AY35" s="103">
        <f t="shared" ref="AY35" si="871">AX35</f>
        <v>150772</v>
      </c>
      <c r="AZ35" s="103">
        <f t="shared" ref="AZ35" si="872">AY35</f>
        <v>150772</v>
      </c>
      <c r="BA35" s="103">
        <f t="shared" ref="BA35" si="873">AZ35</f>
        <v>150772</v>
      </c>
      <c r="BB35" s="103">
        <f>ROUND(BA35*(1+取值表!$D$6),0)</f>
        <v>159517</v>
      </c>
      <c r="BC35" s="103">
        <f t="shared" ref="BC35" si="874">BB35</f>
        <v>159517</v>
      </c>
      <c r="BD35" s="103">
        <f t="shared" ref="BD35" si="875">BC35</f>
        <v>159517</v>
      </c>
      <c r="BE35" s="103">
        <f t="shared" ref="BE35" si="876">BD35</f>
        <v>159517</v>
      </c>
      <c r="BF35" s="103">
        <f>ROUND(BE35*(1+取值表!$D$6),0)</f>
        <v>168769</v>
      </c>
      <c r="BG35" s="103">
        <f t="shared" ref="BG35" si="877">BF35</f>
        <v>168769</v>
      </c>
      <c r="BH35" s="103">
        <f t="shared" ref="BH35" si="878">BG35</f>
        <v>168769</v>
      </c>
      <c r="BI35" s="103">
        <f t="shared" ref="BI35" si="879">BH35</f>
        <v>168769</v>
      </c>
      <c r="BJ35" s="103">
        <f>ROUND(BI35*(1+取值表!$D$6),0)</f>
        <v>178558</v>
      </c>
      <c r="BK35" s="103">
        <f t="shared" ref="BK35" si="880">BJ35</f>
        <v>178558</v>
      </c>
      <c r="BL35" s="103">
        <f t="shared" ref="BL35" si="881">BK35</f>
        <v>178558</v>
      </c>
      <c r="BM35" s="103">
        <f t="shared" ref="BM35" si="882">BL35</f>
        <v>178558</v>
      </c>
      <c r="BN35" s="103">
        <f>ROUND(BM35*(1+取值表!$D$6),0)</f>
        <v>188914</v>
      </c>
      <c r="BO35" s="103">
        <f t="shared" ref="BO35" si="883">BN35</f>
        <v>188914</v>
      </c>
      <c r="BP35" s="103">
        <f t="shared" ref="BP35" si="884">BO35</f>
        <v>188914</v>
      </c>
      <c r="BQ35" s="103">
        <f t="shared" ref="BQ35" si="885">BP35</f>
        <v>188914</v>
      </c>
      <c r="BR35" s="103">
        <f>ROUND(BQ35*(1+取值表!$D$6),0)</f>
        <v>199871</v>
      </c>
      <c r="BS35" s="103">
        <f t="shared" ref="BS35" si="886">BR35</f>
        <v>199871</v>
      </c>
      <c r="BT35" s="103">
        <f t="shared" ref="BT35" si="887">BS35</f>
        <v>199871</v>
      </c>
      <c r="BU35" s="103">
        <f t="shared" ref="BU35" si="888">BT35</f>
        <v>199871</v>
      </c>
      <c r="BV35" s="103">
        <f>ROUND(BU35*(1+取值表!$D$6),0)</f>
        <v>211464</v>
      </c>
      <c r="BW35" s="103">
        <f t="shared" ref="BW35" si="889">BV35</f>
        <v>211464</v>
      </c>
      <c r="BX35" s="103">
        <f t="shared" ref="BX35" si="890">BW35</f>
        <v>211464</v>
      </c>
      <c r="BY35" s="103">
        <f t="shared" ref="BY35" si="891">BX35</f>
        <v>211464</v>
      </c>
      <c r="BZ35" s="103">
        <f>ROUND(BY35*(1+取值表!$D$6),0)</f>
        <v>223729</v>
      </c>
      <c r="CA35" s="103">
        <f t="shared" ref="CA35" si="892">BZ35</f>
        <v>223729</v>
      </c>
      <c r="CB35" s="103">
        <f t="shared" ref="CB35" si="893">CA35</f>
        <v>223729</v>
      </c>
      <c r="CC35" s="103">
        <f t="shared" ref="CC35" si="894">CB35</f>
        <v>223729</v>
      </c>
      <c r="CD35" s="103">
        <f>ROUND(CC35*(1+取值表!$D$6),0)</f>
        <v>236705</v>
      </c>
      <c r="CE35" s="103">
        <f t="shared" ref="CE35" si="895">CD35</f>
        <v>236705</v>
      </c>
      <c r="CF35" s="103">
        <f t="shared" ref="CF35" si="896">CE35</f>
        <v>236705</v>
      </c>
      <c r="CG35" s="103">
        <f t="shared" ref="CG35" si="897">CF35</f>
        <v>236705</v>
      </c>
      <c r="CH35" s="103">
        <f>ROUND(CG35*(1+取值表!$D$6),0)</f>
        <v>250434</v>
      </c>
      <c r="CI35" s="103">
        <f t="shared" ref="CI35" si="898">CH35</f>
        <v>250434</v>
      </c>
      <c r="CJ35" s="103">
        <f t="shared" ref="CJ35" si="899">CI35</f>
        <v>250434</v>
      </c>
      <c r="CK35" s="103">
        <f t="shared" ref="CK35" si="900">CJ35</f>
        <v>250434</v>
      </c>
      <c r="CL35" s="103">
        <f>ROUND(CK35*(1+取值表!$D$6),0)</f>
        <v>264959</v>
      </c>
      <c r="CM35" s="103">
        <f t="shared" ref="CM35" si="901">CL35</f>
        <v>264959</v>
      </c>
      <c r="CN35" s="103">
        <f t="shared" ref="CN35" si="902">CM35</f>
        <v>264959</v>
      </c>
      <c r="CO35" s="103">
        <f t="shared" ref="CO35" si="903">CN35</f>
        <v>264959</v>
      </c>
      <c r="CP35" s="103">
        <f t="shared" ref="CP35:CP66" si="904">SUM(J35:CO35)</f>
        <v>13437452</v>
      </c>
    </row>
    <row r="36" spans="1:95">
      <c r="A36" s="546"/>
      <c r="B36" s="550"/>
      <c r="C36" s="548"/>
      <c r="D36" s="549"/>
      <c r="E36" s="547"/>
      <c r="F36" s="562"/>
      <c r="G36" s="562"/>
      <c r="H36" s="613"/>
      <c r="I36" s="99"/>
      <c r="J36" s="101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>
        <f t="shared" si="904"/>
        <v>0</v>
      </c>
    </row>
    <row r="37" spans="1:95">
      <c r="A37" s="546">
        <v>18</v>
      </c>
      <c r="B37" s="550" t="s">
        <v>1084</v>
      </c>
      <c r="C37" s="548" t="s">
        <v>1085</v>
      </c>
      <c r="D37" s="549" t="s">
        <v>428</v>
      </c>
      <c r="E37" s="547" t="s">
        <v>418</v>
      </c>
      <c r="F37" s="562">
        <v>101.84</v>
      </c>
      <c r="G37" s="562">
        <f>AVERAGE(23)</f>
        <v>23</v>
      </c>
      <c r="H37" s="613">
        <f>F37*G37*365</f>
        <v>854946.8</v>
      </c>
      <c r="I37" s="99">
        <v>209090.25</v>
      </c>
      <c r="J37" s="101">
        <f>ROUND(G37*365*F37/4,0)</f>
        <v>213737</v>
      </c>
      <c r="K37" s="103">
        <f>J37</f>
        <v>213737</v>
      </c>
      <c r="L37" s="103">
        <f>K37</f>
        <v>213737</v>
      </c>
      <c r="M37" s="102">
        <f>L37</f>
        <v>213737</v>
      </c>
      <c r="N37" s="103">
        <f>ROUND(M37*(1+取值表!$D$6)*取值表!$I$6,0)</f>
        <v>212792</v>
      </c>
      <c r="O37" s="103">
        <f>N37</f>
        <v>212792</v>
      </c>
      <c r="P37" s="103">
        <f>O37</f>
        <v>212792</v>
      </c>
      <c r="Q37" s="103">
        <f>P37</f>
        <v>212792</v>
      </c>
      <c r="R37" s="278">
        <f>ROUND(Q37*(1+取值表!$D$6),0)</f>
        <v>225134</v>
      </c>
      <c r="S37" s="103">
        <f>R37</f>
        <v>225134</v>
      </c>
      <c r="T37" s="103">
        <f>S37</f>
        <v>225134</v>
      </c>
      <c r="U37" s="103">
        <f>T37</f>
        <v>225134</v>
      </c>
      <c r="V37" s="103">
        <f>ROUND(U37*(1+取值表!$D$6),0)</f>
        <v>238192</v>
      </c>
      <c r="W37" s="103">
        <f t="shared" ref="W37:Y37" si="905">V37</f>
        <v>238192</v>
      </c>
      <c r="X37" s="103">
        <f t="shared" si="905"/>
        <v>238192</v>
      </c>
      <c r="Y37" s="103">
        <f t="shared" si="905"/>
        <v>238192</v>
      </c>
      <c r="Z37" s="103">
        <f>ROUND(Y37*(1+取值表!$D$6),0)</f>
        <v>252007</v>
      </c>
      <c r="AA37" s="103">
        <f t="shared" ref="AA37:AC37" si="906">Z37</f>
        <v>252007</v>
      </c>
      <c r="AB37" s="103">
        <f t="shared" si="906"/>
        <v>252007</v>
      </c>
      <c r="AC37" s="103">
        <f t="shared" si="906"/>
        <v>252007</v>
      </c>
      <c r="AD37" s="103">
        <f>ROUND(AC37*(1+取值表!$D$6),0)</f>
        <v>266623</v>
      </c>
      <c r="AE37" s="103">
        <f t="shared" ref="AE37:AG37" si="907">AD37</f>
        <v>266623</v>
      </c>
      <c r="AF37" s="103">
        <f t="shared" si="907"/>
        <v>266623</v>
      </c>
      <c r="AG37" s="103">
        <f t="shared" si="907"/>
        <v>266623</v>
      </c>
      <c r="AH37" s="103">
        <f>ROUND(AG37*(1+取值表!$D$6),0)</f>
        <v>282087</v>
      </c>
      <c r="AI37" s="103">
        <f t="shared" ref="AI37:AK37" si="908">AH37</f>
        <v>282087</v>
      </c>
      <c r="AJ37" s="103">
        <f t="shared" si="908"/>
        <v>282087</v>
      </c>
      <c r="AK37" s="103">
        <f t="shared" si="908"/>
        <v>282087</v>
      </c>
      <c r="AL37" s="103">
        <f>ROUND(AK37*(1+取值表!$D$6),0)</f>
        <v>298448</v>
      </c>
      <c r="AM37" s="103">
        <f t="shared" ref="AM37:AO37" si="909">AL37</f>
        <v>298448</v>
      </c>
      <c r="AN37" s="103">
        <f t="shared" si="909"/>
        <v>298448</v>
      </c>
      <c r="AO37" s="103">
        <f t="shared" si="909"/>
        <v>298448</v>
      </c>
      <c r="AP37" s="103">
        <f>ROUND(AO37*(1+取值表!$D$6),0)</f>
        <v>315758</v>
      </c>
      <c r="AQ37" s="103">
        <f t="shared" ref="AQ37:AS37" si="910">AP37</f>
        <v>315758</v>
      </c>
      <c r="AR37" s="103">
        <f t="shared" si="910"/>
        <v>315758</v>
      </c>
      <c r="AS37" s="103">
        <f t="shared" si="910"/>
        <v>315758</v>
      </c>
      <c r="AT37" s="103">
        <f>ROUND(AS37*(1+取值表!$D$6),0)</f>
        <v>334072</v>
      </c>
      <c r="AU37" s="103">
        <f t="shared" ref="AU37:AW37" si="911">AT37</f>
        <v>334072</v>
      </c>
      <c r="AV37" s="103">
        <f t="shared" si="911"/>
        <v>334072</v>
      </c>
      <c r="AW37" s="103">
        <f t="shared" si="911"/>
        <v>334072</v>
      </c>
      <c r="AX37" s="103">
        <f>ROUND(AW37*(1+取值表!$D$6),0)</f>
        <v>353448</v>
      </c>
      <c r="AY37" s="103">
        <f t="shared" ref="AY37:BA37" si="912">AX37</f>
        <v>353448</v>
      </c>
      <c r="AZ37" s="103">
        <f t="shared" si="912"/>
        <v>353448</v>
      </c>
      <c r="BA37" s="103">
        <f t="shared" si="912"/>
        <v>353448</v>
      </c>
      <c r="BB37" s="103">
        <f>ROUND(BA37*(1+取值表!$D$6),0)</f>
        <v>373948</v>
      </c>
      <c r="BC37" s="103">
        <f t="shared" ref="BC37:BE37" si="913">BB37</f>
        <v>373948</v>
      </c>
      <c r="BD37" s="103">
        <f t="shared" si="913"/>
        <v>373948</v>
      </c>
      <c r="BE37" s="103">
        <f t="shared" si="913"/>
        <v>373948</v>
      </c>
      <c r="BF37" s="103">
        <f>ROUND(BE37*(1+取值表!$D$6),0)</f>
        <v>395637</v>
      </c>
      <c r="BG37" s="103">
        <f t="shared" ref="BG37:BI37" si="914">BF37</f>
        <v>395637</v>
      </c>
      <c r="BH37" s="103">
        <f t="shared" si="914"/>
        <v>395637</v>
      </c>
      <c r="BI37" s="103">
        <f t="shared" si="914"/>
        <v>395637</v>
      </c>
      <c r="BJ37" s="103">
        <f>ROUND(BI37*(1+取值表!$D$6),0)</f>
        <v>418584</v>
      </c>
      <c r="BK37" s="103">
        <f t="shared" ref="BK37:BM37" si="915">BJ37</f>
        <v>418584</v>
      </c>
      <c r="BL37" s="103">
        <f t="shared" si="915"/>
        <v>418584</v>
      </c>
      <c r="BM37" s="103">
        <f t="shared" si="915"/>
        <v>418584</v>
      </c>
      <c r="BN37" s="103">
        <f>ROUND(BM37*(1+取值表!$D$6),0)</f>
        <v>442862</v>
      </c>
      <c r="BO37" s="103">
        <f t="shared" ref="BO37:BQ37" si="916">BN37</f>
        <v>442862</v>
      </c>
      <c r="BP37" s="103">
        <f t="shared" si="916"/>
        <v>442862</v>
      </c>
      <c r="BQ37" s="103">
        <f t="shared" si="916"/>
        <v>442862</v>
      </c>
      <c r="BR37" s="103">
        <f>ROUND(BQ37*(1+取值表!$D$6),0)</f>
        <v>468548</v>
      </c>
      <c r="BS37" s="103">
        <f t="shared" ref="BS37:BU37" si="917">BR37</f>
        <v>468548</v>
      </c>
      <c r="BT37" s="103">
        <f t="shared" si="917"/>
        <v>468548</v>
      </c>
      <c r="BU37" s="103">
        <f t="shared" si="917"/>
        <v>468548</v>
      </c>
      <c r="BV37" s="103">
        <f>ROUND(BU37*(1+取值表!$D$6),0)</f>
        <v>495724</v>
      </c>
      <c r="BW37" s="103">
        <f t="shared" ref="BW37:BY37" si="918">BV37</f>
        <v>495724</v>
      </c>
      <c r="BX37" s="103">
        <f t="shared" si="918"/>
        <v>495724</v>
      </c>
      <c r="BY37" s="103">
        <f t="shared" si="918"/>
        <v>495724</v>
      </c>
      <c r="BZ37" s="103">
        <f>ROUND(BY37*(1+取值表!$D$6),0)</f>
        <v>524476</v>
      </c>
      <c r="CA37" s="103">
        <f t="shared" ref="CA37:CC37" si="919">BZ37</f>
        <v>524476</v>
      </c>
      <c r="CB37" s="103">
        <f t="shared" si="919"/>
        <v>524476</v>
      </c>
      <c r="CC37" s="103">
        <f t="shared" si="919"/>
        <v>524476</v>
      </c>
      <c r="CD37" s="103">
        <f>ROUND(CC37*(1+取值表!$D$6),0)</f>
        <v>554896</v>
      </c>
      <c r="CE37" s="103">
        <f t="shared" ref="CE37:CG37" si="920">CD37</f>
        <v>554896</v>
      </c>
      <c r="CF37" s="103">
        <f t="shared" si="920"/>
        <v>554896</v>
      </c>
      <c r="CG37" s="103">
        <f t="shared" si="920"/>
        <v>554896</v>
      </c>
      <c r="CH37" s="103">
        <f>ROUND(CG37*(1+取值表!$D$6),0)</f>
        <v>587080</v>
      </c>
      <c r="CI37" s="103">
        <f t="shared" ref="CI37:CK37" si="921">CH37</f>
        <v>587080</v>
      </c>
      <c r="CJ37" s="103">
        <f t="shared" si="921"/>
        <v>587080</v>
      </c>
      <c r="CK37" s="103">
        <f t="shared" si="921"/>
        <v>587080</v>
      </c>
      <c r="CL37" s="103">
        <f>ROUND(CK37*(1+取值表!$D$6),0)</f>
        <v>621131</v>
      </c>
      <c r="CM37" s="103">
        <f t="shared" ref="CM37:CO37" si="922">CL37</f>
        <v>621131</v>
      </c>
      <c r="CN37" s="103">
        <f t="shared" si="922"/>
        <v>621131</v>
      </c>
      <c r="CO37" s="103">
        <f t="shared" si="922"/>
        <v>621131</v>
      </c>
      <c r="CP37" s="103">
        <f t="shared" si="904"/>
        <v>31500736</v>
      </c>
    </row>
    <row r="38" spans="1:95">
      <c r="A38" s="546"/>
      <c r="B38" s="550"/>
      <c r="C38" s="548"/>
      <c r="D38" s="549"/>
      <c r="E38" s="547"/>
      <c r="F38" s="562"/>
      <c r="G38" s="562"/>
      <c r="H38" s="613"/>
      <c r="I38" s="99"/>
      <c r="J38" s="101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>
        <f>ROUND(AC38*(1+取值表!$E$6)*取值表!$I$6,0)</f>
        <v>0</v>
      </c>
      <c r="AE38" s="103"/>
      <c r="AF38" s="103"/>
      <c r="AG38" s="103"/>
      <c r="AH38" s="103">
        <f>ROUND(AG38*(1+取值表!$E$6)*取值表!$I$6,0)</f>
        <v>0</v>
      </c>
      <c r="AI38" s="103"/>
      <c r="AJ38" s="103"/>
      <c r="AK38" s="103"/>
      <c r="AL38" s="103">
        <f>ROUND(AK38*(1+取值表!$E$6)*取值表!$I$6,0)</f>
        <v>0</v>
      </c>
      <c r="AM38" s="103"/>
      <c r="AN38" s="103"/>
      <c r="AO38" s="103"/>
      <c r="AP38" s="103">
        <f>ROUND(AO38*(1+取值表!$E$6)*取值表!$I$6,0)</f>
        <v>0</v>
      </c>
      <c r="AQ38" s="103"/>
      <c r="AR38" s="103"/>
      <c r="AS38" s="103"/>
      <c r="AT38" s="103">
        <f>ROUND(AS38*(1+取值表!$E$6)*取值表!$I$6,0)</f>
        <v>0</v>
      </c>
      <c r="AU38" s="103"/>
      <c r="AV38" s="103"/>
      <c r="AW38" s="103"/>
      <c r="AX38" s="103">
        <f>ROUND(AW38*(1+取值表!$E$6)*取值表!$I$6,0)</f>
        <v>0</v>
      </c>
      <c r="AY38" s="103"/>
      <c r="AZ38" s="103"/>
      <c r="BA38" s="103"/>
      <c r="BB38" s="103">
        <f>ROUND(BA38*(1+取值表!$E$6)*取值表!$I$6,0)</f>
        <v>0</v>
      </c>
      <c r="BC38" s="103"/>
      <c r="BD38" s="103"/>
      <c r="BE38" s="103"/>
      <c r="BF38" s="103">
        <f>ROUND(BE38*(1+取值表!$E$6)*取值表!$I$6,0)</f>
        <v>0</v>
      </c>
      <c r="BG38" s="103"/>
      <c r="BH38" s="103"/>
      <c r="BI38" s="103"/>
      <c r="BJ38" s="103">
        <f>ROUND(BI38*(1+取值表!$E$6)*取值表!$I$6,0)</f>
        <v>0</v>
      </c>
      <c r="BK38" s="103"/>
      <c r="BL38" s="103"/>
      <c r="BM38" s="103"/>
      <c r="BN38" s="103">
        <f>ROUND(BM38*(1+取值表!$E$6)*取值表!$I$6,0)</f>
        <v>0</v>
      </c>
      <c r="BO38" s="103"/>
      <c r="BP38" s="103"/>
      <c r="BQ38" s="103"/>
      <c r="BR38" s="103">
        <f>ROUND(BQ38*(1+取值表!$E$6)*取值表!$I$6,0)</f>
        <v>0</v>
      </c>
      <c r="BS38" s="103"/>
      <c r="BT38" s="103"/>
      <c r="BU38" s="103"/>
      <c r="BV38" s="103">
        <f>ROUND(BU38*(1+取值表!$E$6)*取值表!$I$6,0)</f>
        <v>0</v>
      </c>
      <c r="BW38" s="103"/>
      <c r="BX38" s="103"/>
      <c r="BY38" s="103"/>
      <c r="BZ38" s="103">
        <f>ROUND(BY38*(1+取值表!$E$6)*取值表!$I$6,0)</f>
        <v>0</v>
      </c>
      <c r="CA38" s="103"/>
      <c r="CB38" s="103"/>
      <c r="CC38" s="103"/>
      <c r="CD38" s="103">
        <f>ROUND(CC38*(1+取值表!$E$6)*取值表!$I$6,0)</f>
        <v>0</v>
      </c>
      <c r="CE38" s="103"/>
      <c r="CF38" s="103"/>
      <c r="CG38" s="103"/>
      <c r="CH38" s="103">
        <f>ROUND(CG38*(1+取值表!$E$6)*取值表!$I$6,0)</f>
        <v>0</v>
      </c>
      <c r="CI38" s="103"/>
      <c r="CJ38" s="103"/>
      <c r="CK38" s="103"/>
      <c r="CL38" s="103">
        <f>ROUND(CK38*(1+取值表!$E$6)*取值表!$I$6,0)</f>
        <v>0</v>
      </c>
      <c r="CM38" s="103"/>
      <c r="CN38" s="103"/>
      <c r="CO38" s="103"/>
      <c r="CP38" s="103">
        <f t="shared" si="904"/>
        <v>0</v>
      </c>
    </row>
    <row r="39" spans="1:95" s="149" customFormat="1" ht="12" customHeight="1">
      <c r="A39" s="546">
        <v>19</v>
      </c>
      <c r="B39" s="550" t="s">
        <v>1086</v>
      </c>
      <c r="C39" s="548" t="s">
        <v>1087</v>
      </c>
      <c r="D39" s="549" t="s">
        <v>429</v>
      </c>
      <c r="E39" s="547" t="s">
        <v>418</v>
      </c>
      <c r="F39" s="562">
        <v>52.9</v>
      </c>
      <c r="G39" s="562">
        <f>AVERAGE(28,30,32)</f>
        <v>30</v>
      </c>
      <c r="H39" s="613">
        <f>F39*G39*365</f>
        <v>579255</v>
      </c>
      <c r="I39" s="99">
        <v>12067.809999999998</v>
      </c>
      <c r="J39" s="101">
        <f>ROUND(48271.25*3,0)</f>
        <v>144814</v>
      </c>
      <c r="K39" s="103">
        <f>J39</f>
        <v>144814</v>
      </c>
      <c r="L39" s="103">
        <f>ROUND(32*F39*365/4,0)</f>
        <v>154468</v>
      </c>
      <c r="M39" s="103">
        <f>L39</f>
        <v>154468</v>
      </c>
      <c r="N39" s="103">
        <f>M39</f>
        <v>154468</v>
      </c>
      <c r="O39" s="102">
        <f>N39</f>
        <v>154468</v>
      </c>
      <c r="P39" s="103">
        <f>O39</f>
        <v>154468</v>
      </c>
      <c r="Q39" s="103">
        <f>P39</f>
        <v>154468</v>
      </c>
      <c r="R39" s="103">
        <f>ROUND(Q39*(1+取值表!$D$6)*取值表!$I$6,0)</f>
        <v>153785</v>
      </c>
      <c r="S39" s="103">
        <f>R39</f>
        <v>153785</v>
      </c>
      <c r="T39" s="103">
        <f>S39</f>
        <v>153785</v>
      </c>
      <c r="U39" s="103">
        <f>T39</f>
        <v>153785</v>
      </c>
      <c r="V39" s="278">
        <f>ROUND(U39*(1+取值表!$D$6),0)</f>
        <v>162705</v>
      </c>
      <c r="W39" s="103">
        <f t="shared" ref="W39:Y39" si="923">V39</f>
        <v>162705</v>
      </c>
      <c r="X39" s="103">
        <f t="shared" si="923"/>
        <v>162705</v>
      </c>
      <c r="Y39" s="103">
        <f t="shared" si="923"/>
        <v>162705</v>
      </c>
      <c r="Z39" s="103">
        <f>ROUND(Y39*(1+取值表!$D$6),0)</f>
        <v>172142</v>
      </c>
      <c r="AA39" s="103">
        <f t="shared" ref="AA39:AC39" si="924">Z39</f>
        <v>172142</v>
      </c>
      <c r="AB39" s="103">
        <f t="shared" si="924"/>
        <v>172142</v>
      </c>
      <c r="AC39" s="103">
        <f t="shared" si="924"/>
        <v>172142</v>
      </c>
      <c r="AD39" s="103">
        <f>ROUND(AC39*(1+取值表!$D$6),0)</f>
        <v>182126</v>
      </c>
      <c r="AE39" s="103">
        <f t="shared" ref="AE39" si="925">AD39</f>
        <v>182126</v>
      </c>
      <c r="AF39" s="103">
        <f t="shared" ref="AF39" si="926">AE39</f>
        <v>182126</v>
      </c>
      <c r="AG39" s="103">
        <f t="shared" ref="AG39" si="927">AF39</f>
        <v>182126</v>
      </c>
      <c r="AH39" s="103">
        <f>ROUND(AG39*(1+取值表!$D$6),0)</f>
        <v>192689</v>
      </c>
      <c r="AI39" s="103">
        <f t="shared" ref="AI39" si="928">AH39</f>
        <v>192689</v>
      </c>
      <c r="AJ39" s="103">
        <f t="shared" ref="AJ39" si="929">AI39</f>
        <v>192689</v>
      </c>
      <c r="AK39" s="103">
        <f t="shared" ref="AK39" si="930">AJ39</f>
        <v>192689</v>
      </c>
      <c r="AL39" s="103">
        <f>ROUND(AK39*(1+取值表!$D$6),0)</f>
        <v>203865</v>
      </c>
      <c r="AM39" s="103">
        <f t="shared" ref="AM39" si="931">AL39</f>
        <v>203865</v>
      </c>
      <c r="AN39" s="103">
        <f t="shared" ref="AN39" si="932">AM39</f>
        <v>203865</v>
      </c>
      <c r="AO39" s="103">
        <f t="shared" ref="AO39" si="933">AN39</f>
        <v>203865</v>
      </c>
      <c r="AP39" s="103">
        <f>ROUND(AO39*(1+取值表!$D$6),0)</f>
        <v>215689</v>
      </c>
      <c r="AQ39" s="103">
        <f t="shared" ref="AQ39" si="934">AP39</f>
        <v>215689</v>
      </c>
      <c r="AR39" s="103">
        <f t="shared" ref="AR39" si="935">AQ39</f>
        <v>215689</v>
      </c>
      <c r="AS39" s="103">
        <f t="shared" ref="AS39" si="936">AR39</f>
        <v>215689</v>
      </c>
      <c r="AT39" s="103">
        <f>ROUND(AS39*(1+取值表!$D$6),0)</f>
        <v>228199</v>
      </c>
      <c r="AU39" s="103">
        <f t="shared" ref="AU39" si="937">AT39</f>
        <v>228199</v>
      </c>
      <c r="AV39" s="103">
        <f t="shared" ref="AV39" si="938">AU39</f>
        <v>228199</v>
      </c>
      <c r="AW39" s="103">
        <f t="shared" ref="AW39" si="939">AV39</f>
        <v>228199</v>
      </c>
      <c r="AX39" s="103">
        <f>ROUND(AW39*(1+取值表!$D$6),0)</f>
        <v>241435</v>
      </c>
      <c r="AY39" s="103">
        <f t="shared" ref="AY39" si="940">AX39</f>
        <v>241435</v>
      </c>
      <c r="AZ39" s="103">
        <f t="shared" ref="AZ39" si="941">AY39</f>
        <v>241435</v>
      </c>
      <c r="BA39" s="103">
        <f t="shared" ref="BA39" si="942">AZ39</f>
        <v>241435</v>
      </c>
      <c r="BB39" s="103">
        <f>ROUND(BA39*(1+取值表!$D$6),0)</f>
        <v>255438</v>
      </c>
      <c r="BC39" s="103">
        <f t="shared" ref="BC39" si="943">BB39</f>
        <v>255438</v>
      </c>
      <c r="BD39" s="103">
        <f t="shared" ref="BD39" si="944">BC39</f>
        <v>255438</v>
      </c>
      <c r="BE39" s="103">
        <f t="shared" ref="BE39" si="945">BD39</f>
        <v>255438</v>
      </c>
      <c r="BF39" s="103">
        <f>ROUND(BE39*(1+取值表!$D$6),0)</f>
        <v>270253</v>
      </c>
      <c r="BG39" s="103">
        <f t="shared" ref="BG39" si="946">BF39</f>
        <v>270253</v>
      </c>
      <c r="BH39" s="103">
        <f t="shared" ref="BH39" si="947">BG39</f>
        <v>270253</v>
      </c>
      <c r="BI39" s="103">
        <f t="shared" ref="BI39" si="948">BH39</f>
        <v>270253</v>
      </c>
      <c r="BJ39" s="103">
        <f>ROUND(BI39*(1+取值表!$D$6),0)</f>
        <v>285928</v>
      </c>
      <c r="BK39" s="103">
        <f t="shared" ref="BK39" si="949">BJ39</f>
        <v>285928</v>
      </c>
      <c r="BL39" s="103">
        <f t="shared" ref="BL39" si="950">BK39</f>
        <v>285928</v>
      </c>
      <c r="BM39" s="103">
        <f t="shared" ref="BM39" si="951">BL39</f>
        <v>285928</v>
      </c>
      <c r="BN39" s="103">
        <f>ROUND(BM39*(1+取值表!$D$6),0)</f>
        <v>302512</v>
      </c>
      <c r="BO39" s="103">
        <f t="shared" ref="BO39" si="952">BN39</f>
        <v>302512</v>
      </c>
      <c r="BP39" s="103">
        <f t="shared" ref="BP39" si="953">BO39</f>
        <v>302512</v>
      </c>
      <c r="BQ39" s="103">
        <f t="shared" ref="BQ39" si="954">BP39</f>
        <v>302512</v>
      </c>
      <c r="BR39" s="103">
        <f>ROUND(BQ39*(1+取值表!$D$6),0)</f>
        <v>320058</v>
      </c>
      <c r="BS39" s="103">
        <f t="shared" ref="BS39" si="955">BR39</f>
        <v>320058</v>
      </c>
      <c r="BT39" s="103">
        <f t="shared" ref="BT39" si="956">BS39</f>
        <v>320058</v>
      </c>
      <c r="BU39" s="103">
        <f t="shared" ref="BU39" si="957">BT39</f>
        <v>320058</v>
      </c>
      <c r="BV39" s="103">
        <f>ROUND(BU39*(1+取值表!$D$6),0)</f>
        <v>338621</v>
      </c>
      <c r="BW39" s="103">
        <f t="shared" ref="BW39" si="958">BV39</f>
        <v>338621</v>
      </c>
      <c r="BX39" s="103">
        <f t="shared" ref="BX39" si="959">BW39</f>
        <v>338621</v>
      </c>
      <c r="BY39" s="103">
        <f t="shared" ref="BY39" si="960">BX39</f>
        <v>338621</v>
      </c>
      <c r="BZ39" s="103">
        <f>ROUND(BY39*(1+取值表!$D$6),0)</f>
        <v>358261</v>
      </c>
      <c r="CA39" s="103">
        <f t="shared" ref="CA39" si="961">BZ39</f>
        <v>358261</v>
      </c>
      <c r="CB39" s="103">
        <f t="shared" ref="CB39" si="962">CA39</f>
        <v>358261</v>
      </c>
      <c r="CC39" s="103">
        <f t="shared" ref="CC39" si="963">CB39</f>
        <v>358261</v>
      </c>
      <c r="CD39" s="103">
        <f>ROUND(CC39*(1+取值表!$D$6),0)</f>
        <v>379040</v>
      </c>
      <c r="CE39" s="103">
        <f t="shared" ref="CE39" si="964">CD39</f>
        <v>379040</v>
      </c>
      <c r="CF39" s="103">
        <f t="shared" ref="CF39" si="965">CE39</f>
        <v>379040</v>
      </c>
      <c r="CG39" s="103">
        <f t="shared" ref="CG39" si="966">CF39</f>
        <v>379040</v>
      </c>
      <c r="CH39" s="103">
        <f>ROUND(CG39*(1+取值表!$D$6),0)</f>
        <v>401024</v>
      </c>
      <c r="CI39" s="103">
        <f t="shared" ref="CI39" si="967">CH39</f>
        <v>401024</v>
      </c>
      <c r="CJ39" s="103">
        <f t="shared" ref="CJ39" si="968">CI39</f>
        <v>401024</v>
      </c>
      <c r="CK39" s="103">
        <f t="shared" ref="CK39" si="969">CJ39</f>
        <v>401024</v>
      </c>
      <c r="CL39" s="103">
        <f>ROUND(CK39*(1+取值表!$D$6),0)</f>
        <v>424283</v>
      </c>
      <c r="CM39" s="103">
        <f t="shared" ref="CM39" si="970">CL39</f>
        <v>424283</v>
      </c>
      <c r="CN39" s="103">
        <f t="shared" ref="CN39" si="971">CM39</f>
        <v>424283</v>
      </c>
      <c r="CO39" s="103">
        <f t="shared" ref="CO39" si="972">CN39</f>
        <v>424283</v>
      </c>
      <c r="CP39" s="103">
        <f t="shared" si="904"/>
        <v>21568648</v>
      </c>
      <c r="CQ39" s="58"/>
    </row>
    <row r="40" spans="1:95" s="149" customFormat="1">
      <c r="A40" s="546"/>
      <c r="B40" s="550"/>
      <c r="C40" s="548"/>
      <c r="D40" s="549"/>
      <c r="E40" s="547"/>
      <c r="F40" s="562"/>
      <c r="G40" s="562"/>
      <c r="H40" s="613"/>
      <c r="I40" s="99"/>
      <c r="J40" s="101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>
        <f>ROUND(AC40*(1+取值表!$E$6)*取值表!$I$6,0)</f>
        <v>0</v>
      </c>
      <c r="AE40" s="103"/>
      <c r="AF40" s="103"/>
      <c r="AG40" s="103"/>
      <c r="AH40" s="103">
        <f>ROUND(AG40*(1+取值表!$E$6)*取值表!$I$6,0)</f>
        <v>0</v>
      </c>
      <c r="AI40" s="103"/>
      <c r="AJ40" s="103"/>
      <c r="AK40" s="103"/>
      <c r="AL40" s="103">
        <f>ROUND(AK40*(1+取值表!$E$6)*取值表!$I$6,0)</f>
        <v>0</v>
      </c>
      <c r="AM40" s="103"/>
      <c r="AN40" s="103"/>
      <c r="AO40" s="103"/>
      <c r="AP40" s="103">
        <f>ROUND(AO40*(1+取值表!$E$6)*取值表!$I$6,0)</f>
        <v>0</v>
      </c>
      <c r="AQ40" s="103"/>
      <c r="AR40" s="103"/>
      <c r="AS40" s="103"/>
      <c r="AT40" s="103">
        <f>ROUND(AS40*(1+取值表!$E$6)*取值表!$I$6,0)</f>
        <v>0</v>
      </c>
      <c r="AU40" s="103"/>
      <c r="AV40" s="103"/>
      <c r="AW40" s="103"/>
      <c r="AX40" s="103">
        <f>ROUND(AW40*(1+取值表!$E$6)*取值表!$I$6,0)</f>
        <v>0</v>
      </c>
      <c r="AY40" s="103"/>
      <c r="AZ40" s="103"/>
      <c r="BA40" s="103"/>
      <c r="BB40" s="103">
        <f>ROUND(BA40*(1+取值表!$E$6)*取值表!$I$6,0)</f>
        <v>0</v>
      </c>
      <c r="BC40" s="103"/>
      <c r="BD40" s="103"/>
      <c r="BE40" s="103"/>
      <c r="BF40" s="103">
        <f>ROUND(BE40*(1+取值表!$E$6)*取值表!$I$6,0)</f>
        <v>0</v>
      </c>
      <c r="BG40" s="103"/>
      <c r="BH40" s="103"/>
      <c r="BI40" s="103"/>
      <c r="BJ40" s="103">
        <f>ROUND(BI40*(1+取值表!$E$6)*取值表!$I$6,0)</f>
        <v>0</v>
      </c>
      <c r="BK40" s="103"/>
      <c r="BL40" s="103"/>
      <c r="BM40" s="103"/>
      <c r="BN40" s="103">
        <f>ROUND(BM40*(1+取值表!$E$6)*取值表!$I$6,0)</f>
        <v>0</v>
      </c>
      <c r="BO40" s="103"/>
      <c r="BP40" s="103"/>
      <c r="BQ40" s="103"/>
      <c r="BR40" s="103">
        <f>ROUND(BQ40*(1+取值表!$E$6)*取值表!$I$6,0)</f>
        <v>0</v>
      </c>
      <c r="BS40" s="103"/>
      <c r="BT40" s="103"/>
      <c r="BU40" s="103"/>
      <c r="BV40" s="103">
        <f>ROUND(BU40*(1+取值表!$E$6)*取值表!$I$6,0)</f>
        <v>0</v>
      </c>
      <c r="BW40" s="103"/>
      <c r="BX40" s="103"/>
      <c r="BY40" s="103"/>
      <c r="BZ40" s="103">
        <f>ROUND(BY40*(1+取值表!$E$6)*取值表!$I$6,0)</f>
        <v>0</v>
      </c>
      <c r="CA40" s="103"/>
      <c r="CB40" s="103"/>
      <c r="CC40" s="103"/>
      <c r="CD40" s="103">
        <f>ROUND(CC40*(1+取值表!$E$6)*取值表!$I$6,0)</f>
        <v>0</v>
      </c>
      <c r="CE40" s="103"/>
      <c r="CF40" s="103"/>
      <c r="CG40" s="103"/>
      <c r="CH40" s="103">
        <f>ROUND(CG40*(1+取值表!$E$6)*取值表!$I$6,0)</f>
        <v>0</v>
      </c>
      <c r="CI40" s="103"/>
      <c r="CJ40" s="103"/>
      <c r="CK40" s="103"/>
      <c r="CL40" s="103">
        <f>ROUND(CK40*(1+取值表!$E$6)*取值表!$I$6,0)</f>
        <v>0</v>
      </c>
      <c r="CM40" s="103"/>
      <c r="CN40" s="103"/>
      <c r="CO40" s="103"/>
      <c r="CP40" s="103">
        <f t="shared" si="904"/>
        <v>0</v>
      </c>
      <c r="CQ40" s="58"/>
    </row>
    <row r="41" spans="1:95" ht="12" customHeight="1">
      <c r="A41" s="546">
        <v>20</v>
      </c>
      <c r="B41" s="550" t="s">
        <v>1088</v>
      </c>
      <c r="C41" s="548" t="s">
        <v>1089</v>
      </c>
      <c r="D41" s="549" t="s">
        <v>27</v>
      </c>
      <c r="E41" s="547" t="s">
        <v>418</v>
      </c>
      <c r="F41" s="562">
        <v>101.98</v>
      </c>
      <c r="G41" s="562">
        <f>AVERAGE(24)</f>
        <v>24</v>
      </c>
      <c r="H41" s="613">
        <f>F41*G41*365</f>
        <v>893344.8</v>
      </c>
      <c r="I41" s="99">
        <v>218683.36</v>
      </c>
      <c r="J41" s="101">
        <f>K41</f>
        <v>223336</v>
      </c>
      <c r="K41" s="102">
        <f>ROUND(24*F41*365/4,0)</f>
        <v>223336</v>
      </c>
      <c r="L41" s="101">
        <f>K41</f>
        <v>223336</v>
      </c>
      <c r="M41" s="103">
        <f>L41</f>
        <v>223336</v>
      </c>
      <c r="N41" s="103">
        <f>ROUND(M41*(1+取值表!$D$6)*取值表!$I$6,0)</f>
        <v>222348</v>
      </c>
      <c r="O41" s="103">
        <f>N41</f>
        <v>222348</v>
      </c>
      <c r="P41" s="103">
        <f>O41</f>
        <v>222348</v>
      </c>
      <c r="Q41" s="103">
        <f>P41</f>
        <v>222348</v>
      </c>
      <c r="R41" s="278">
        <f>ROUND(Q41*(1+取值表!$D$6),0)</f>
        <v>235244</v>
      </c>
      <c r="S41" s="103">
        <f t="shared" ref="S41:U41" si="973">R41</f>
        <v>235244</v>
      </c>
      <c r="T41" s="103">
        <f t="shared" si="973"/>
        <v>235244</v>
      </c>
      <c r="U41" s="103">
        <f t="shared" si="973"/>
        <v>235244</v>
      </c>
      <c r="V41" s="103">
        <f>ROUND(U41*(1+取值表!$D$6),0)</f>
        <v>248888</v>
      </c>
      <c r="W41" s="103">
        <f t="shared" ref="W41:Y41" si="974">V41</f>
        <v>248888</v>
      </c>
      <c r="X41" s="103">
        <f t="shared" si="974"/>
        <v>248888</v>
      </c>
      <c r="Y41" s="103">
        <f t="shared" si="974"/>
        <v>248888</v>
      </c>
      <c r="Z41" s="103">
        <f>ROUND(Y41*(1+取值表!$D$6),0)</f>
        <v>263324</v>
      </c>
      <c r="AA41" s="103">
        <f t="shared" ref="AA41" si="975">Z41</f>
        <v>263324</v>
      </c>
      <c r="AB41" s="103">
        <f t="shared" ref="AB41" si="976">AA41</f>
        <v>263324</v>
      </c>
      <c r="AC41" s="103">
        <f t="shared" ref="AC41" si="977">AB41</f>
        <v>263324</v>
      </c>
      <c r="AD41" s="103">
        <f>ROUND(AC41*(1+取值表!$D$6),0)</f>
        <v>278597</v>
      </c>
      <c r="AE41" s="103">
        <f t="shared" ref="AE41" si="978">AD41</f>
        <v>278597</v>
      </c>
      <c r="AF41" s="103">
        <f t="shared" ref="AF41" si="979">AE41</f>
        <v>278597</v>
      </c>
      <c r="AG41" s="103">
        <f t="shared" ref="AG41" si="980">AF41</f>
        <v>278597</v>
      </c>
      <c r="AH41" s="103">
        <f>ROUND(AG41*(1+取值表!$D$6),0)</f>
        <v>294756</v>
      </c>
      <c r="AI41" s="103">
        <f t="shared" ref="AI41" si="981">AH41</f>
        <v>294756</v>
      </c>
      <c r="AJ41" s="103">
        <f t="shared" ref="AJ41" si="982">AI41</f>
        <v>294756</v>
      </c>
      <c r="AK41" s="103">
        <f t="shared" ref="AK41" si="983">AJ41</f>
        <v>294756</v>
      </c>
      <c r="AL41" s="103">
        <f>ROUND(AK41*(1+取值表!$D$6),0)</f>
        <v>311852</v>
      </c>
      <c r="AM41" s="103">
        <f t="shared" ref="AM41" si="984">AL41</f>
        <v>311852</v>
      </c>
      <c r="AN41" s="103">
        <f t="shared" ref="AN41" si="985">AM41</f>
        <v>311852</v>
      </c>
      <c r="AO41" s="103">
        <f t="shared" ref="AO41" si="986">AN41</f>
        <v>311852</v>
      </c>
      <c r="AP41" s="103">
        <f>ROUND(AO41*(1+取值表!$D$6),0)</f>
        <v>329939</v>
      </c>
      <c r="AQ41" s="103">
        <f t="shared" ref="AQ41" si="987">AP41</f>
        <v>329939</v>
      </c>
      <c r="AR41" s="103">
        <f t="shared" ref="AR41" si="988">AQ41</f>
        <v>329939</v>
      </c>
      <c r="AS41" s="103">
        <f t="shared" ref="AS41" si="989">AR41</f>
        <v>329939</v>
      </c>
      <c r="AT41" s="103">
        <f>ROUND(AS41*(1+取值表!$D$6),0)</f>
        <v>349075</v>
      </c>
      <c r="AU41" s="103">
        <f t="shared" ref="AU41" si="990">AT41</f>
        <v>349075</v>
      </c>
      <c r="AV41" s="103">
        <f t="shared" ref="AV41" si="991">AU41</f>
        <v>349075</v>
      </c>
      <c r="AW41" s="103">
        <f t="shared" ref="AW41" si="992">AV41</f>
        <v>349075</v>
      </c>
      <c r="AX41" s="103">
        <f>ROUND(AW41*(1+取值表!$D$6),0)</f>
        <v>369321</v>
      </c>
      <c r="AY41" s="103">
        <f t="shared" ref="AY41" si="993">AX41</f>
        <v>369321</v>
      </c>
      <c r="AZ41" s="103">
        <f t="shared" ref="AZ41" si="994">AY41</f>
        <v>369321</v>
      </c>
      <c r="BA41" s="103">
        <f t="shared" ref="BA41" si="995">AZ41</f>
        <v>369321</v>
      </c>
      <c r="BB41" s="103">
        <f>ROUND(BA41*(1+取值表!$D$6),0)</f>
        <v>390742</v>
      </c>
      <c r="BC41" s="103">
        <f t="shared" ref="BC41" si="996">BB41</f>
        <v>390742</v>
      </c>
      <c r="BD41" s="103">
        <f t="shared" ref="BD41" si="997">BC41</f>
        <v>390742</v>
      </c>
      <c r="BE41" s="103">
        <f t="shared" ref="BE41" si="998">BD41</f>
        <v>390742</v>
      </c>
      <c r="BF41" s="103">
        <f>ROUND(BE41*(1+取值表!$D$6),0)</f>
        <v>413405</v>
      </c>
      <c r="BG41" s="103">
        <f t="shared" ref="BG41" si="999">BF41</f>
        <v>413405</v>
      </c>
      <c r="BH41" s="103">
        <f t="shared" ref="BH41" si="1000">BG41</f>
        <v>413405</v>
      </c>
      <c r="BI41" s="103">
        <f t="shared" ref="BI41" si="1001">BH41</f>
        <v>413405</v>
      </c>
      <c r="BJ41" s="103">
        <f>ROUND(BI41*(1+取值表!$D$6),0)</f>
        <v>437382</v>
      </c>
      <c r="BK41" s="103">
        <f t="shared" ref="BK41" si="1002">BJ41</f>
        <v>437382</v>
      </c>
      <c r="BL41" s="103">
        <f t="shared" ref="BL41" si="1003">BK41</f>
        <v>437382</v>
      </c>
      <c r="BM41" s="103">
        <f t="shared" ref="BM41" si="1004">BL41</f>
        <v>437382</v>
      </c>
      <c r="BN41" s="103">
        <f>ROUND(BM41*(1+取值表!$D$6),0)</f>
        <v>462750</v>
      </c>
      <c r="BO41" s="103">
        <f t="shared" ref="BO41" si="1005">BN41</f>
        <v>462750</v>
      </c>
      <c r="BP41" s="103">
        <f t="shared" ref="BP41" si="1006">BO41</f>
        <v>462750</v>
      </c>
      <c r="BQ41" s="103">
        <f t="shared" ref="BQ41" si="1007">BP41</f>
        <v>462750</v>
      </c>
      <c r="BR41" s="103">
        <f>ROUND(BQ41*(1+取值表!$D$6),0)</f>
        <v>489590</v>
      </c>
      <c r="BS41" s="103">
        <f t="shared" ref="BS41" si="1008">BR41</f>
        <v>489590</v>
      </c>
      <c r="BT41" s="103">
        <f t="shared" ref="BT41" si="1009">BS41</f>
        <v>489590</v>
      </c>
      <c r="BU41" s="103">
        <f t="shared" ref="BU41" si="1010">BT41</f>
        <v>489590</v>
      </c>
      <c r="BV41" s="103">
        <f>ROUND(BU41*(1+取值表!$D$6),0)</f>
        <v>517986</v>
      </c>
      <c r="BW41" s="103">
        <f t="shared" ref="BW41" si="1011">BV41</f>
        <v>517986</v>
      </c>
      <c r="BX41" s="103">
        <f t="shared" ref="BX41" si="1012">BW41</f>
        <v>517986</v>
      </c>
      <c r="BY41" s="103">
        <f t="shared" ref="BY41" si="1013">BX41</f>
        <v>517986</v>
      </c>
      <c r="BZ41" s="103">
        <f>ROUND(BY41*(1+取值表!$D$6),0)</f>
        <v>548029</v>
      </c>
      <c r="CA41" s="103">
        <f t="shared" ref="CA41" si="1014">BZ41</f>
        <v>548029</v>
      </c>
      <c r="CB41" s="103">
        <f t="shared" ref="CB41" si="1015">CA41</f>
        <v>548029</v>
      </c>
      <c r="CC41" s="103">
        <f t="shared" ref="CC41" si="1016">CB41</f>
        <v>548029</v>
      </c>
      <c r="CD41" s="103">
        <f>ROUND(CC41*(1+取值表!$D$6),0)</f>
        <v>579815</v>
      </c>
      <c r="CE41" s="103">
        <f t="shared" ref="CE41" si="1017">CD41</f>
        <v>579815</v>
      </c>
      <c r="CF41" s="103">
        <f t="shared" ref="CF41" si="1018">CE41</f>
        <v>579815</v>
      </c>
      <c r="CG41" s="103">
        <f t="shared" ref="CG41" si="1019">CF41</f>
        <v>579815</v>
      </c>
      <c r="CH41" s="103">
        <f>ROUND(CG41*(1+取值表!$D$6),0)</f>
        <v>613444</v>
      </c>
      <c r="CI41" s="103">
        <f t="shared" ref="CI41" si="1020">CH41</f>
        <v>613444</v>
      </c>
      <c r="CJ41" s="103">
        <f t="shared" ref="CJ41" si="1021">CI41</f>
        <v>613444</v>
      </c>
      <c r="CK41" s="103">
        <f t="shared" ref="CK41" si="1022">CJ41</f>
        <v>613444</v>
      </c>
      <c r="CL41" s="103">
        <f>ROUND(CK41*(1+取值表!$D$6),0)</f>
        <v>649024</v>
      </c>
      <c r="CM41" s="103">
        <f t="shared" ref="CM41" si="1023">CL41</f>
        <v>649024</v>
      </c>
      <c r="CN41" s="103">
        <f t="shared" ref="CN41" si="1024">CM41</f>
        <v>649024</v>
      </c>
      <c r="CO41" s="103">
        <f t="shared" ref="CO41" si="1025">CN41</f>
        <v>649024</v>
      </c>
      <c r="CP41" s="103">
        <f t="shared" si="904"/>
        <v>32915388</v>
      </c>
    </row>
    <row r="42" spans="1:95">
      <c r="A42" s="546"/>
      <c r="B42" s="550"/>
      <c r="C42" s="548"/>
      <c r="D42" s="549"/>
      <c r="E42" s="547"/>
      <c r="F42" s="562"/>
      <c r="G42" s="562"/>
      <c r="H42" s="613"/>
      <c r="I42" s="99"/>
      <c r="J42" s="101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>
        <f>ROUND(AC42*(1+取值表!$E$6)*取值表!$I$6,0)</f>
        <v>0</v>
      </c>
      <c r="AE42" s="103"/>
      <c r="AF42" s="103"/>
      <c r="AG42" s="103"/>
      <c r="AH42" s="103">
        <f>ROUND(AG42*(1+取值表!$E$6)*取值表!$I$6,0)</f>
        <v>0</v>
      </c>
      <c r="AI42" s="103"/>
      <c r="AJ42" s="103"/>
      <c r="AK42" s="103"/>
      <c r="AL42" s="103">
        <f>ROUND(AK42*(1+取值表!$E$6)*取值表!$I$6,0)</f>
        <v>0</v>
      </c>
      <c r="AM42" s="103"/>
      <c r="AN42" s="103"/>
      <c r="AO42" s="103"/>
      <c r="AP42" s="103">
        <f>ROUND(AO42*(1+取值表!$E$6)*取值表!$I$6,0)</f>
        <v>0</v>
      </c>
      <c r="AQ42" s="103"/>
      <c r="AR42" s="103"/>
      <c r="AS42" s="103"/>
      <c r="AT42" s="103">
        <f>ROUND(AS42*(1+取值表!$E$6)*取值表!$I$6,0)</f>
        <v>0</v>
      </c>
      <c r="AU42" s="103"/>
      <c r="AV42" s="103"/>
      <c r="AW42" s="103"/>
      <c r="AX42" s="103">
        <f>ROUND(AW42*(1+取值表!$E$6)*取值表!$I$6,0)</f>
        <v>0</v>
      </c>
      <c r="AY42" s="103"/>
      <c r="AZ42" s="103"/>
      <c r="BA42" s="103"/>
      <c r="BB42" s="103">
        <f>ROUND(BA42*(1+取值表!$E$6)*取值表!$I$6,0)</f>
        <v>0</v>
      </c>
      <c r="BC42" s="103"/>
      <c r="BD42" s="103"/>
      <c r="BE42" s="103"/>
      <c r="BF42" s="103">
        <f>ROUND(BE42*(1+取值表!$E$6)*取值表!$I$6,0)</f>
        <v>0</v>
      </c>
      <c r="BG42" s="103"/>
      <c r="BH42" s="103"/>
      <c r="BI42" s="103"/>
      <c r="BJ42" s="103">
        <f>ROUND(BI42*(1+取值表!$E$6)*取值表!$I$6,0)</f>
        <v>0</v>
      </c>
      <c r="BK42" s="103"/>
      <c r="BL42" s="103"/>
      <c r="BM42" s="103"/>
      <c r="BN42" s="103">
        <f>ROUND(BM42*(1+取值表!$E$6)*取值表!$I$6,0)</f>
        <v>0</v>
      </c>
      <c r="BO42" s="103"/>
      <c r="BP42" s="103"/>
      <c r="BQ42" s="103"/>
      <c r="BR42" s="103">
        <f>ROUND(BQ42*(1+取值表!$E$6)*取值表!$I$6,0)</f>
        <v>0</v>
      </c>
      <c r="BS42" s="103"/>
      <c r="BT42" s="103"/>
      <c r="BU42" s="103"/>
      <c r="BV42" s="103">
        <f>ROUND(BU42*(1+取值表!$E$6)*取值表!$I$6,0)</f>
        <v>0</v>
      </c>
      <c r="BW42" s="103"/>
      <c r="BX42" s="103"/>
      <c r="BY42" s="103"/>
      <c r="BZ42" s="103">
        <f>ROUND(BY42*(1+取值表!$E$6)*取值表!$I$6,0)</f>
        <v>0</v>
      </c>
      <c r="CA42" s="103"/>
      <c r="CB42" s="103"/>
      <c r="CC42" s="103"/>
      <c r="CD42" s="103">
        <f>ROUND(CC42*(1+取值表!$E$6)*取值表!$I$6,0)</f>
        <v>0</v>
      </c>
      <c r="CE42" s="103"/>
      <c r="CF42" s="103"/>
      <c r="CG42" s="103"/>
      <c r="CH42" s="103">
        <f>ROUND(CG42*(1+取值表!$E$6)*取值表!$I$6,0)</f>
        <v>0</v>
      </c>
      <c r="CI42" s="103"/>
      <c r="CJ42" s="103"/>
      <c r="CK42" s="103"/>
      <c r="CL42" s="103">
        <f>ROUND(CK42*(1+取值表!$E$6)*取值表!$I$6,0)</f>
        <v>0</v>
      </c>
      <c r="CM42" s="103"/>
      <c r="CN42" s="103"/>
      <c r="CO42" s="103"/>
      <c r="CP42" s="103">
        <f t="shared" si="904"/>
        <v>0</v>
      </c>
    </row>
    <row r="43" spans="1:95" ht="12" customHeight="1">
      <c r="A43" s="546">
        <v>21</v>
      </c>
      <c r="B43" s="550" t="s">
        <v>1090</v>
      </c>
      <c r="C43" s="548" t="s">
        <v>1091</v>
      </c>
      <c r="D43" s="549" t="s">
        <v>430</v>
      </c>
      <c r="E43" s="547" t="s">
        <v>418</v>
      </c>
      <c r="F43" s="562">
        <v>9.2799999999999994</v>
      </c>
      <c r="G43" s="562">
        <v>42</v>
      </c>
      <c r="H43" s="613">
        <f>F43*G43*365</f>
        <v>142262.39999999999</v>
      </c>
      <c r="I43" s="99">
        <v>35565.599999999999</v>
      </c>
      <c r="J43" s="102">
        <f>ROUND(G43*F43*365/4,0)</f>
        <v>35566</v>
      </c>
      <c r="K43" s="103">
        <f>J43</f>
        <v>35566</v>
      </c>
      <c r="L43" s="103">
        <f>K43</f>
        <v>35566</v>
      </c>
      <c r="M43" s="103">
        <f>L43</f>
        <v>35566</v>
      </c>
      <c r="N43" s="103">
        <f>ROUND(M43*(1+取值表!$D$6)*取值表!$I$6,0)</f>
        <v>35409</v>
      </c>
      <c r="O43" s="103">
        <f>N43</f>
        <v>35409</v>
      </c>
      <c r="P43" s="103">
        <f>O43</f>
        <v>35409</v>
      </c>
      <c r="Q43" s="103">
        <f>P43</f>
        <v>35409</v>
      </c>
      <c r="R43" s="278">
        <f>ROUND(Q43*(1+取值表!$D$6),0)</f>
        <v>37463</v>
      </c>
      <c r="S43" s="103">
        <f t="shared" ref="S43:U43" si="1026">R43</f>
        <v>37463</v>
      </c>
      <c r="T43" s="103">
        <f t="shared" si="1026"/>
        <v>37463</v>
      </c>
      <c r="U43" s="103">
        <f t="shared" si="1026"/>
        <v>37463</v>
      </c>
      <c r="V43" s="103">
        <f>ROUND(U43*(1+取值表!$D$6),0)</f>
        <v>39636</v>
      </c>
      <c r="W43" s="103">
        <f t="shared" ref="W43:Y43" si="1027">V43</f>
        <v>39636</v>
      </c>
      <c r="X43" s="103">
        <f t="shared" si="1027"/>
        <v>39636</v>
      </c>
      <c r="Y43" s="103">
        <f t="shared" si="1027"/>
        <v>39636</v>
      </c>
      <c r="Z43" s="103">
        <f>ROUND(Y43*(1+取值表!$D$6),0)</f>
        <v>41935</v>
      </c>
      <c r="AA43" s="103">
        <f t="shared" ref="AA43:AC43" si="1028">Z43</f>
        <v>41935</v>
      </c>
      <c r="AB43" s="103">
        <f t="shared" si="1028"/>
        <v>41935</v>
      </c>
      <c r="AC43" s="103">
        <f t="shared" si="1028"/>
        <v>41935</v>
      </c>
      <c r="AD43" s="103">
        <f>ROUND(AC43*(1+取值表!$D$6),0)</f>
        <v>44367</v>
      </c>
      <c r="AE43" s="103">
        <f t="shared" ref="AE43" si="1029">AD43</f>
        <v>44367</v>
      </c>
      <c r="AF43" s="103">
        <f t="shared" ref="AF43" si="1030">AE43</f>
        <v>44367</v>
      </c>
      <c r="AG43" s="103">
        <f t="shared" ref="AG43" si="1031">AF43</f>
        <v>44367</v>
      </c>
      <c r="AH43" s="103">
        <f>ROUND(AG43*(1+取值表!$D$6),0)</f>
        <v>46940</v>
      </c>
      <c r="AI43" s="103">
        <f t="shared" ref="AI43" si="1032">AH43</f>
        <v>46940</v>
      </c>
      <c r="AJ43" s="103">
        <f t="shared" ref="AJ43" si="1033">AI43</f>
        <v>46940</v>
      </c>
      <c r="AK43" s="103">
        <f t="shared" ref="AK43" si="1034">AJ43</f>
        <v>46940</v>
      </c>
      <c r="AL43" s="103">
        <f>ROUND(AK43*(1+取值表!$D$6),0)</f>
        <v>49663</v>
      </c>
      <c r="AM43" s="103">
        <f t="shared" ref="AM43" si="1035">AL43</f>
        <v>49663</v>
      </c>
      <c r="AN43" s="103">
        <f t="shared" ref="AN43" si="1036">AM43</f>
        <v>49663</v>
      </c>
      <c r="AO43" s="103">
        <f t="shared" ref="AO43" si="1037">AN43</f>
        <v>49663</v>
      </c>
      <c r="AP43" s="103">
        <f>ROUND(AO43*(1+取值表!$D$6),0)</f>
        <v>52543</v>
      </c>
      <c r="AQ43" s="103">
        <f t="shared" ref="AQ43" si="1038">AP43</f>
        <v>52543</v>
      </c>
      <c r="AR43" s="103">
        <f t="shared" ref="AR43" si="1039">AQ43</f>
        <v>52543</v>
      </c>
      <c r="AS43" s="103">
        <f t="shared" ref="AS43" si="1040">AR43</f>
        <v>52543</v>
      </c>
      <c r="AT43" s="103">
        <f>ROUND(AS43*(1+取值表!$D$6),0)</f>
        <v>55590</v>
      </c>
      <c r="AU43" s="103">
        <f t="shared" ref="AU43" si="1041">AT43</f>
        <v>55590</v>
      </c>
      <c r="AV43" s="103">
        <f t="shared" ref="AV43" si="1042">AU43</f>
        <v>55590</v>
      </c>
      <c r="AW43" s="103">
        <f t="shared" ref="AW43" si="1043">AV43</f>
        <v>55590</v>
      </c>
      <c r="AX43" s="103">
        <f>ROUND(AW43*(1+取值表!$D$6),0)</f>
        <v>58814</v>
      </c>
      <c r="AY43" s="103">
        <f t="shared" ref="AY43" si="1044">AX43</f>
        <v>58814</v>
      </c>
      <c r="AZ43" s="103">
        <f t="shared" ref="AZ43" si="1045">AY43</f>
        <v>58814</v>
      </c>
      <c r="BA43" s="103">
        <f t="shared" ref="BA43" si="1046">AZ43</f>
        <v>58814</v>
      </c>
      <c r="BB43" s="103">
        <f>ROUND(BA43*(1+取值表!$D$6),0)</f>
        <v>62225</v>
      </c>
      <c r="BC43" s="103">
        <f t="shared" ref="BC43" si="1047">BB43</f>
        <v>62225</v>
      </c>
      <c r="BD43" s="103">
        <f t="shared" ref="BD43" si="1048">BC43</f>
        <v>62225</v>
      </c>
      <c r="BE43" s="103">
        <f t="shared" ref="BE43" si="1049">BD43</f>
        <v>62225</v>
      </c>
      <c r="BF43" s="103">
        <f>ROUND(BE43*(1+取值表!$D$6),0)</f>
        <v>65834</v>
      </c>
      <c r="BG43" s="103">
        <f t="shared" ref="BG43" si="1050">BF43</f>
        <v>65834</v>
      </c>
      <c r="BH43" s="103">
        <f t="shared" ref="BH43" si="1051">BG43</f>
        <v>65834</v>
      </c>
      <c r="BI43" s="103">
        <f t="shared" ref="BI43" si="1052">BH43</f>
        <v>65834</v>
      </c>
      <c r="BJ43" s="103">
        <f>ROUND(BI43*(1+取值表!$D$6),0)</f>
        <v>69652</v>
      </c>
      <c r="BK43" s="103">
        <f t="shared" ref="BK43" si="1053">BJ43</f>
        <v>69652</v>
      </c>
      <c r="BL43" s="103">
        <f t="shared" ref="BL43" si="1054">BK43</f>
        <v>69652</v>
      </c>
      <c r="BM43" s="103">
        <f t="shared" ref="BM43" si="1055">BL43</f>
        <v>69652</v>
      </c>
      <c r="BN43" s="103">
        <f>ROUND(BM43*(1+取值表!$D$6),0)</f>
        <v>73692</v>
      </c>
      <c r="BO43" s="103">
        <f t="shared" ref="BO43" si="1056">BN43</f>
        <v>73692</v>
      </c>
      <c r="BP43" s="103">
        <f t="shared" ref="BP43" si="1057">BO43</f>
        <v>73692</v>
      </c>
      <c r="BQ43" s="103">
        <f t="shared" ref="BQ43" si="1058">BP43</f>
        <v>73692</v>
      </c>
      <c r="BR43" s="103">
        <f>ROUND(BQ43*(1+取值表!$D$6),0)</f>
        <v>77966</v>
      </c>
      <c r="BS43" s="103">
        <f t="shared" ref="BS43" si="1059">BR43</f>
        <v>77966</v>
      </c>
      <c r="BT43" s="103">
        <f t="shared" ref="BT43" si="1060">BS43</f>
        <v>77966</v>
      </c>
      <c r="BU43" s="103">
        <f t="shared" ref="BU43" si="1061">BT43</f>
        <v>77966</v>
      </c>
      <c r="BV43" s="103">
        <f>ROUND(BU43*(1+取值表!$D$6),0)</f>
        <v>82488</v>
      </c>
      <c r="BW43" s="103">
        <f t="shared" ref="BW43" si="1062">BV43</f>
        <v>82488</v>
      </c>
      <c r="BX43" s="103">
        <f t="shared" ref="BX43" si="1063">BW43</f>
        <v>82488</v>
      </c>
      <c r="BY43" s="103">
        <f t="shared" ref="BY43" si="1064">BX43</f>
        <v>82488</v>
      </c>
      <c r="BZ43" s="103">
        <f>ROUND(BY43*(1+取值表!$D$6),0)</f>
        <v>87272</v>
      </c>
      <c r="CA43" s="103">
        <f t="shared" ref="CA43" si="1065">BZ43</f>
        <v>87272</v>
      </c>
      <c r="CB43" s="103">
        <f t="shared" ref="CB43" si="1066">CA43</f>
        <v>87272</v>
      </c>
      <c r="CC43" s="103">
        <f t="shared" ref="CC43" si="1067">CB43</f>
        <v>87272</v>
      </c>
      <c r="CD43" s="103">
        <f>ROUND(CC43*(1+取值表!$D$6),0)</f>
        <v>92334</v>
      </c>
      <c r="CE43" s="103">
        <f t="shared" ref="CE43" si="1068">CD43</f>
        <v>92334</v>
      </c>
      <c r="CF43" s="103">
        <f t="shared" ref="CF43" si="1069">CE43</f>
        <v>92334</v>
      </c>
      <c r="CG43" s="103">
        <f t="shared" ref="CG43" si="1070">CF43</f>
        <v>92334</v>
      </c>
      <c r="CH43" s="103">
        <f>ROUND(CG43*(1+取值表!$D$6),0)</f>
        <v>97689</v>
      </c>
      <c r="CI43" s="103">
        <f t="shared" ref="CI43" si="1071">CH43</f>
        <v>97689</v>
      </c>
      <c r="CJ43" s="103">
        <f t="shared" ref="CJ43" si="1072">CI43</f>
        <v>97689</v>
      </c>
      <c r="CK43" s="103">
        <f t="shared" ref="CK43" si="1073">CJ43</f>
        <v>97689</v>
      </c>
      <c r="CL43" s="103">
        <f>ROUND(CK43*(1+取值表!$D$6),0)</f>
        <v>103355</v>
      </c>
      <c r="CM43" s="103">
        <f t="shared" ref="CM43" si="1074">CL43</f>
        <v>103355</v>
      </c>
      <c r="CN43" s="103">
        <f t="shared" ref="CN43" si="1075">CM43</f>
        <v>103355</v>
      </c>
      <c r="CO43" s="103">
        <f t="shared" ref="CO43" si="1076">CN43</f>
        <v>103355</v>
      </c>
      <c r="CP43" s="103">
        <f t="shared" si="904"/>
        <v>5241732</v>
      </c>
    </row>
    <row r="44" spans="1:95">
      <c r="A44" s="546"/>
      <c r="B44" s="550"/>
      <c r="C44" s="548"/>
      <c r="D44" s="549"/>
      <c r="E44" s="547"/>
      <c r="F44" s="562"/>
      <c r="G44" s="562"/>
      <c r="H44" s="613"/>
      <c r="I44" s="99"/>
      <c r="J44" s="101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>
        <f t="shared" si="904"/>
        <v>0</v>
      </c>
    </row>
    <row r="45" spans="1:95" ht="12" customHeight="1">
      <c r="A45" s="546">
        <v>22</v>
      </c>
      <c r="B45" s="550" t="s">
        <v>1092</v>
      </c>
      <c r="C45" s="548" t="s">
        <v>1093</v>
      </c>
      <c r="D45" s="549" t="s">
        <v>431</v>
      </c>
      <c r="E45" s="547" t="s">
        <v>418</v>
      </c>
      <c r="F45" s="562">
        <v>25.2</v>
      </c>
      <c r="G45" s="562">
        <v>38</v>
      </c>
      <c r="H45" s="613">
        <f>F45*G45*365</f>
        <v>349524</v>
      </c>
      <c r="I45" s="99">
        <v>143346.45000000001</v>
      </c>
      <c r="J45" s="150">
        <f>ROUND(G45*F45*365/4,0)</f>
        <v>87381</v>
      </c>
      <c r="K45" s="151">
        <f t="shared" ref="K45:Q45" si="1077">J45</f>
        <v>87381</v>
      </c>
      <c r="L45" s="151">
        <f t="shared" si="1077"/>
        <v>87381</v>
      </c>
      <c r="M45" s="151">
        <f t="shared" si="1077"/>
        <v>87381</v>
      </c>
      <c r="N45" s="151">
        <f t="shared" si="1077"/>
        <v>87381</v>
      </c>
      <c r="O45" s="152">
        <f t="shared" si="1077"/>
        <v>87381</v>
      </c>
      <c r="P45" s="151">
        <f t="shared" si="1077"/>
        <v>87381</v>
      </c>
      <c r="Q45" s="103">
        <f t="shared" si="1077"/>
        <v>87381</v>
      </c>
      <c r="R45" s="103">
        <f>ROUND(Q45*(1+取值表!$D$6)*取值表!$I$6,0)</f>
        <v>86995</v>
      </c>
      <c r="S45" s="103">
        <f>R45</f>
        <v>86995</v>
      </c>
      <c r="T45" s="103">
        <f>S45</f>
        <v>86995</v>
      </c>
      <c r="U45" s="103">
        <f>T45</f>
        <v>86995</v>
      </c>
      <c r="V45" s="278">
        <f>ROUND(U45*(1+取值表!$D$6),0)</f>
        <v>92041</v>
      </c>
      <c r="W45" s="103">
        <f t="shared" ref="W45:Y45" si="1078">V45</f>
        <v>92041</v>
      </c>
      <c r="X45" s="103">
        <f t="shared" si="1078"/>
        <v>92041</v>
      </c>
      <c r="Y45" s="103">
        <f t="shared" si="1078"/>
        <v>92041</v>
      </c>
      <c r="Z45" s="103">
        <f>ROUND(Y45*(1+取值表!$D$6),0)</f>
        <v>97379</v>
      </c>
      <c r="AA45" s="103">
        <f t="shared" ref="AA45:AC45" si="1079">Z45</f>
        <v>97379</v>
      </c>
      <c r="AB45" s="103">
        <f t="shared" si="1079"/>
        <v>97379</v>
      </c>
      <c r="AC45" s="103">
        <f t="shared" si="1079"/>
        <v>97379</v>
      </c>
      <c r="AD45" s="103">
        <f>ROUND(AC45*(1+取值表!$D$6),0)</f>
        <v>103027</v>
      </c>
      <c r="AE45" s="103">
        <f t="shared" ref="AE45" si="1080">AD45</f>
        <v>103027</v>
      </c>
      <c r="AF45" s="103">
        <f t="shared" ref="AF45" si="1081">AE45</f>
        <v>103027</v>
      </c>
      <c r="AG45" s="103">
        <f t="shared" ref="AG45" si="1082">AF45</f>
        <v>103027</v>
      </c>
      <c r="AH45" s="103">
        <f>ROUND(AG45*(1+取值表!$D$6),0)</f>
        <v>109003</v>
      </c>
      <c r="AI45" s="103">
        <f t="shared" ref="AI45" si="1083">AH45</f>
        <v>109003</v>
      </c>
      <c r="AJ45" s="103">
        <f t="shared" ref="AJ45" si="1084">AI45</f>
        <v>109003</v>
      </c>
      <c r="AK45" s="103">
        <f t="shared" ref="AK45" si="1085">AJ45</f>
        <v>109003</v>
      </c>
      <c r="AL45" s="103">
        <f>ROUND(AK45*(1+取值表!$D$6),0)</f>
        <v>115325</v>
      </c>
      <c r="AM45" s="103">
        <f t="shared" ref="AM45" si="1086">AL45</f>
        <v>115325</v>
      </c>
      <c r="AN45" s="103">
        <f t="shared" ref="AN45" si="1087">AM45</f>
        <v>115325</v>
      </c>
      <c r="AO45" s="103">
        <f t="shared" ref="AO45" si="1088">AN45</f>
        <v>115325</v>
      </c>
      <c r="AP45" s="103">
        <f>ROUND(AO45*(1+取值表!$D$6),0)</f>
        <v>122014</v>
      </c>
      <c r="AQ45" s="103">
        <f t="shared" ref="AQ45" si="1089">AP45</f>
        <v>122014</v>
      </c>
      <c r="AR45" s="103">
        <f t="shared" ref="AR45" si="1090">AQ45</f>
        <v>122014</v>
      </c>
      <c r="AS45" s="103">
        <f t="shared" ref="AS45" si="1091">AR45</f>
        <v>122014</v>
      </c>
      <c r="AT45" s="103">
        <f>ROUND(AS45*(1+取值表!$D$6),0)</f>
        <v>129091</v>
      </c>
      <c r="AU45" s="103">
        <f t="shared" ref="AU45" si="1092">AT45</f>
        <v>129091</v>
      </c>
      <c r="AV45" s="103">
        <f t="shared" ref="AV45" si="1093">AU45</f>
        <v>129091</v>
      </c>
      <c r="AW45" s="103">
        <f t="shared" ref="AW45" si="1094">AV45</f>
        <v>129091</v>
      </c>
      <c r="AX45" s="103">
        <f>ROUND(AW45*(1+取值表!$D$6),0)</f>
        <v>136578</v>
      </c>
      <c r="AY45" s="103">
        <f t="shared" ref="AY45" si="1095">AX45</f>
        <v>136578</v>
      </c>
      <c r="AZ45" s="103">
        <f t="shared" ref="AZ45" si="1096">AY45</f>
        <v>136578</v>
      </c>
      <c r="BA45" s="103">
        <f t="shared" ref="BA45" si="1097">AZ45</f>
        <v>136578</v>
      </c>
      <c r="BB45" s="103">
        <f>ROUND(BA45*(1+取值表!$D$6),0)</f>
        <v>144500</v>
      </c>
      <c r="BC45" s="103">
        <f t="shared" ref="BC45" si="1098">BB45</f>
        <v>144500</v>
      </c>
      <c r="BD45" s="103">
        <f t="shared" ref="BD45" si="1099">BC45</f>
        <v>144500</v>
      </c>
      <c r="BE45" s="103">
        <f t="shared" ref="BE45" si="1100">BD45</f>
        <v>144500</v>
      </c>
      <c r="BF45" s="103">
        <f>ROUND(BE45*(1+取值表!$D$6),0)</f>
        <v>152881</v>
      </c>
      <c r="BG45" s="103">
        <f t="shared" ref="BG45" si="1101">BF45</f>
        <v>152881</v>
      </c>
      <c r="BH45" s="103">
        <f t="shared" ref="BH45" si="1102">BG45</f>
        <v>152881</v>
      </c>
      <c r="BI45" s="103">
        <f t="shared" ref="BI45" si="1103">BH45</f>
        <v>152881</v>
      </c>
      <c r="BJ45" s="103">
        <f>ROUND(BI45*(1+取值表!$D$6),0)</f>
        <v>161748</v>
      </c>
      <c r="BK45" s="103">
        <f t="shared" ref="BK45" si="1104">BJ45</f>
        <v>161748</v>
      </c>
      <c r="BL45" s="103">
        <f t="shared" ref="BL45" si="1105">BK45</f>
        <v>161748</v>
      </c>
      <c r="BM45" s="103">
        <f t="shared" ref="BM45" si="1106">BL45</f>
        <v>161748</v>
      </c>
      <c r="BN45" s="103">
        <f>ROUND(BM45*(1+取值表!$D$6),0)</f>
        <v>171129</v>
      </c>
      <c r="BO45" s="103">
        <f t="shared" ref="BO45" si="1107">BN45</f>
        <v>171129</v>
      </c>
      <c r="BP45" s="103">
        <f t="shared" ref="BP45" si="1108">BO45</f>
        <v>171129</v>
      </c>
      <c r="BQ45" s="103">
        <f t="shared" ref="BQ45" si="1109">BP45</f>
        <v>171129</v>
      </c>
      <c r="BR45" s="103">
        <f>ROUND(BQ45*(1+取值表!$D$6),0)</f>
        <v>181054</v>
      </c>
      <c r="BS45" s="103">
        <f t="shared" ref="BS45" si="1110">BR45</f>
        <v>181054</v>
      </c>
      <c r="BT45" s="103">
        <f t="shared" ref="BT45" si="1111">BS45</f>
        <v>181054</v>
      </c>
      <c r="BU45" s="103">
        <f t="shared" ref="BU45" si="1112">BT45</f>
        <v>181054</v>
      </c>
      <c r="BV45" s="103">
        <f>ROUND(BU45*(1+取值表!$D$6),0)</f>
        <v>191555</v>
      </c>
      <c r="BW45" s="103">
        <f t="shared" ref="BW45" si="1113">BV45</f>
        <v>191555</v>
      </c>
      <c r="BX45" s="103">
        <f t="shared" ref="BX45" si="1114">BW45</f>
        <v>191555</v>
      </c>
      <c r="BY45" s="103">
        <f t="shared" ref="BY45" si="1115">BX45</f>
        <v>191555</v>
      </c>
      <c r="BZ45" s="103">
        <f>ROUND(BY45*(1+取值表!$D$6),0)</f>
        <v>202665</v>
      </c>
      <c r="CA45" s="103">
        <f t="shared" ref="CA45" si="1116">BZ45</f>
        <v>202665</v>
      </c>
      <c r="CB45" s="103">
        <f t="shared" ref="CB45" si="1117">CA45</f>
        <v>202665</v>
      </c>
      <c r="CC45" s="103">
        <f t="shared" ref="CC45" si="1118">CB45</f>
        <v>202665</v>
      </c>
      <c r="CD45" s="103">
        <f>ROUND(CC45*(1+取值表!$D$6),0)</f>
        <v>214420</v>
      </c>
      <c r="CE45" s="103">
        <f t="shared" ref="CE45" si="1119">CD45</f>
        <v>214420</v>
      </c>
      <c r="CF45" s="103">
        <f t="shared" ref="CF45" si="1120">CE45</f>
        <v>214420</v>
      </c>
      <c r="CG45" s="103">
        <f t="shared" ref="CG45" si="1121">CF45</f>
        <v>214420</v>
      </c>
      <c r="CH45" s="103">
        <f>ROUND(CG45*(1+取值表!$D$6),0)</f>
        <v>226856</v>
      </c>
      <c r="CI45" s="103">
        <f t="shared" ref="CI45" si="1122">CH45</f>
        <v>226856</v>
      </c>
      <c r="CJ45" s="103">
        <f t="shared" ref="CJ45" si="1123">CI45</f>
        <v>226856</v>
      </c>
      <c r="CK45" s="103">
        <f t="shared" ref="CK45" si="1124">CJ45</f>
        <v>226856</v>
      </c>
      <c r="CL45" s="103">
        <f>ROUND(CK45*(1+取值表!$D$6),0)</f>
        <v>240014</v>
      </c>
      <c r="CM45" s="103">
        <f t="shared" ref="CM45" si="1125">CL45</f>
        <v>240014</v>
      </c>
      <c r="CN45" s="103">
        <f t="shared" ref="CN45" si="1126">CM45</f>
        <v>240014</v>
      </c>
      <c r="CO45" s="103">
        <f t="shared" ref="CO45" si="1127">CN45</f>
        <v>240014</v>
      </c>
      <c r="CP45" s="103">
        <f t="shared" si="904"/>
        <v>12212148</v>
      </c>
    </row>
    <row r="46" spans="1:95">
      <c r="A46" s="546"/>
      <c r="B46" s="550"/>
      <c r="C46" s="548"/>
      <c r="D46" s="549"/>
      <c r="E46" s="547"/>
      <c r="F46" s="562"/>
      <c r="G46" s="562"/>
      <c r="H46" s="613"/>
      <c r="I46" s="99"/>
      <c r="J46" s="101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>
        <f>ROUND(AC46*(1+取值表!$E$6)*取值表!$I$6,0)</f>
        <v>0</v>
      </c>
      <c r="AE46" s="103"/>
      <c r="AF46" s="103"/>
      <c r="AG46" s="103"/>
      <c r="AH46" s="103">
        <f>ROUND(AG46*(1+取值表!$E$6)*取值表!$I$6,0)</f>
        <v>0</v>
      </c>
      <c r="AI46" s="103"/>
      <c r="AJ46" s="103"/>
      <c r="AK46" s="103"/>
      <c r="AL46" s="103">
        <f>ROUND(AK46*(1+取值表!$E$6)*取值表!$I$6,0)</f>
        <v>0</v>
      </c>
      <c r="AM46" s="103"/>
      <c r="AN46" s="103"/>
      <c r="AO46" s="103"/>
      <c r="AP46" s="103">
        <f>ROUND(AO46*(1+取值表!$E$6)*取值表!$I$6,0)</f>
        <v>0</v>
      </c>
      <c r="AQ46" s="103"/>
      <c r="AR46" s="103"/>
      <c r="AS46" s="103"/>
      <c r="AT46" s="103">
        <f>ROUND(AS46*(1+取值表!$E$6)*取值表!$I$6,0)</f>
        <v>0</v>
      </c>
      <c r="AU46" s="103"/>
      <c r="AV46" s="103"/>
      <c r="AW46" s="103"/>
      <c r="AX46" s="103">
        <f>ROUND(AW46*(1+取值表!$E$6)*取值表!$I$6,0)</f>
        <v>0</v>
      </c>
      <c r="AY46" s="103"/>
      <c r="AZ46" s="103"/>
      <c r="BA46" s="103"/>
      <c r="BB46" s="103">
        <f>ROUND(BA46*(1+取值表!$E$6)*取值表!$I$6,0)</f>
        <v>0</v>
      </c>
      <c r="BC46" s="103"/>
      <c r="BD46" s="103"/>
      <c r="BE46" s="103"/>
      <c r="BF46" s="103">
        <f>ROUND(BE46*(1+取值表!$E$6)*取值表!$I$6,0)</f>
        <v>0</v>
      </c>
      <c r="BG46" s="103"/>
      <c r="BH46" s="103"/>
      <c r="BI46" s="103"/>
      <c r="BJ46" s="103">
        <f>ROUND(BI46*(1+取值表!$E$6)*取值表!$I$6,0)</f>
        <v>0</v>
      </c>
      <c r="BK46" s="103"/>
      <c r="BL46" s="103"/>
      <c r="BM46" s="103"/>
      <c r="BN46" s="103">
        <f>ROUND(BM46*(1+取值表!$E$6)*取值表!$I$6,0)</f>
        <v>0</v>
      </c>
      <c r="BO46" s="103"/>
      <c r="BP46" s="103"/>
      <c r="BQ46" s="103"/>
      <c r="BR46" s="103">
        <f>ROUND(BQ46*(1+取值表!$E$6)*取值表!$I$6,0)</f>
        <v>0</v>
      </c>
      <c r="BS46" s="103"/>
      <c r="BT46" s="103"/>
      <c r="BU46" s="103"/>
      <c r="BV46" s="103">
        <f>ROUND(BU46*(1+取值表!$E$6)*取值表!$I$6,0)</f>
        <v>0</v>
      </c>
      <c r="BW46" s="103"/>
      <c r="BX46" s="103"/>
      <c r="BY46" s="103"/>
      <c r="BZ46" s="103">
        <f>ROUND(BY46*(1+取值表!$E$6)*取值表!$I$6,0)</f>
        <v>0</v>
      </c>
      <c r="CA46" s="103"/>
      <c r="CB46" s="103"/>
      <c r="CC46" s="103"/>
      <c r="CD46" s="103">
        <f>ROUND(CC46*(1+取值表!$E$6)*取值表!$I$6,0)</f>
        <v>0</v>
      </c>
      <c r="CE46" s="103"/>
      <c r="CF46" s="103"/>
      <c r="CG46" s="103"/>
      <c r="CH46" s="103">
        <f>ROUND(CG46*(1+取值表!$E$6)*取值表!$I$6,0)</f>
        <v>0</v>
      </c>
      <c r="CI46" s="103"/>
      <c r="CJ46" s="103"/>
      <c r="CK46" s="103"/>
      <c r="CL46" s="103">
        <f>ROUND(CK46*(1+取值表!$E$6)*取值表!$I$6,0)</f>
        <v>0</v>
      </c>
      <c r="CM46" s="103"/>
      <c r="CN46" s="103"/>
      <c r="CO46" s="103"/>
      <c r="CP46" s="103">
        <f t="shared" si="904"/>
        <v>0</v>
      </c>
    </row>
    <row r="47" spans="1:95">
      <c r="A47" s="546">
        <v>23</v>
      </c>
      <c r="B47" s="550" t="s">
        <v>1094</v>
      </c>
      <c r="C47" s="548" t="s">
        <v>1095</v>
      </c>
      <c r="D47" s="549" t="s">
        <v>131</v>
      </c>
      <c r="E47" s="625" t="s">
        <v>418</v>
      </c>
      <c r="F47" s="562">
        <v>347.36</v>
      </c>
      <c r="G47" s="562">
        <v>13</v>
      </c>
      <c r="H47" s="613">
        <f>F47*G47*365</f>
        <v>1648223.2000000002</v>
      </c>
      <c r="I47" s="99">
        <v>412055.8</v>
      </c>
      <c r="J47" s="101">
        <f>ROUND(G47*F47*365/4,0)</f>
        <v>412056</v>
      </c>
      <c r="K47" s="102">
        <f>J47</f>
        <v>412056</v>
      </c>
      <c r="L47" s="103">
        <f>K47</f>
        <v>412056</v>
      </c>
      <c r="M47" s="103">
        <f>L47</f>
        <v>412056</v>
      </c>
      <c r="N47" s="103">
        <f>ROUND(M47*(1+取值表!$D$6)*取值表!$I$6,0)</f>
        <v>410234</v>
      </c>
      <c r="O47" s="103">
        <f>N47</f>
        <v>410234</v>
      </c>
      <c r="P47" s="103">
        <f>O47</f>
        <v>410234</v>
      </c>
      <c r="Q47" s="103">
        <f>P47</f>
        <v>410234</v>
      </c>
      <c r="R47" s="278">
        <f>ROUND(Q47*(1+取值表!$D$6),0)</f>
        <v>434028</v>
      </c>
      <c r="S47" s="103">
        <f t="shared" ref="S47:U47" si="1128">R47</f>
        <v>434028</v>
      </c>
      <c r="T47" s="103">
        <f t="shared" si="1128"/>
        <v>434028</v>
      </c>
      <c r="U47" s="103">
        <f t="shared" si="1128"/>
        <v>434028</v>
      </c>
      <c r="V47" s="103">
        <f>ROUND(U47*(1+取值表!$D$6),0)</f>
        <v>459202</v>
      </c>
      <c r="W47" s="103">
        <f t="shared" ref="W47" si="1129">V47</f>
        <v>459202</v>
      </c>
      <c r="X47" s="103">
        <f t="shared" ref="X47" si="1130">W47</f>
        <v>459202</v>
      </c>
      <c r="Y47" s="103">
        <f t="shared" ref="Y47" si="1131">X47</f>
        <v>459202</v>
      </c>
      <c r="Z47" s="103">
        <f>ROUND(Y47*(1+取值表!$D$6),0)</f>
        <v>485836</v>
      </c>
      <c r="AA47" s="103">
        <f t="shared" ref="AA47" si="1132">Z47</f>
        <v>485836</v>
      </c>
      <c r="AB47" s="103">
        <f t="shared" ref="AB47" si="1133">AA47</f>
        <v>485836</v>
      </c>
      <c r="AC47" s="103">
        <f t="shared" ref="AC47" si="1134">AB47</f>
        <v>485836</v>
      </c>
      <c r="AD47" s="103">
        <f>ROUND(AC47*(1+取值表!$D$6),0)</f>
        <v>514014</v>
      </c>
      <c r="AE47" s="103">
        <f t="shared" ref="AE47" si="1135">AD47</f>
        <v>514014</v>
      </c>
      <c r="AF47" s="103">
        <f t="shared" ref="AF47" si="1136">AE47</f>
        <v>514014</v>
      </c>
      <c r="AG47" s="103">
        <f t="shared" ref="AG47" si="1137">AF47</f>
        <v>514014</v>
      </c>
      <c r="AH47" s="103">
        <f>ROUND(AG47*(1+取值表!$D$6),0)</f>
        <v>543827</v>
      </c>
      <c r="AI47" s="103">
        <f t="shared" ref="AI47" si="1138">AH47</f>
        <v>543827</v>
      </c>
      <c r="AJ47" s="103">
        <f t="shared" ref="AJ47" si="1139">AI47</f>
        <v>543827</v>
      </c>
      <c r="AK47" s="103">
        <f t="shared" ref="AK47" si="1140">AJ47</f>
        <v>543827</v>
      </c>
      <c r="AL47" s="103">
        <f>ROUND(AK47*(1+取值表!$D$6),0)</f>
        <v>575369</v>
      </c>
      <c r="AM47" s="103">
        <f t="shared" ref="AM47" si="1141">AL47</f>
        <v>575369</v>
      </c>
      <c r="AN47" s="103">
        <f t="shared" ref="AN47" si="1142">AM47</f>
        <v>575369</v>
      </c>
      <c r="AO47" s="103">
        <f t="shared" ref="AO47" si="1143">AN47</f>
        <v>575369</v>
      </c>
      <c r="AP47" s="103">
        <f>ROUND(AO47*(1+取值表!$D$6),0)</f>
        <v>608740</v>
      </c>
      <c r="AQ47" s="103">
        <f t="shared" ref="AQ47" si="1144">AP47</f>
        <v>608740</v>
      </c>
      <c r="AR47" s="103">
        <f t="shared" ref="AR47" si="1145">AQ47</f>
        <v>608740</v>
      </c>
      <c r="AS47" s="103">
        <f t="shared" ref="AS47" si="1146">AR47</f>
        <v>608740</v>
      </c>
      <c r="AT47" s="103">
        <f>ROUND(AS47*(1+取值表!$D$6),0)</f>
        <v>644047</v>
      </c>
      <c r="AU47" s="103">
        <f t="shared" ref="AU47" si="1147">AT47</f>
        <v>644047</v>
      </c>
      <c r="AV47" s="103">
        <f t="shared" ref="AV47" si="1148">AU47</f>
        <v>644047</v>
      </c>
      <c r="AW47" s="103">
        <f t="shared" ref="AW47" si="1149">AV47</f>
        <v>644047</v>
      </c>
      <c r="AX47" s="103">
        <f>ROUND(AW47*(1+取值表!$D$6),0)</f>
        <v>681402</v>
      </c>
      <c r="AY47" s="103">
        <f t="shared" ref="AY47" si="1150">AX47</f>
        <v>681402</v>
      </c>
      <c r="AZ47" s="103">
        <f t="shared" ref="AZ47" si="1151">AY47</f>
        <v>681402</v>
      </c>
      <c r="BA47" s="103">
        <f t="shared" ref="BA47" si="1152">AZ47</f>
        <v>681402</v>
      </c>
      <c r="BB47" s="103">
        <f>ROUND(BA47*(1+取值表!$D$6),0)</f>
        <v>720923</v>
      </c>
      <c r="BC47" s="103">
        <f t="shared" ref="BC47" si="1153">BB47</f>
        <v>720923</v>
      </c>
      <c r="BD47" s="103">
        <f t="shared" ref="BD47" si="1154">BC47</f>
        <v>720923</v>
      </c>
      <c r="BE47" s="103">
        <f t="shared" ref="BE47" si="1155">BD47</f>
        <v>720923</v>
      </c>
      <c r="BF47" s="103">
        <f>ROUND(BE47*(1+取值表!$D$6),0)</f>
        <v>762737</v>
      </c>
      <c r="BG47" s="103">
        <f t="shared" ref="BG47" si="1156">BF47</f>
        <v>762737</v>
      </c>
      <c r="BH47" s="103">
        <f t="shared" ref="BH47" si="1157">BG47</f>
        <v>762737</v>
      </c>
      <c r="BI47" s="103">
        <f t="shared" ref="BI47" si="1158">BH47</f>
        <v>762737</v>
      </c>
      <c r="BJ47" s="103">
        <f>ROUND(BI47*(1+取值表!$D$6),0)</f>
        <v>806976</v>
      </c>
      <c r="BK47" s="103">
        <f t="shared" ref="BK47" si="1159">BJ47</f>
        <v>806976</v>
      </c>
      <c r="BL47" s="103">
        <f t="shared" ref="BL47" si="1160">BK47</f>
        <v>806976</v>
      </c>
      <c r="BM47" s="103">
        <f t="shared" ref="BM47" si="1161">BL47</f>
        <v>806976</v>
      </c>
      <c r="BN47" s="103">
        <f>ROUND(BM47*(1+取值表!$D$6),0)</f>
        <v>853781</v>
      </c>
      <c r="BO47" s="103">
        <f t="shared" ref="BO47" si="1162">BN47</f>
        <v>853781</v>
      </c>
      <c r="BP47" s="103">
        <f t="shared" ref="BP47" si="1163">BO47</f>
        <v>853781</v>
      </c>
      <c r="BQ47" s="103">
        <f t="shared" ref="BQ47" si="1164">BP47</f>
        <v>853781</v>
      </c>
      <c r="BR47" s="103">
        <f>ROUND(BQ47*(1+取值表!$D$6),0)</f>
        <v>903300</v>
      </c>
      <c r="BS47" s="103">
        <f t="shared" ref="BS47" si="1165">BR47</f>
        <v>903300</v>
      </c>
      <c r="BT47" s="103">
        <f t="shared" ref="BT47" si="1166">BS47</f>
        <v>903300</v>
      </c>
      <c r="BU47" s="103">
        <f t="shared" ref="BU47" si="1167">BT47</f>
        <v>903300</v>
      </c>
      <c r="BV47" s="103">
        <f>ROUND(BU47*(1+取值表!$D$6),0)</f>
        <v>955691</v>
      </c>
      <c r="BW47" s="103">
        <f t="shared" ref="BW47" si="1168">BV47</f>
        <v>955691</v>
      </c>
      <c r="BX47" s="103">
        <f t="shared" ref="BX47" si="1169">BW47</f>
        <v>955691</v>
      </c>
      <c r="BY47" s="103">
        <f t="shared" ref="BY47" si="1170">BX47</f>
        <v>955691</v>
      </c>
      <c r="BZ47" s="103">
        <f>ROUND(BY47*(1+取值表!$D$6),0)</f>
        <v>1011121</v>
      </c>
      <c r="CA47" s="103">
        <f t="shared" ref="CA47" si="1171">BZ47</f>
        <v>1011121</v>
      </c>
      <c r="CB47" s="103">
        <f t="shared" ref="CB47" si="1172">CA47</f>
        <v>1011121</v>
      </c>
      <c r="CC47" s="103">
        <f t="shared" ref="CC47" si="1173">CB47</f>
        <v>1011121</v>
      </c>
      <c r="CD47" s="103">
        <f>ROUND(CC47*(1+取值表!$D$6),0)</f>
        <v>1069766</v>
      </c>
      <c r="CE47" s="103">
        <f t="shared" ref="CE47" si="1174">CD47</f>
        <v>1069766</v>
      </c>
      <c r="CF47" s="103">
        <f t="shared" ref="CF47" si="1175">CE47</f>
        <v>1069766</v>
      </c>
      <c r="CG47" s="103">
        <f t="shared" ref="CG47" si="1176">CF47</f>
        <v>1069766</v>
      </c>
      <c r="CH47" s="103">
        <f>ROUND(CG47*(1+取值表!$D$6),0)</f>
        <v>1131812</v>
      </c>
      <c r="CI47" s="103">
        <f t="shared" ref="CI47" si="1177">CH47</f>
        <v>1131812</v>
      </c>
      <c r="CJ47" s="103">
        <f t="shared" ref="CJ47" si="1178">CI47</f>
        <v>1131812</v>
      </c>
      <c r="CK47" s="103">
        <f t="shared" ref="CK47" si="1179">CJ47</f>
        <v>1131812</v>
      </c>
      <c r="CL47" s="103">
        <f>ROUND(CK47*(1+取值表!$D$6),0)</f>
        <v>1197457</v>
      </c>
      <c r="CM47" s="103">
        <f t="shared" ref="CM47" si="1180">CL47</f>
        <v>1197457</v>
      </c>
      <c r="CN47" s="103">
        <f t="shared" ref="CN47" si="1181">CM47</f>
        <v>1197457</v>
      </c>
      <c r="CO47" s="103">
        <f t="shared" ref="CO47" si="1182">CN47</f>
        <v>1197457</v>
      </c>
      <c r="CP47" s="103">
        <f t="shared" si="904"/>
        <v>60729276</v>
      </c>
    </row>
    <row r="48" spans="1:95">
      <c r="A48" s="546"/>
      <c r="B48" s="550"/>
      <c r="C48" s="548"/>
      <c r="D48" s="549"/>
      <c r="E48" s="625"/>
      <c r="F48" s="562"/>
      <c r="G48" s="562"/>
      <c r="H48" s="613"/>
      <c r="I48" s="99"/>
      <c r="J48" s="101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>
        <f t="shared" si="904"/>
        <v>0</v>
      </c>
    </row>
    <row r="49" spans="1:95">
      <c r="A49" s="546">
        <v>24</v>
      </c>
      <c r="B49" s="550" t="s">
        <v>1096</v>
      </c>
      <c r="C49" s="548" t="s">
        <v>1097</v>
      </c>
      <c r="D49" s="549" t="s">
        <v>432</v>
      </c>
      <c r="E49" s="547" t="s">
        <v>418</v>
      </c>
      <c r="F49" s="562">
        <v>302.93</v>
      </c>
      <c r="G49" s="540">
        <f>AVERAGE(10)</f>
        <v>10</v>
      </c>
      <c r="H49" s="613">
        <f>F49*G49*365</f>
        <v>1105694.5</v>
      </c>
      <c r="I49" s="99">
        <v>276423.63</v>
      </c>
      <c r="J49" s="101">
        <f>ROUND(G49*F49*365/4,0)</f>
        <v>276424</v>
      </c>
      <c r="K49" s="102">
        <f>J49</f>
        <v>276424</v>
      </c>
      <c r="L49" s="103">
        <f>K49</f>
        <v>276424</v>
      </c>
      <c r="M49" s="103">
        <f>L49</f>
        <v>276424</v>
      </c>
      <c r="N49" s="103">
        <f>ROUND(M49*(1+取值表!$D$6)*取值表!$I$6,0)</f>
        <v>275202</v>
      </c>
      <c r="O49" s="103">
        <f>N49</f>
        <v>275202</v>
      </c>
      <c r="P49" s="103">
        <f>O49</f>
        <v>275202</v>
      </c>
      <c r="Q49" s="103">
        <f>P49</f>
        <v>275202</v>
      </c>
      <c r="R49" s="278">
        <f>ROUND(Q49*(1+取值表!$D$6),0)</f>
        <v>291164</v>
      </c>
      <c r="S49" s="103">
        <f t="shared" ref="S49:U49" si="1183">R49</f>
        <v>291164</v>
      </c>
      <c r="T49" s="103">
        <f t="shared" si="1183"/>
        <v>291164</v>
      </c>
      <c r="U49" s="103">
        <f t="shared" si="1183"/>
        <v>291164</v>
      </c>
      <c r="V49" s="103">
        <f>ROUND(U49*(1+取值表!$D$6),0)</f>
        <v>308052</v>
      </c>
      <c r="W49" s="103">
        <f t="shared" ref="W49" si="1184">V49</f>
        <v>308052</v>
      </c>
      <c r="X49" s="103">
        <f t="shared" ref="X49" si="1185">W49</f>
        <v>308052</v>
      </c>
      <c r="Y49" s="103">
        <f t="shared" ref="Y49" si="1186">X49</f>
        <v>308052</v>
      </c>
      <c r="Z49" s="103">
        <f>ROUND(Y49*(1+取值表!$D$6),0)</f>
        <v>325919</v>
      </c>
      <c r="AA49" s="103">
        <f t="shared" ref="AA49" si="1187">Z49</f>
        <v>325919</v>
      </c>
      <c r="AB49" s="103">
        <f t="shared" ref="AB49" si="1188">AA49</f>
        <v>325919</v>
      </c>
      <c r="AC49" s="103">
        <f t="shared" ref="AC49" si="1189">AB49</f>
        <v>325919</v>
      </c>
      <c r="AD49" s="103">
        <f>ROUND(AC49*(1+取值表!$D$6),0)</f>
        <v>344822</v>
      </c>
      <c r="AE49" s="103">
        <f t="shared" ref="AE49" si="1190">AD49</f>
        <v>344822</v>
      </c>
      <c r="AF49" s="103">
        <f t="shared" ref="AF49" si="1191">AE49</f>
        <v>344822</v>
      </c>
      <c r="AG49" s="103">
        <f t="shared" ref="AG49" si="1192">AF49</f>
        <v>344822</v>
      </c>
      <c r="AH49" s="103">
        <f>ROUND(AG49*(1+取值表!$D$6),0)</f>
        <v>364822</v>
      </c>
      <c r="AI49" s="103">
        <f t="shared" ref="AI49" si="1193">AH49</f>
        <v>364822</v>
      </c>
      <c r="AJ49" s="103">
        <f t="shared" ref="AJ49" si="1194">AI49</f>
        <v>364822</v>
      </c>
      <c r="AK49" s="103">
        <f t="shared" ref="AK49" si="1195">AJ49</f>
        <v>364822</v>
      </c>
      <c r="AL49" s="103">
        <f>ROUND(AK49*(1+取值表!$D$6),0)</f>
        <v>385982</v>
      </c>
      <c r="AM49" s="103">
        <f t="shared" ref="AM49" si="1196">AL49</f>
        <v>385982</v>
      </c>
      <c r="AN49" s="103">
        <f t="shared" ref="AN49" si="1197">AM49</f>
        <v>385982</v>
      </c>
      <c r="AO49" s="103">
        <f t="shared" ref="AO49" si="1198">AN49</f>
        <v>385982</v>
      </c>
      <c r="AP49" s="103">
        <f>ROUND(AO49*(1+取值表!$D$6),0)</f>
        <v>408369</v>
      </c>
      <c r="AQ49" s="103">
        <f t="shared" ref="AQ49" si="1199">AP49</f>
        <v>408369</v>
      </c>
      <c r="AR49" s="103">
        <f t="shared" ref="AR49" si="1200">AQ49</f>
        <v>408369</v>
      </c>
      <c r="AS49" s="103">
        <f t="shared" ref="AS49" si="1201">AR49</f>
        <v>408369</v>
      </c>
      <c r="AT49" s="103">
        <f>ROUND(AS49*(1+取值表!$D$6),0)</f>
        <v>432054</v>
      </c>
      <c r="AU49" s="103">
        <f t="shared" ref="AU49" si="1202">AT49</f>
        <v>432054</v>
      </c>
      <c r="AV49" s="103">
        <f t="shared" ref="AV49" si="1203">AU49</f>
        <v>432054</v>
      </c>
      <c r="AW49" s="103">
        <f t="shared" ref="AW49" si="1204">AV49</f>
        <v>432054</v>
      </c>
      <c r="AX49" s="103">
        <f>ROUND(AW49*(1+取值表!$D$6),0)</f>
        <v>457113</v>
      </c>
      <c r="AY49" s="103">
        <f t="shared" ref="AY49" si="1205">AX49</f>
        <v>457113</v>
      </c>
      <c r="AZ49" s="103">
        <f t="shared" ref="AZ49" si="1206">AY49</f>
        <v>457113</v>
      </c>
      <c r="BA49" s="103">
        <f t="shared" ref="BA49" si="1207">AZ49</f>
        <v>457113</v>
      </c>
      <c r="BB49" s="103">
        <f>ROUND(BA49*(1+取值表!$D$6),0)</f>
        <v>483626</v>
      </c>
      <c r="BC49" s="103">
        <f t="shared" ref="BC49" si="1208">BB49</f>
        <v>483626</v>
      </c>
      <c r="BD49" s="103">
        <f t="shared" ref="BD49" si="1209">BC49</f>
        <v>483626</v>
      </c>
      <c r="BE49" s="103">
        <f t="shared" ref="BE49" si="1210">BD49</f>
        <v>483626</v>
      </c>
      <c r="BF49" s="103">
        <f>ROUND(BE49*(1+取值表!$D$6),0)</f>
        <v>511676</v>
      </c>
      <c r="BG49" s="103">
        <f t="shared" ref="BG49" si="1211">BF49</f>
        <v>511676</v>
      </c>
      <c r="BH49" s="103">
        <f t="shared" ref="BH49" si="1212">BG49</f>
        <v>511676</v>
      </c>
      <c r="BI49" s="103">
        <f t="shared" ref="BI49" si="1213">BH49</f>
        <v>511676</v>
      </c>
      <c r="BJ49" s="103">
        <f>ROUND(BI49*(1+取值表!$D$6),0)</f>
        <v>541353</v>
      </c>
      <c r="BK49" s="103">
        <f t="shared" ref="BK49" si="1214">BJ49</f>
        <v>541353</v>
      </c>
      <c r="BL49" s="103">
        <f t="shared" ref="BL49" si="1215">BK49</f>
        <v>541353</v>
      </c>
      <c r="BM49" s="103">
        <f t="shared" ref="BM49" si="1216">BL49</f>
        <v>541353</v>
      </c>
      <c r="BN49" s="103">
        <f>ROUND(BM49*(1+取值表!$D$6),0)</f>
        <v>572751</v>
      </c>
      <c r="BO49" s="103">
        <f t="shared" ref="BO49" si="1217">BN49</f>
        <v>572751</v>
      </c>
      <c r="BP49" s="103">
        <f t="shared" ref="BP49" si="1218">BO49</f>
        <v>572751</v>
      </c>
      <c r="BQ49" s="103">
        <f t="shared" ref="BQ49" si="1219">BP49</f>
        <v>572751</v>
      </c>
      <c r="BR49" s="103">
        <f>ROUND(BQ49*(1+取值表!$D$6),0)</f>
        <v>605971</v>
      </c>
      <c r="BS49" s="103">
        <f t="shared" ref="BS49" si="1220">BR49</f>
        <v>605971</v>
      </c>
      <c r="BT49" s="103">
        <f t="shared" ref="BT49" si="1221">BS49</f>
        <v>605971</v>
      </c>
      <c r="BU49" s="103">
        <f t="shared" ref="BU49" si="1222">BT49</f>
        <v>605971</v>
      </c>
      <c r="BV49" s="103">
        <f>ROUND(BU49*(1+取值表!$D$6),0)</f>
        <v>641117</v>
      </c>
      <c r="BW49" s="103">
        <f t="shared" ref="BW49" si="1223">BV49</f>
        <v>641117</v>
      </c>
      <c r="BX49" s="103">
        <f t="shared" ref="BX49" si="1224">BW49</f>
        <v>641117</v>
      </c>
      <c r="BY49" s="103">
        <f t="shared" ref="BY49" si="1225">BX49</f>
        <v>641117</v>
      </c>
      <c r="BZ49" s="103">
        <f>ROUND(BY49*(1+取值表!$D$6),0)</f>
        <v>678302</v>
      </c>
      <c r="CA49" s="103">
        <f t="shared" ref="CA49" si="1226">BZ49</f>
        <v>678302</v>
      </c>
      <c r="CB49" s="103">
        <f t="shared" ref="CB49" si="1227">CA49</f>
        <v>678302</v>
      </c>
      <c r="CC49" s="103">
        <f t="shared" ref="CC49" si="1228">CB49</f>
        <v>678302</v>
      </c>
      <c r="CD49" s="103">
        <f>ROUND(CC49*(1+取值表!$D$6),0)</f>
        <v>717644</v>
      </c>
      <c r="CE49" s="103">
        <f t="shared" ref="CE49" si="1229">CD49</f>
        <v>717644</v>
      </c>
      <c r="CF49" s="103">
        <f t="shared" ref="CF49" si="1230">CE49</f>
        <v>717644</v>
      </c>
      <c r="CG49" s="103">
        <f t="shared" ref="CG49" si="1231">CF49</f>
        <v>717644</v>
      </c>
      <c r="CH49" s="103">
        <f>ROUND(CG49*(1+取值表!$D$6),0)</f>
        <v>759267</v>
      </c>
      <c r="CI49" s="103">
        <f t="shared" ref="CI49" si="1232">CH49</f>
        <v>759267</v>
      </c>
      <c r="CJ49" s="103">
        <f t="shared" ref="CJ49" si="1233">CI49</f>
        <v>759267</v>
      </c>
      <c r="CK49" s="103">
        <f t="shared" ref="CK49" si="1234">CJ49</f>
        <v>759267</v>
      </c>
      <c r="CL49" s="103">
        <f>ROUND(CK49*(1+取值表!$D$6),0)</f>
        <v>803304</v>
      </c>
      <c r="CM49" s="103">
        <f t="shared" ref="CM49" si="1235">CL49</f>
        <v>803304</v>
      </c>
      <c r="CN49" s="103">
        <f t="shared" ref="CN49" si="1236">CM49</f>
        <v>803304</v>
      </c>
      <c r="CO49" s="103">
        <f t="shared" ref="CO49" si="1237">CN49</f>
        <v>803304</v>
      </c>
      <c r="CP49" s="103">
        <f t="shared" si="904"/>
        <v>40739736</v>
      </c>
    </row>
    <row r="50" spans="1:95">
      <c r="A50" s="546"/>
      <c r="B50" s="550"/>
      <c r="C50" s="548"/>
      <c r="D50" s="549"/>
      <c r="E50" s="547"/>
      <c r="F50" s="562"/>
      <c r="G50" s="540"/>
      <c r="H50" s="613"/>
      <c r="I50" s="99"/>
      <c r="J50" s="101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>
        <f t="shared" si="904"/>
        <v>0</v>
      </c>
    </row>
    <row r="51" spans="1:95">
      <c r="A51" s="546">
        <v>25</v>
      </c>
      <c r="B51" s="550" t="s">
        <v>1098</v>
      </c>
      <c r="C51" s="626" t="s">
        <v>1099</v>
      </c>
      <c r="D51" s="549" t="s">
        <v>28</v>
      </c>
      <c r="E51" s="547" t="s">
        <v>418</v>
      </c>
      <c r="F51" s="562">
        <v>405.12</v>
      </c>
      <c r="G51" s="562">
        <v>15.11</v>
      </c>
      <c r="H51" s="613">
        <f>F51*G51*365</f>
        <v>2234297.568</v>
      </c>
      <c r="I51" s="99">
        <v>273557.28000000003</v>
      </c>
      <c r="J51" s="101">
        <f>ROUND(G51*F51*365/4,0)</f>
        <v>558574</v>
      </c>
      <c r="K51" s="102">
        <f>J51</f>
        <v>558574</v>
      </c>
      <c r="L51" s="103">
        <f>K51</f>
        <v>558574</v>
      </c>
      <c r="M51" s="103">
        <f>L51</f>
        <v>558574</v>
      </c>
      <c r="N51" s="103">
        <f>ROUND(M51*(1+取值表!$D$6)*取值表!$I$6,0)</f>
        <v>556104</v>
      </c>
      <c r="O51" s="103">
        <f>N51</f>
        <v>556104</v>
      </c>
      <c r="P51" s="103">
        <f>O51</f>
        <v>556104</v>
      </c>
      <c r="Q51" s="103">
        <f>P51</f>
        <v>556104</v>
      </c>
      <c r="R51" s="278">
        <f>ROUND(Q51*(1+取值表!$D$6),0)</f>
        <v>588358</v>
      </c>
      <c r="S51" s="103">
        <f t="shared" ref="S51:U51" si="1238">R51</f>
        <v>588358</v>
      </c>
      <c r="T51" s="103">
        <f t="shared" si="1238"/>
        <v>588358</v>
      </c>
      <c r="U51" s="103">
        <f t="shared" si="1238"/>
        <v>588358</v>
      </c>
      <c r="V51" s="103">
        <f>ROUND(U51*(1+取值表!$D$6),0)</f>
        <v>622483</v>
      </c>
      <c r="W51" s="103">
        <f t="shared" ref="W51" si="1239">V51</f>
        <v>622483</v>
      </c>
      <c r="X51" s="103">
        <f t="shared" ref="X51" si="1240">W51</f>
        <v>622483</v>
      </c>
      <c r="Y51" s="103">
        <f t="shared" ref="Y51" si="1241">X51</f>
        <v>622483</v>
      </c>
      <c r="Z51" s="103">
        <f>ROUND(Y51*(1+取值表!$D$6),0)</f>
        <v>658587</v>
      </c>
      <c r="AA51" s="103">
        <f t="shared" ref="AA51" si="1242">Z51</f>
        <v>658587</v>
      </c>
      <c r="AB51" s="103">
        <f t="shared" ref="AB51" si="1243">AA51</f>
        <v>658587</v>
      </c>
      <c r="AC51" s="103">
        <f t="shared" ref="AC51" si="1244">AB51</f>
        <v>658587</v>
      </c>
      <c r="AD51" s="103">
        <f>ROUND(AC51*(1+取值表!$D$6),0)</f>
        <v>696785</v>
      </c>
      <c r="AE51" s="103">
        <f t="shared" ref="AE51" si="1245">AD51</f>
        <v>696785</v>
      </c>
      <c r="AF51" s="103">
        <f t="shared" ref="AF51" si="1246">AE51</f>
        <v>696785</v>
      </c>
      <c r="AG51" s="103">
        <f t="shared" ref="AG51" si="1247">AF51</f>
        <v>696785</v>
      </c>
      <c r="AH51" s="103">
        <f>ROUND(AG51*(1+取值表!$D$6),0)</f>
        <v>737199</v>
      </c>
      <c r="AI51" s="103">
        <f t="shared" ref="AI51" si="1248">AH51</f>
        <v>737199</v>
      </c>
      <c r="AJ51" s="103">
        <f t="shared" ref="AJ51" si="1249">AI51</f>
        <v>737199</v>
      </c>
      <c r="AK51" s="103">
        <f t="shared" ref="AK51" si="1250">AJ51</f>
        <v>737199</v>
      </c>
      <c r="AL51" s="103">
        <f>ROUND(AK51*(1+取值表!$D$6),0)</f>
        <v>779957</v>
      </c>
      <c r="AM51" s="103">
        <f t="shared" ref="AM51" si="1251">AL51</f>
        <v>779957</v>
      </c>
      <c r="AN51" s="103">
        <f t="shared" ref="AN51" si="1252">AM51</f>
        <v>779957</v>
      </c>
      <c r="AO51" s="103">
        <f t="shared" ref="AO51" si="1253">AN51</f>
        <v>779957</v>
      </c>
      <c r="AP51" s="103">
        <f>ROUND(AO51*(1+取值表!$D$6),0)</f>
        <v>825195</v>
      </c>
      <c r="AQ51" s="103">
        <f t="shared" ref="AQ51" si="1254">AP51</f>
        <v>825195</v>
      </c>
      <c r="AR51" s="103">
        <f t="shared" ref="AR51" si="1255">AQ51</f>
        <v>825195</v>
      </c>
      <c r="AS51" s="103">
        <f t="shared" ref="AS51" si="1256">AR51</f>
        <v>825195</v>
      </c>
      <c r="AT51" s="103">
        <f>ROUND(AS51*(1+取值表!$D$6),0)</f>
        <v>873056</v>
      </c>
      <c r="AU51" s="103">
        <f t="shared" ref="AU51" si="1257">AT51</f>
        <v>873056</v>
      </c>
      <c r="AV51" s="103">
        <f t="shared" ref="AV51" si="1258">AU51</f>
        <v>873056</v>
      </c>
      <c r="AW51" s="103">
        <f t="shared" ref="AW51" si="1259">AV51</f>
        <v>873056</v>
      </c>
      <c r="AX51" s="103">
        <f>ROUND(AW51*(1+取值表!$D$6),0)</f>
        <v>923693</v>
      </c>
      <c r="AY51" s="103">
        <f t="shared" ref="AY51" si="1260">AX51</f>
        <v>923693</v>
      </c>
      <c r="AZ51" s="103">
        <f t="shared" ref="AZ51" si="1261">AY51</f>
        <v>923693</v>
      </c>
      <c r="BA51" s="103">
        <f t="shared" ref="BA51" si="1262">AZ51</f>
        <v>923693</v>
      </c>
      <c r="BB51" s="103">
        <f>ROUND(BA51*(1+取值表!$D$6),0)</f>
        <v>977267</v>
      </c>
      <c r="BC51" s="103">
        <f t="shared" ref="BC51" si="1263">BB51</f>
        <v>977267</v>
      </c>
      <c r="BD51" s="103">
        <f t="shared" ref="BD51" si="1264">BC51</f>
        <v>977267</v>
      </c>
      <c r="BE51" s="103">
        <f t="shared" ref="BE51" si="1265">BD51</f>
        <v>977267</v>
      </c>
      <c r="BF51" s="103">
        <f>ROUND(BE51*(1+取值表!$D$6),0)</f>
        <v>1033948</v>
      </c>
      <c r="BG51" s="103">
        <f t="shared" ref="BG51" si="1266">BF51</f>
        <v>1033948</v>
      </c>
      <c r="BH51" s="103">
        <f t="shared" ref="BH51" si="1267">BG51</f>
        <v>1033948</v>
      </c>
      <c r="BI51" s="103">
        <f t="shared" ref="BI51" si="1268">BH51</f>
        <v>1033948</v>
      </c>
      <c r="BJ51" s="103">
        <f>ROUND(BI51*(1+取值表!$D$6),0)</f>
        <v>1093917</v>
      </c>
      <c r="BK51" s="103">
        <f t="shared" ref="BK51" si="1269">BJ51</f>
        <v>1093917</v>
      </c>
      <c r="BL51" s="103">
        <f t="shared" ref="BL51" si="1270">BK51</f>
        <v>1093917</v>
      </c>
      <c r="BM51" s="103">
        <f t="shared" ref="BM51" si="1271">BL51</f>
        <v>1093917</v>
      </c>
      <c r="BN51" s="103">
        <f>ROUND(BM51*(1+取值表!$D$6),0)</f>
        <v>1157364</v>
      </c>
      <c r="BO51" s="103">
        <f t="shared" ref="BO51" si="1272">BN51</f>
        <v>1157364</v>
      </c>
      <c r="BP51" s="103">
        <f t="shared" ref="BP51" si="1273">BO51</f>
        <v>1157364</v>
      </c>
      <c r="BQ51" s="103">
        <f t="shared" ref="BQ51" si="1274">BP51</f>
        <v>1157364</v>
      </c>
      <c r="BR51" s="103">
        <f>ROUND(BQ51*(1+取值表!$D$6),0)</f>
        <v>1224491</v>
      </c>
      <c r="BS51" s="103">
        <f t="shared" ref="BS51" si="1275">BR51</f>
        <v>1224491</v>
      </c>
      <c r="BT51" s="103">
        <f t="shared" ref="BT51" si="1276">BS51</f>
        <v>1224491</v>
      </c>
      <c r="BU51" s="103">
        <f t="shared" ref="BU51" si="1277">BT51</f>
        <v>1224491</v>
      </c>
      <c r="BV51" s="103">
        <f>ROUND(BU51*(1+取值表!$D$6),0)</f>
        <v>1295511</v>
      </c>
      <c r="BW51" s="103">
        <f t="shared" ref="BW51" si="1278">BV51</f>
        <v>1295511</v>
      </c>
      <c r="BX51" s="103">
        <f t="shared" ref="BX51" si="1279">BW51</f>
        <v>1295511</v>
      </c>
      <c r="BY51" s="103">
        <f t="shared" ref="BY51" si="1280">BX51</f>
        <v>1295511</v>
      </c>
      <c r="BZ51" s="103">
        <f>ROUND(BY51*(1+取值表!$D$6),0)</f>
        <v>1370651</v>
      </c>
      <c r="CA51" s="103">
        <f t="shared" ref="CA51" si="1281">BZ51</f>
        <v>1370651</v>
      </c>
      <c r="CB51" s="103">
        <f t="shared" ref="CB51" si="1282">CA51</f>
        <v>1370651</v>
      </c>
      <c r="CC51" s="103">
        <f t="shared" ref="CC51" si="1283">CB51</f>
        <v>1370651</v>
      </c>
      <c r="CD51" s="103">
        <f>ROUND(CC51*(1+取值表!$D$6),0)</f>
        <v>1450149</v>
      </c>
      <c r="CE51" s="103">
        <f t="shared" ref="CE51" si="1284">CD51</f>
        <v>1450149</v>
      </c>
      <c r="CF51" s="103">
        <f t="shared" ref="CF51" si="1285">CE51</f>
        <v>1450149</v>
      </c>
      <c r="CG51" s="103">
        <f t="shared" ref="CG51" si="1286">CF51</f>
        <v>1450149</v>
      </c>
      <c r="CH51" s="103">
        <f>ROUND(CG51*(1+取值表!$D$6),0)</f>
        <v>1534258</v>
      </c>
      <c r="CI51" s="103">
        <f t="shared" ref="CI51" si="1287">CH51</f>
        <v>1534258</v>
      </c>
      <c r="CJ51" s="103">
        <f t="shared" ref="CJ51" si="1288">CI51</f>
        <v>1534258</v>
      </c>
      <c r="CK51" s="103">
        <f t="shared" ref="CK51" si="1289">CJ51</f>
        <v>1534258</v>
      </c>
      <c r="CL51" s="103">
        <f>ROUND(CK51*(1+取值表!$D$6),0)</f>
        <v>1623245</v>
      </c>
      <c r="CM51" s="103">
        <f t="shared" ref="CM51" si="1290">CL51</f>
        <v>1623245</v>
      </c>
      <c r="CN51" s="103">
        <f t="shared" ref="CN51" si="1291">CM51</f>
        <v>1623245</v>
      </c>
      <c r="CO51" s="103">
        <f t="shared" ref="CO51" si="1292">CN51</f>
        <v>1623245</v>
      </c>
      <c r="CP51" s="103">
        <f t="shared" si="904"/>
        <v>82323168</v>
      </c>
    </row>
    <row r="52" spans="1:95">
      <c r="A52" s="546"/>
      <c r="B52" s="550"/>
      <c r="C52" s="626"/>
      <c r="D52" s="549"/>
      <c r="E52" s="547"/>
      <c r="F52" s="562"/>
      <c r="G52" s="562"/>
      <c r="H52" s="613"/>
      <c r="I52" s="99"/>
      <c r="J52" s="101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>
        <f t="shared" si="904"/>
        <v>0</v>
      </c>
    </row>
    <row r="53" spans="1:95" ht="12" customHeight="1">
      <c r="A53" s="546">
        <v>26</v>
      </c>
      <c r="B53" s="550" t="s">
        <v>1100</v>
      </c>
      <c r="C53" s="548" t="s">
        <v>1101</v>
      </c>
      <c r="D53" s="549" t="s">
        <v>433</v>
      </c>
      <c r="E53" s="547" t="s">
        <v>418</v>
      </c>
      <c r="F53" s="562">
        <v>107.27</v>
      </c>
      <c r="G53" s="562">
        <v>23</v>
      </c>
      <c r="H53" s="613">
        <f>F53*G53*365</f>
        <v>900531.65</v>
      </c>
      <c r="I53" s="99">
        <v>195767.7</v>
      </c>
      <c r="J53" s="101">
        <f>ROUND(G53*F53*365/4,0)</f>
        <v>225133</v>
      </c>
      <c r="K53" s="102">
        <f>J53</f>
        <v>225133</v>
      </c>
      <c r="L53" s="103">
        <f>K53</f>
        <v>225133</v>
      </c>
      <c r="M53" s="103">
        <f>L53</f>
        <v>225133</v>
      </c>
      <c r="N53" s="103">
        <f>ROUND(M53*(1+取值表!$D$6)*取值表!$I$6,0)</f>
        <v>224137</v>
      </c>
      <c r="O53" s="103">
        <f>N53</f>
        <v>224137</v>
      </c>
      <c r="P53" s="103">
        <f>O53</f>
        <v>224137</v>
      </c>
      <c r="Q53" s="103">
        <f>P53</f>
        <v>224137</v>
      </c>
      <c r="R53" s="278">
        <f>ROUND(Q53*(1+取值表!$D$6),0)</f>
        <v>237137</v>
      </c>
      <c r="S53" s="103">
        <f t="shared" ref="S53:U53" si="1293">R53</f>
        <v>237137</v>
      </c>
      <c r="T53" s="103">
        <f t="shared" si="1293"/>
        <v>237137</v>
      </c>
      <c r="U53" s="103">
        <f t="shared" si="1293"/>
        <v>237137</v>
      </c>
      <c r="V53" s="103">
        <f>ROUND(U53*(1+取值表!$D$6),0)</f>
        <v>250891</v>
      </c>
      <c r="W53" s="103">
        <f t="shared" ref="W53" si="1294">V53</f>
        <v>250891</v>
      </c>
      <c r="X53" s="103">
        <f t="shared" ref="X53" si="1295">W53</f>
        <v>250891</v>
      </c>
      <c r="Y53" s="103">
        <f t="shared" ref="Y53" si="1296">X53</f>
        <v>250891</v>
      </c>
      <c r="Z53" s="103">
        <f>ROUND(Y53*(1+取值表!$D$6),0)</f>
        <v>265443</v>
      </c>
      <c r="AA53" s="103">
        <f t="shared" ref="AA53" si="1297">Z53</f>
        <v>265443</v>
      </c>
      <c r="AB53" s="103">
        <f t="shared" ref="AB53" si="1298">AA53</f>
        <v>265443</v>
      </c>
      <c r="AC53" s="103">
        <f t="shared" ref="AC53" si="1299">AB53</f>
        <v>265443</v>
      </c>
      <c r="AD53" s="103">
        <f>ROUND(AC53*(1+取值表!$D$6),0)</f>
        <v>280839</v>
      </c>
      <c r="AE53" s="103">
        <f t="shared" ref="AE53" si="1300">AD53</f>
        <v>280839</v>
      </c>
      <c r="AF53" s="103">
        <f t="shared" ref="AF53" si="1301">AE53</f>
        <v>280839</v>
      </c>
      <c r="AG53" s="103">
        <f t="shared" ref="AG53" si="1302">AF53</f>
        <v>280839</v>
      </c>
      <c r="AH53" s="103">
        <f>ROUND(AG53*(1+取值表!$D$6),0)</f>
        <v>297128</v>
      </c>
      <c r="AI53" s="103">
        <f t="shared" ref="AI53" si="1303">AH53</f>
        <v>297128</v>
      </c>
      <c r="AJ53" s="103">
        <f t="shared" ref="AJ53" si="1304">AI53</f>
        <v>297128</v>
      </c>
      <c r="AK53" s="103">
        <f t="shared" ref="AK53" si="1305">AJ53</f>
        <v>297128</v>
      </c>
      <c r="AL53" s="103">
        <f>ROUND(AK53*(1+取值表!$D$6),0)</f>
        <v>314361</v>
      </c>
      <c r="AM53" s="103">
        <f t="shared" ref="AM53" si="1306">AL53</f>
        <v>314361</v>
      </c>
      <c r="AN53" s="103">
        <f t="shared" ref="AN53" si="1307">AM53</f>
        <v>314361</v>
      </c>
      <c r="AO53" s="103">
        <f t="shared" ref="AO53" si="1308">AN53</f>
        <v>314361</v>
      </c>
      <c r="AP53" s="103">
        <f>ROUND(AO53*(1+取值表!$D$6),0)</f>
        <v>332594</v>
      </c>
      <c r="AQ53" s="103">
        <f t="shared" ref="AQ53" si="1309">AP53</f>
        <v>332594</v>
      </c>
      <c r="AR53" s="103">
        <f t="shared" ref="AR53" si="1310">AQ53</f>
        <v>332594</v>
      </c>
      <c r="AS53" s="103">
        <f t="shared" ref="AS53" si="1311">AR53</f>
        <v>332594</v>
      </c>
      <c r="AT53" s="103">
        <f>ROUND(AS53*(1+取值表!$D$6),0)</f>
        <v>351884</v>
      </c>
      <c r="AU53" s="103">
        <f t="shared" ref="AU53" si="1312">AT53</f>
        <v>351884</v>
      </c>
      <c r="AV53" s="103">
        <f t="shared" ref="AV53" si="1313">AU53</f>
        <v>351884</v>
      </c>
      <c r="AW53" s="103">
        <f t="shared" ref="AW53" si="1314">AV53</f>
        <v>351884</v>
      </c>
      <c r="AX53" s="103">
        <f>ROUND(AW53*(1+取值表!$D$6),0)</f>
        <v>372293</v>
      </c>
      <c r="AY53" s="103">
        <f t="shared" ref="AY53" si="1315">AX53</f>
        <v>372293</v>
      </c>
      <c r="AZ53" s="103">
        <f t="shared" ref="AZ53" si="1316">AY53</f>
        <v>372293</v>
      </c>
      <c r="BA53" s="103">
        <f t="shared" ref="BA53" si="1317">AZ53</f>
        <v>372293</v>
      </c>
      <c r="BB53" s="103">
        <f>ROUND(BA53*(1+取值表!$D$6),0)</f>
        <v>393886</v>
      </c>
      <c r="BC53" s="103">
        <f t="shared" ref="BC53" si="1318">BB53</f>
        <v>393886</v>
      </c>
      <c r="BD53" s="103">
        <f t="shared" ref="BD53" si="1319">BC53</f>
        <v>393886</v>
      </c>
      <c r="BE53" s="103">
        <f t="shared" ref="BE53" si="1320">BD53</f>
        <v>393886</v>
      </c>
      <c r="BF53" s="103">
        <f>ROUND(BE53*(1+取值表!$D$6),0)</f>
        <v>416731</v>
      </c>
      <c r="BG53" s="103">
        <f t="shared" ref="BG53" si="1321">BF53</f>
        <v>416731</v>
      </c>
      <c r="BH53" s="103">
        <f t="shared" ref="BH53" si="1322">BG53</f>
        <v>416731</v>
      </c>
      <c r="BI53" s="103">
        <f t="shared" ref="BI53" si="1323">BH53</f>
        <v>416731</v>
      </c>
      <c r="BJ53" s="103">
        <f>ROUND(BI53*(1+取值表!$D$6),0)</f>
        <v>440901</v>
      </c>
      <c r="BK53" s="103">
        <f t="shared" ref="BK53" si="1324">BJ53</f>
        <v>440901</v>
      </c>
      <c r="BL53" s="103">
        <f t="shared" ref="BL53" si="1325">BK53</f>
        <v>440901</v>
      </c>
      <c r="BM53" s="103">
        <f t="shared" ref="BM53" si="1326">BL53</f>
        <v>440901</v>
      </c>
      <c r="BN53" s="103">
        <f>ROUND(BM53*(1+取值表!$D$6),0)</f>
        <v>466473</v>
      </c>
      <c r="BO53" s="103">
        <f t="shared" ref="BO53" si="1327">BN53</f>
        <v>466473</v>
      </c>
      <c r="BP53" s="103">
        <f t="shared" ref="BP53" si="1328">BO53</f>
        <v>466473</v>
      </c>
      <c r="BQ53" s="103">
        <f t="shared" ref="BQ53" si="1329">BP53</f>
        <v>466473</v>
      </c>
      <c r="BR53" s="103">
        <f>ROUND(BQ53*(1+取值表!$D$6),0)</f>
        <v>493528</v>
      </c>
      <c r="BS53" s="103">
        <f t="shared" ref="BS53" si="1330">BR53</f>
        <v>493528</v>
      </c>
      <c r="BT53" s="103">
        <f t="shared" ref="BT53" si="1331">BS53</f>
        <v>493528</v>
      </c>
      <c r="BU53" s="103">
        <f t="shared" ref="BU53" si="1332">BT53</f>
        <v>493528</v>
      </c>
      <c r="BV53" s="103">
        <f>ROUND(BU53*(1+取值表!$D$6),0)</f>
        <v>522153</v>
      </c>
      <c r="BW53" s="103">
        <f t="shared" ref="BW53" si="1333">BV53</f>
        <v>522153</v>
      </c>
      <c r="BX53" s="103">
        <f t="shared" ref="BX53" si="1334">BW53</f>
        <v>522153</v>
      </c>
      <c r="BY53" s="103">
        <f t="shared" ref="BY53" si="1335">BX53</f>
        <v>522153</v>
      </c>
      <c r="BZ53" s="103">
        <f>ROUND(BY53*(1+取值表!$D$6),0)</f>
        <v>552438</v>
      </c>
      <c r="CA53" s="103">
        <f t="shared" ref="CA53" si="1336">BZ53</f>
        <v>552438</v>
      </c>
      <c r="CB53" s="103">
        <f t="shared" ref="CB53" si="1337">CA53</f>
        <v>552438</v>
      </c>
      <c r="CC53" s="103">
        <f t="shared" ref="CC53" si="1338">CB53</f>
        <v>552438</v>
      </c>
      <c r="CD53" s="103">
        <f>ROUND(CC53*(1+取值表!$D$6),0)</f>
        <v>584479</v>
      </c>
      <c r="CE53" s="103">
        <f t="shared" ref="CE53" si="1339">CD53</f>
        <v>584479</v>
      </c>
      <c r="CF53" s="103">
        <f t="shared" ref="CF53" si="1340">CE53</f>
        <v>584479</v>
      </c>
      <c r="CG53" s="103">
        <f t="shared" ref="CG53" si="1341">CF53</f>
        <v>584479</v>
      </c>
      <c r="CH53" s="103">
        <f>ROUND(CG53*(1+取值表!$D$6),0)</f>
        <v>618379</v>
      </c>
      <c r="CI53" s="103">
        <f t="shared" ref="CI53" si="1342">CH53</f>
        <v>618379</v>
      </c>
      <c r="CJ53" s="103">
        <f t="shared" ref="CJ53" si="1343">CI53</f>
        <v>618379</v>
      </c>
      <c r="CK53" s="103">
        <f t="shared" ref="CK53" si="1344">CJ53</f>
        <v>618379</v>
      </c>
      <c r="CL53" s="103">
        <f>ROUND(CK53*(1+取值表!$D$6),0)</f>
        <v>654245</v>
      </c>
      <c r="CM53" s="103">
        <f t="shared" ref="CM53" si="1345">CL53</f>
        <v>654245</v>
      </c>
      <c r="CN53" s="103">
        <f t="shared" ref="CN53" si="1346">CM53</f>
        <v>654245</v>
      </c>
      <c r="CO53" s="103">
        <f t="shared" ref="CO53" si="1347">CN53</f>
        <v>654245</v>
      </c>
      <c r="CP53" s="103">
        <f t="shared" si="904"/>
        <v>33180212</v>
      </c>
    </row>
    <row r="54" spans="1:95">
      <c r="A54" s="546"/>
      <c r="B54" s="550"/>
      <c r="C54" s="548"/>
      <c r="D54" s="549"/>
      <c r="E54" s="547"/>
      <c r="F54" s="562"/>
      <c r="G54" s="562"/>
      <c r="H54" s="613"/>
      <c r="I54" s="99"/>
      <c r="J54" s="101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>
        <f t="shared" si="904"/>
        <v>0</v>
      </c>
    </row>
    <row r="55" spans="1:95" ht="15.75" customHeight="1">
      <c r="A55" s="546">
        <v>27</v>
      </c>
      <c r="B55" s="550" t="s">
        <v>1102</v>
      </c>
      <c r="C55" s="548" t="s">
        <v>1103</v>
      </c>
      <c r="D55" s="549" t="s">
        <v>434</v>
      </c>
      <c r="E55" s="547" t="s">
        <v>418</v>
      </c>
      <c r="F55" s="562">
        <v>93.97</v>
      </c>
      <c r="G55" s="562">
        <v>25.5</v>
      </c>
      <c r="H55" s="613">
        <f>F55*G55*365</f>
        <v>874625.77500000002</v>
      </c>
      <c r="I55" s="99">
        <v>218656.44</v>
      </c>
      <c r="J55" s="101">
        <f>ROUND(G55*F55*365/4,0)</f>
        <v>218656</v>
      </c>
      <c r="K55" s="102">
        <f>J55</f>
        <v>218656</v>
      </c>
      <c r="L55" s="103">
        <f>K55</f>
        <v>218656</v>
      </c>
      <c r="M55" s="103">
        <f>L55</f>
        <v>218656</v>
      </c>
      <c r="N55" s="103">
        <f>ROUND(M55*(1+取值表!$D$6)*取值表!$I$6,0)</f>
        <v>217689</v>
      </c>
      <c r="O55" s="103">
        <f>N55</f>
        <v>217689</v>
      </c>
      <c r="P55" s="103">
        <f>O55</f>
        <v>217689</v>
      </c>
      <c r="Q55" s="103">
        <f>P55</f>
        <v>217689</v>
      </c>
      <c r="R55" s="278">
        <f>ROUND(Q55*(1+取值表!$D$6),0)</f>
        <v>230315</v>
      </c>
      <c r="S55" s="103">
        <f t="shared" ref="S55:U55" si="1348">R55</f>
        <v>230315</v>
      </c>
      <c r="T55" s="103">
        <f t="shared" si="1348"/>
        <v>230315</v>
      </c>
      <c r="U55" s="103">
        <f t="shared" si="1348"/>
        <v>230315</v>
      </c>
      <c r="V55" s="103">
        <f>ROUND(U55*(1+取值表!$D$6),0)</f>
        <v>243673</v>
      </c>
      <c r="W55" s="103">
        <f t="shared" ref="W55" si="1349">V55</f>
        <v>243673</v>
      </c>
      <c r="X55" s="103">
        <f t="shared" ref="X55" si="1350">W55</f>
        <v>243673</v>
      </c>
      <c r="Y55" s="103">
        <f t="shared" ref="Y55" si="1351">X55</f>
        <v>243673</v>
      </c>
      <c r="Z55" s="103">
        <f>ROUND(Y55*(1+取值表!$D$6),0)</f>
        <v>257806</v>
      </c>
      <c r="AA55" s="103">
        <f t="shared" ref="AA55" si="1352">Z55</f>
        <v>257806</v>
      </c>
      <c r="AB55" s="103">
        <f t="shared" ref="AB55" si="1353">AA55</f>
        <v>257806</v>
      </c>
      <c r="AC55" s="103">
        <f t="shared" ref="AC55" si="1354">AB55</f>
        <v>257806</v>
      </c>
      <c r="AD55" s="103">
        <f>ROUND(AC55*(1+取值表!$D$6),0)</f>
        <v>272759</v>
      </c>
      <c r="AE55" s="103">
        <f t="shared" ref="AE55" si="1355">AD55</f>
        <v>272759</v>
      </c>
      <c r="AF55" s="103">
        <f t="shared" ref="AF55" si="1356">AE55</f>
        <v>272759</v>
      </c>
      <c r="AG55" s="103">
        <f t="shared" ref="AG55" si="1357">AF55</f>
        <v>272759</v>
      </c>
      <c r="AH55" s="103">
        <f>ROUND(AG55*(1+取值表!$D$6),0)</f>
        <v>288579</v>
      </c>
      <c r="AI55" s="103">
        <f t="shared" ref="AI55" si="1358">AH55</f>
        <v>288579</v>
      </c>
      <c r="AJ55" s="103">
        <f t="shared" ref="AJ55" si="1359">AI55</f>
        <v>288579</v>
      </c>
      <c r="AK55" s="103">
        <f t="shared" ref="AK55" si="1360">AJ55</f>
        <v>288579</v>
      </c>
      <c r="AL55" s="103">
        <f>ROUND(AK55*(1+取值表!$D$6),0)</f>
        <v>305317</v>
      </c>
      <c r="AM55" s="103">
        <f t="shared" ref="AM55" si="1361">AL55</f>
        <v>305317</v>
      </c>
      <c r="AN55" s="103">
        <f t="shared" ref="AN55" si="1362">AM55</f>
        <v>305317</v>
      </c>
      <c r="AO55" s="103">
        <f t="shared" ref="AO55" si="1363">AN55</f>
        <v>305317</v>
      </c>
      <c r="AP55" s="103">
        <f>ROUND(AO55*(1+取值表!$D$6),0)</f>
        <v>323025</v>
      </c>
      <c r="AQ55" s="103">
        <f t="shared" ref="AQ55" si="1364">AP55</f>
        <v>323025</v>
      </c>
      <c r="AR55" s="103">
        <f t="shared" ref="AR55" si="1365">AQ55</f>
        <v>323025</v>
      </c>
      <c r="AS55" s="103">
        <f t="shared" ref="AS55" si="1366">AR55</f>
        <v>323025</v>
      </c>
      <c r="AT55" s="103">
        <f>ROUND(AS55*(1+取值表!$D$6),0)</f>
        <v>341760</v>
      </c>
      <c r="AU55" s="103">
        <f t="shared" ref="AU55" si="1367">AT55</f>
        <v>341760</v>
      </c>
      <c r="AV55" s="103">
        <f t="shared" ref="AV55" si="1368">AU55</f>
        <v>341760</v>
      </c>
      <c r="AW55" s="103">
        <f t="shared" ref="AW55" si="1369">AV55</f>
        <v>341760</v>
      </c>
      <c r="AX55" s="103">
        <f>ROUND(AW55*(1+取值表!$D$6),0)</f>
        <v>361582</v>
      </c>
      <c r="AY55" s="103">
        <f t="shared" ref="AY55" si="1370">AX55</f>
        <v>361582</v>
      </c>
      <c r="AZ55" s="103">
        <f t="shared" ref="AZ55" si="1371">AY55</f>
        <v>361582</v>
      </c>
      <c r="BA55" s="103">
        <f t="shared" ref="BA55" si="1372">AZ55</f>
        <v>361582</v>
      </c>
      <c r="BB55" s="103">
        <f>ROUND(BA55*(1+取值表!$D$6),0)</f>
        <v>382554</v>
      </c>
      <c r="BC55" s="103">
        <f t="shared" ref="BC55" si="1373">BB55</f>
        <v>382554</v>
      </c>
      <c r="BD55" s="103">
        <f t="shared" ref="BD55" si="1374">BC55</f>
        <v>382554</v>
      </c>
      <c r="BE55" s="103">
        <f t="shared" ref="BE55" si="1375">BD55</f>
        <v>382554</v>
      </c>
      <c r="BF55" s="103">
        <f>ROUND(BE55*(1+取值表!$D$6),0)</f>
        <v>404742</v>
      </c>
      <c r="BG55" s="103">
        <f t="shared" ref="BG55" si="1376">BF55</f>
        <v>404742</v>
      </c>
      <c r="BH55" s="103">
        <f t="shared" ref="BH55" si="1377">BG55</f>
        <v>404742</v>
      </c>
      <c r="BI55" s="103">
        <f t="shared" ref="BI55" si="1378">BH55</f>
        <v>404742</v>
      </c>
      <c r="BJ55" s="103">
        <f>ROUND(BI55*(1+取值表!$D$6),0)</f>
        <v>428217</v>
      </c>
      <c r="BK55" s="103">
        <f t="shared" ref="BK55" si="1379">BJ55</f>
        <v>428217</v>
      </c>
      <c r="BL55" s="103">
        <f t="shared" ref="BL55" si="1380">BK55</f>
        <v>428217</v>
      </c>
      <c r="BM55" s="103">
        <f t="shared" ref="BM55" si="1381">BL55</f>
        <v>428217</v>
      </c>
      <c r="BN55" s="103">
        <f>ROUND(BM55*(1+取值表!$D$6),0)</f>
        <v>453054</v>
      </c>
      <c r="BO55" s="103">
        <f t="shared" ref="BO55" si="1382">BN55</f>
        <v>453054</v>
      </c>
      <c r="BP55" s="103">
        <f t="shared" ref="BP55" si="1383">BO55</f>
        <v>453054</v>
      </c>
      <c r="BQ55" s="103">
        <f t="shared" ref="BQ55" si="1384">BP55</f>
        <v>453054</v>
      </c>
      <c r="BR55" s="103">
        <f>ROUND(BQ55*(1+取值表!$D$6),0)</f>
        <v>479331</v>
      </c>
      <c r="BS55" s="103">
        <f t="shared" ref="BS55" si="1385">BR55</f>
        <v>479331</v>
      </c>
      <c r="BT55" s="103">
        <f t="shared" ref="BT55" si="1386">BS55</f>
        <v>479331</v>
      </c>
      <c r="BU55" s="103">
        <f t="shared" ref="BU55" si="1387">BT55</f>
        <v>479331</v>
      </c>
      <c r="BV55" s="103">
        <f>ROUND(BU55*(1+取值表!$D$6),0)</f>
        <v>507132</v>
      </c>
      <c r="BW55" s="103">
        <f t="shared" ref="BW55" si="1388">BV55</f>
        <v>507132</v>
      </c>
      <c r="BX55" s="103">
        <f t="shared" ref="BX55" si="1389">BW55</f>
        <v>507132</v>
      </c>
      <c r="BY55" s="103">
        <f t="shared" ref="BY55" si="1390">BX55</f>
        <v>507132</v>
      </c>
      <c r="BZ55" s="103">
        <f>ROUND(BY55*(1+取值表!$D$6),0)</f>
        <v>536546</v>
      </c>
      <c r="CA55" s="103">
        <f t="shared" ref="CA55" si="1391">BZ55</f>
        <v>536546</v>
      </c>
      <c r="CB55" s="103">
        <f t="shared" ref="CB55" si="1392">CA55</f>
        <v>536546</v>
      </c>
      <c r="CC55" s="103">
        <f t="shared" ref="CC55" si="1393">CB55</f>
        <v>536546</v>
      </c>
      <c r="CD55" s="103">
        <f>ROUND(CC55*(1+取值表!$D$6),0)</f>
        <v>567666</v>
      </c>
      <c r="CE55" s="103">
        <f t="shared" ref="CE55" si="1394">CD55</f>
        <v>567666</v>
      </c>
      <c r="CF55" s="103">
        <f t="shared" ref="CF55" si="1395">CE55</f>
        <v>567666</v>
      </c>
      <c r="CG55" s="103">
        <f t="shared" ref="CG55" si="1396">CF55</f>
        <v>567666</v>
      </c>
      <c r="CH55" s="103">
        <f>ROUND(CG55*(1+取值表!$D$6),0)</f>
        <v>600591</v>
      </c>
      <c r="CI55" s="103">
        <f t="shared" ref="CI55" si="1397">CH55</f>
        <v>600591</v>
      </c>
      <c r="CJ55" s="103">
        <f t="shared" ref="CJ55" si="1398">CI55</f>
        <v>600591</v>
      </c>
      <c r="CK55" s="103">
        <f t="shared" ref="CK55" si="1399">CJ55</f>
        <v>600591</v>
      </c>
      <c r="CL55" s="103">
        <f>ROUND(CK55*(1+取值表!$D$6),0)</f>
        <v>635425</v>
      </c>
      <c r="CM55" s="103">
        <f t="shared" ref="CM55" si="1400">CL55</f>
        <v>635425</v>
      </c>
      <c r="CN55" s="103">
        <f t="shared" ref="CN55" si="1401">CM55</f>
        <v>635425</v>
      </c>
      <c r="CO55" s="103">
        <f t="shared" ref="CO55" si="1402">CN55</f>
        <v>635425</v>
      </c>
      <c r="CP55" s="103">
        <f t="shared" si="904"/>
        <v>32225676</v>
      </c>
    </row>
    <row r="56" spans="1:95">
      <c r="A56" s="546"/>
      <c r="B56" s="550"/>
      <c r="C56" s="548"/>
      <c r="D56" s="549"/>
      <c r="E56" s="547"/>
      <c r="F56" s="562"/>
      <c r="G56" s="562"/>
      <c r="H56" s="613"/>
      <c r="I56" s="99"/>
      <c r="J56" s="101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>
        <f t="shared" si="904"/>
        <v>0</v>
      </c>
    </row>
    <row r="57" spans="1:95" s="149" customFormat="1" ht="12" customHeight="1">
      <c r="A57" s="546">
        <v>28</v>
      </c>
      <c r="B57" s="550" t="s">
        <v>1104</v>
      </c>
      <c r="C57" s="548" t="s">
        <v>1105</v>
      </c>
      <c r="D57" s="549" t="s">
        <v>31</v>
      </c>
      <c r="E57" s="547" t="s">
        <v>418</v>
      </c>
      <c r="F57" s="562">
        <v>92.75</v>
      </c>
      <c r="G57" s="562">
        <v>23</v>
      </c>
      <c r="H57" s="613">
        <f>F57*G57*365</f>
        <v>778636.25</v>
      </c>
      <c r="I57" s="99">
        <v>194659.06</v>
      </c>
      <c r="J57" s="101">
        <f>ROUND(G57*F57*365/4,0)</f>
        <v>194659</v>
      </c>
      <c r="K57" s="102">
        <f>J57</f>
        <v>194659</v>
      </c>
      <c r="L57" s="103">
        <f>K57</f>
        <v>194659</v>
      </c>
      <c r="M57" s="103">
        <f>L57</f>
        <v>194659</v>
      </c>
      <c r="N57" s="103">
        <f>ROUND(M57*(1+取值表!$D$6)*取值表!$I$6,0)</f>
        <v>193798</v>
      </c>
      <c r="O57" s="103">
        <f>N57</f>
        <v>193798</v>
      </c>
      <c r="P57" s="103">
        <f>O57</f>
        <v>193798</v>
      </c>
      <c r="Q57" s="103">
        <f>P57</f>
        <v>193798</v>
      </c>
      <c r="R57" s="278">
        <f>ROUND(Q57*(1+取值表!$D$6),0)</f>
        <v>205038</v>
      </c>
      <c r="S57" s="103">
        <f t="shared" ref="S57:U57" si="1403">R57</f>
        <v>205038</v>
      </c>
      <c r="T57" s="103">
        <f t="shared" si="1403"/>
        <v>205038</v>
      </c>
      <c r="U57" s="103">
        <f t="shared" si="1403"/>
        <v>205038</v>
      </c>
      <c r="V57" s="103">
        <f>ROUND(U57*(1+取值表!$D$6),0)</f>
        <v>216930</v>
      </c>
      <c r="W57" s="103">
        <f t="shared" ref="W57:Y57" si="1404">V57</f>
        <v>216930</v>
      </c>
      <c r="X57" s="103">
        <f t="shared" si="1404"/>
        <v>216930</v>
      </c>
      <c r="Y57" s="103">
        <f t="shared" si="1404"/>
        <v>216930</v>
      </c>
      <c r="Z57" s="103">
        <f>ROUND(Y57*(1+取值表!$D$6),0)</f>
        <v>229512</v>
      </c>
      <c r="AA57" s="103">
        <f t="shared" ref="AA57" si="1405">Z57</f>
        <v>229512</v>
      </c>
      <c r="AB57" s="103">
        <f t="shared" ref="AB57" si="1406">AA57</f>
        <v>229512</v>
      </c>
      <c r="AC57" s="103">
        <f t="shared" ref="AC57" si="1407">AB57</f>
        <v>229512</v>
      </c>
      <c r="AD57" s="103">
        <f>ROUND(AC57*(1+取值表!$D$6),0)</f>
        <v>242824</v>
      </c>
      <c r="AE57" s="103">
        <f t="shared" ref="AE57" si="1408">AD57</f>
        <v>242824</v>
      </c>
      <c r="AF57" s="103">
        <f t="shared" ref="AF57" si="1409">AE57</f>
        <v>242824</v>
      </c>
      <c r="AG57" s="103">
        <f t="shared" ref="AG57" si="1410">AF57</f>
        <v>242824</v>
      </c>
      <c r="AH57" s="103">
        <f>ROUND(AG57*(1+取值表!$D$6),0)</f>
        <v>256908</v>
      </c>
      <c r="AI57" s="103">
        <f t="shared" ref="AI57" si="1411">AH57</f>
        <v>256908</v>
      </c>
      <c r="AJ57" s="103">
        <f t="shared" ref="AJ57" si="1412">AI57</f>
        <v>256908</v>
      </c>
      <c r="AK57" s="103">
        <f t="shared" ref="AK57" si="1413">AJ57</f>
        <v>256908</v>
      </c>
      <c r="AL57" s="103">
        <f>ROUND(AK57*(1+取值表!$D$6),0)</f>
        <v>271809</v>
      </c>
      <c r="AM57" s="103">
        <f t="shared" ref="AM57" si="1414">AL57</f>
        <v>271809</v>
      </c>
      <c r="AN57" s="103">
        <f t="shared" ref="AN57" si="1415">AM57</f>
        <v>271809</v>
      </c>
      <c r="AO57" s="103">
        <f t="shared" ref="AO57" si="1416">AN57</f>
        <v>271809</v>
      </c>
      <c r="AP57" s="103">
        <f>ROUND(AO57*(1+取值表!$D$6),0)</f>
        <v>287574</v>
      </c>
      <c r="AQ57" s="103">
        <f t="shared" ref="AQ57" si="1417">AP57</f>
        <v>287574</v>
      </c>
      <c r="AR57" s="103">
        <f t="shared" ref="AR57" si="1418">AQ57</f>
        <v>287574</v>
      </c>
      <c r="AS57" s="103">
        <f t="shared" ref="AS57" si="1419">AR57</f>
        <v>287574</v>
      </c>
      <c r="AT57" s="103">
        <f>ROUND(AS57*(1+取值表!$D$6),0)</f>
        <v>304253</v>
      </c>
      <c r="AU57" s="103">
        <f t="shared" ref="AU57" si="1420">AT57</f>
        <v>304253</v>
      </c>
      <c r="AV57" s="103">
        <f t="shared" ref="AV57" si="1421">AU57</f>
        <v>304253</v>
      </c>
      <c r="AW57" s="103">
        <f t="shared" ref="AW57" si="1422">AV57</f>
        <v>304253</v>
      </c>
      <c r="AX57" s="103">
        <f>ROUND(AW57*(1+取值表!$D$6),0)</f>
        <v>321900</v>
      </c>
      <c r="AY57" s="103">
        <f t="shared" ref="AY57" si="1423">AX57</f>
        <v>321900</v>
      </c>
      <c r="AZ57" s="103">
        <f t="shared" ref="AZ57" si="1424">AY57</f>
        <v>321900</v>
      </c>
      <c r="BA57" s="103">
        <f t="shared" ref="BA57" si="1425">AZ57</f>
        <v>321900</v>
      </c>
      <c r="BB57" s="103">
        <f>ROUND(BA57*(1+取值表!$D$6),0)</f>
        <v>340570</v>
      </c>
      <c r="BC57" s="103">
        <f t="shared" ref="BC57" si="1426">BB57</f>
        <v>340570</v>
      </c>
      <c r="BD57" s="103">
        <f t="shared" ref="BD57" si="1427">BC57</f>
        <v>340570</v>
      </c>
      <c r="BE57" s="103">
        <f t="shared" ref="BE57" si="1428">BD57</f>
        <v>340570</v>
      </c>
      <c r="BF57" s="103">
        <f>ROUND(BE57*(1+取值表!$D$6),0)</f>
        <v>360323</v>
      </c>
      <c r="BG57" s="103">
        <f t="shared" ref="BG57" si="1429">BF57</f>
        <v>360323</v>
      </c>
      <c r="BH57" s="103">
        <f t="shared" ref="BH57" si="1430">BG57</f>
        <v>360323</v>
      </c>
      <c r="BI57" s="103">
        <f t="shared" ref="BI57" si="1431">BH57</f>
        <v>360323</v>
      </c>
      <c r="BJ57" s="103">
        <f>ROUND(BI57*(1+取值表!$D$6),0)</f>
        <v>381222</v>
      </c>
      <c r="BK57" s="103">
        <f t="shared" ref="BK57" si="1432">BJ57</f>
        <v>381222</v>
      </c>
      <c r="BL57" s="103">
        <f t="shared" ref="BL57" si="1433">BK57</f>
        <v>381222</v>
      </c>
      <c r="BM57" s="103">
        <f t="shared" ref="BM57" si="1434">BL57</f>
        <v>381222</v>
      </c>
      <c r="BN57" s="103">
        <f>ROUND(BM57*(1+取值表!$D$6),0)</f>
        <v>403333</v>
      </c>
      <c r="BO57" s="103">
        <f t="shared" ref="BO57" si="1435">BN57</f>
        <v>403333</v>
      </c>
      <c r="BP57" s="103">
        <f t="shared" ref="BP57" si="1436">BO57</f>
        <v>403333</v>
      </c>
      <c r="BQ57" s="103">
        <f t="shared" ref="BQ57" si="1437">BP57</f>
        <v>403333</v>
      </c>
      <c r="BR57" s="103">
        <f>ROUND(BQ57*(1+取值表!$D$6),0)</f>
        <v>426726</v>
      </c>
      <c r="BS57" s="103">
        <f t="shared" ref="BS57" si="1438">BR57</f>
        <v>426726</v>
      </c>
      <c r="BT57" s="103">
        <f t="shared" ref="BT57" si="1439">BS57</f>
        <v>426726</v>
      </c>
      <c r="BU57" s="103">
        <f t="shared" ref="BU57" si="1440">BT57</f>
        <v>426726</v>
      </c>
      <c r="BV57" s="103">
        <f>ROUND(BU57*(1+取值表!$D$6),0)</f>
        <v>451476</v>
      </c>
      <c r="BW57" s="103">
        <f t="shared" ref="BW57" si="1441">BV57</f>
        <v>451476</v>
      </c>
      <c r="BX57" s="103">
        <f t="shared" ref="BX57" si="1442">BW57</f>
        <v>451476</v>
      </c>
      <c r="BY57" s="103">
        <f t="shared" ref="BY57" si="1443">BX57</f>
        <v>451476</v>
      </c>
      <c r="BZ57" s="103">
        <f>ROUND(BY57*(1+取值表!$D$6),0)</f>
        <v>477662</v>
      </c>
      <c r="CA57" s="103">
        <f t="shared" ref="CA57" si="1444">BZ57</f>
        <v>477662</v>
      </c>
      <c r="CB57" s="103">
        <f t="shared" ref="CB57" si="1445">CA57</f>
        <v>477662</v>
      </c>
      <c r="CC57" s="103">
        <f t="shared" ref="CC57" si="1446">CB57</f>
        <v>477662</v>
      </c>
      <c r="CD57" s="103">
        <f>ROUND(CC57*(1+取值表!$D$6),0)</f>
        <v>505366</v>
      </c>
      <c r="CE57" s="103">
        <f t="shared" ref="CE57" si="1447">CD57</f>
        <v>505366</v>
      </c>
      <c r="CF57" s="103">
        <f t="shared" ref="CF57" si="1448">CE57</f>
        <v>505366</v>
      </c>
      <c r="CG57" s="103">
        <f t="shared" ref="CG57" si="1449">CF57</f>
        <v>505366</v>
      </c>
      <c r="CH57" s="103">
        <f>ROUND(CG57*(1+取值表!$D$6),0)</f>
        <v>534677</v>
      </c>
      <c r="CI57" s="103">
        <f t="shared" ref="CI57" si="1450">CH57</f>
        <v>534677</v>
      </c>
      <c r="CJ57" s="103">
        <f t="shared" ref="CJ57" si="1451">CI57</f>
        <v>534677</v>
      </c>
      <c r="CK57" s="103">
        <f t="shared" ref="CK57" si="1452">CJ57</f>
        <v>534677</v>
      </c>
      <c r="CL57" s="103">
        <f>ROUND(CK57*(1+取值表!$D$6),0)</f>
        <v>565688</v>
      </c>
      <c r="CM57" s="103">
        <f t="shared" ref="CM57" si="1453">CL57</f>
        <v>565688</v>
      </c>
      <c r="CN57" s="103">
        <f t="shared" ref="CN57" si="1454">CM57</f>
        <v>565688</v>
      </c>
      <c r="CO57" s="103">
        <f t="shared" ref="CO57" si="1455">CN57</f>
        <v>565688</v>
      </c>
      <c r="CP57" s="103">
        <f t="shared" si="904"/>
        <v>28688992</v>
      </c>
      <c r="CQ57" s="58"/>
    </row>
    <row r="58" spans="1:95" s="149" customFormat="1">
      <c r="A58" s="546"/>
      <c r="B58" s="550"/>
      <c r="C58" s="548"/>
      <c r="D58" s="549"/>
      <c r="E58" s="547"/>
      <c r="F58" s="562"/>
      <c r="G58" s="562"/>
      <c r="H58" s="613"/>
      <c r="I58" s="99"/>
      <c r="J58" s="101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>
        <f t="shared" si="904"/>
        <v>0</v>
      </c>
      <c r="CQ58" s="58"/>
    </row>
    <row r="59" spans="1:95" ht="12" customHeight="1">
      <c r="A59" s="546">
        <v>29</v>
      </c>
      <c r="B59" s="550" t="s">
        <v>1106</v>
      </c>
      <c r="C59" s="548" t="s">
        <v>1107</v>
      </c>
      <c r="D59" s="549" t="s">
        <v>32</v>
      </c>
      <c r="E59" s="547" t="s">
        <v>418</v>
      </c>
      <c r="F59" s="562">
        <v>108.93</v>
      </c>
      <c r="G59" s="562">
        <f>AVERAGE(23)</f>
        <v>23</v>
      </c>
      <c r="H59" s="613">
        <f>F59*G59*365</f>
        <v>914467.35000000009</v>
      </c>
      <c r="I59" s="99">
        <v>223646.91</v>
      </c>
      <c r="J59" s="102">
        <f>ROUND(G59*F59*365/4,0)</f>
        <v>228617</v>
      </c>
      <c r="K59" s="103">
        <f>J59</f>
        <v>228617</v>
      </c>
      <c r="L59" s="103">
        <f>K59</f>
        <v>228617</v>
      </c>
      <c r="M59" s="103">
        <f>L59</f>
        <v>228617</v>
      </c>
      <c r="N59" s="103">
        <f>ROUND(M59*(1+取值表!$D$6)*取值表!$I$6,0)</f>
        <v>227606</v>
      </c>
      <c r="O59" s="103">
        <f>N59</f>
        <v>227606</v>
      </c>
      <c r="P59" s="103">
        <f>O59</f>
        <v>227606</v>
      </c>
      <c r="Q59" s="103">
        <f>P59</f>
        <v>227606</v>
      </c>
      <c r="R59" s="278">
        <f>ROUND(Q59*(1+取值表!$D$6),0)</f>
        <v>240807</v>
      </c>
      <c r="S59" s="103">
        <f t="shared" ref="S59:U59" si="1456">R59</f>
        <v>240807</v>
      </c>
      <c r="T59" s="103">
        <f t="shared" si="1456"/>
        <v>240807</v>
      </c>
      <c r="U59" s="103">
        <f t="shared" si="1456"/>
        <v>240807</v>
      </c>
      <c r="V59" s="103">
        <f>ROUND(U59*(1+取值表!$D$6),0)</f>
        <v>254774</v>
      </c>
      <c r="W59" s="103">
        <f t="shared" ref="W59:Y59" si="1457">V59</f>
        <v>254774</v>
      </c>
      <c r="X59" s="103">
        <f t="shared" si="1457"/>
        <v>254774</v>
      </c>
      <c r="Y59" s="103">
        <f t="shared" si="1457"/>
        <v>254774</v>
      </c>
      <c r="Z59" s="103">
        <f>ROUND(Y59*(1+取值表!$D$6),0)</f>
        <v>269551</v>
      </c>
      <c r="AA59" s="103">
        <f t="shared" ref="AA59" si="1458">Z59</f>
        <v>269551</v>
      </c>
      <c r="AB59" s="103">
        <f t="shared" ref="AB59" si="1459">AA59</f>
        <v>269551</v>
      </c>
      <c r="AC59" s="103">
        <f t="shared" ref="AC59" si="1460">AB59</f>
        <v>269551</v>
      </c>
      <c r="AD59" s="103">
        <f>ROUND(AC59*(1+取值表!$D$6),0)</f>
        <v>285185</v>
      </c>
      <c r="AE59" s="103">
        <f t="shared" ref="AE59" si="1461">AD59</f>
        <v>285185</v>
      </c>
      <c r="AF59" s="103">
        <f t="shared" ref="AF59" si="1462">AE59</f>
        <v>285185</v>
      </c>
      <c r="AG59" s="103">
        <f t="shared" ref="AG59" si="1463">AF59</f>
        <v>285185</v>
      </c>
      <c r="AH59" s="103">
        <f>ROUND(AG59*(1+取值表!$D$6),0)</f>
        <v>301726</v>
      </c>
      <c r="AI59" s="103">
        <f t="shared" ref="AI59" si="1464">AH59</f>
        <v>301726</v>
      </c>
      <c r="AJ59" s="103">
        <f t="shared" ref="AJ59" si="1465">AI59</f>
        <v>301726</v>
      </c>
      <c r="AK59" s="103">
        <f t="shared" ref="AK59" si="1466">AJ59</f>
        <v>301726</v>
      </c>
      <c r="AL59" s="103">
        <f>ROUND(AK59*(1+取值表!$D$6),0)</f>
        <v>319226</v>
      </c>
      <c r="AM59" s="103">
        <f t="shared" ref="AM59" si="1467">AL59</f>
        <v>319226</v>
      </c>
      <c r="AN59" s="103">
        <f t="shared" ref="AN59" si="1468">AM59</f>
        <v>319226</v>
      </c>
      <c r="AO59" s="103">
        <f t="shared" ref="AO59" si="1469">AN59</f>
        <v>319226</v>
      </c>
      <c r="AP59" s="103">
        <f>ROUND(AO59*(1+取值表!$D$6),0)</f>
        <v>337741</v>
      </c>
      <c r="AQ59" s="103">
        <f t="shared" ref="AQ59" si="1470">AP59</f>
        <v>337741</v>
      </c>
      <c r="AR59" s="103">
        <f t="shared" ref="AR59" si="1471">AQ59</f>
        <v>337741</v>
      </c>
      <c r="AS59" s="103">
        <f t="shared" ref="AS59" si="1472">AR59</f>
        <v>337741</v>
      </c>
      <c r="AT59" s="103">
        <f>ROUND(AS59*(1+取值表!$D$6),0)</f>
        <v>357330</v>
      </c>
      <c r="AU59" s="103">
        <f t="shared" ref="AU59" si="1473">AT59</f>
        <v>357330</v>
      </c>
      <c r="AV59" s="103">
        <f t="shared" ref="AV59" si="1474">AU59</f>
        <v>357330</v>
      </c>
      <c r="AW59" s="103">
        <f t="shared" ref="AW59" si="1475">AV59</f>
        <v>357330</v>
      </c>
      <c r="AX59" s="103">
        <f>ROUND(AW59*(1+取值表!$D$6),0)</f>
        <v>378055</v>
      </c>
      <c r="AY59" s="103">
        <f t="shared" ref="AY59" si="1476">AX59</f>
        <v>378055</v>
      </c>
      <c r="AZ59" s="103">
        <f t="shared" ref="AZ59" si="1477">AY59</f>
        <v>378055</v>
      </c>
      <c r="BA59" s="103">
        <f t="shared" ref="BA59" si="1478">AZ59</f>
        <v>378055</v>
      </c>
      <c r="BB59" s="103">
        <f>ROUND(BA59*(1+取值表!$D$6),0)</f>
        <v>399982</v>
      </c>
      <c r="BC59" s="103">
        <f t="shared" ref="BC59" si="1479">BB59</f>
        <v>399982</v>
      </c>
      <c r="BD59" s="103">
        <f t="shared" ref="BD59" si="1480">BC59</f>
        <v>399982</v>
      </c>
      <c r="BE59" s="103">
        <f t="shared" ref="BE59" si="1481">BD59</f>
        <v>399982</v>
      </c>
      <c r="BF59" s="103">
        <f>ROUND(BE59*(1+取值表!$D$6),0)</f>
        <v>423181</v>
      </c>
      <c r="BG59" s="103">
        <f t="shared" ref="BG59" si="1482">BF59</f>
        <v>423181</v>
      </c>
      <c r="BH59" s="103">
        <f t="shared" ref="BH59" si="1483">BG59</f>
        <v>423181</v>
      </c>
      <c r="BI59" s="103">
        <f t="shared" ref="BI59" si="1484">BH59</f>
        <v>423181</v>
      </c>
      <c r="BJ59" s="103">
        <f>ROUND(BI59*(1+取值表!$D$6),0)</f>
        <v>447725</v>
      </c>
      <c r="BK59" s="103">
        <f t="shared" ref="BK59" si="1485">BJ59</f>
        <v>447725</v>
      </c>
      <c r="BL59" s="103">
        <f t="shared" ref="BL59" si="1486">BK59</f>
        <v>447725</v>
      </c>
      <c r="BM59" s="103">
        <f t="shared" ref="BM59" si="1487">BL59</f>
        <v>447725</v>
      </c>
      <c r="BN59" s="103">
        <f>ROUND(BM59*(1+取值表!$D$6),0)</f>
        <v>473693</v>
      </c>
      <c r="BO59" s="103">
        <f t="shared" ref="BO59" si="1488">BN59</f>
        <v>473693</v>
      </c>
      <c r="BP59" s="103">
        <f t="shared" ref="BP59" si="1489">BO59</f>
        <v>473693</v>
      </c>
      <c r="BQ59" s="103">
        <f t="shared" ref="BQ59" si="1490">BP59</f>
        <v>473693</v>
      </c>
      <c r="BR59" s="103">
        <f>ROUND(BQ59*(1+取值表!$D$6),0)</f>
        <v>501167</v>
      </c>
      <c r="BS59" s="103">
        <f t="shared" ref="BS59" si="1491">BR59</f>
        <v>501167</v>
      </c>
      <c r="BT59" s="103">
        <f t="shared" ref="BT59" si="1492">BS59</f>
        <v>501167</v>
      </c>
      <c r="BU59" s="103">
        <f t="shared" ref="BU59" si="1493">BT59</f>
        <v>501167</v>
      </c>
      <c r="BV59" s="103">
        <f>ROUND(BU59*(1+取值表!$D$6),0)</f>
        <v>530235</v>
      </c>
      <c r="BW59" s="103">
        <f t="shared" ref="BW59" si="1494">BV59</f>
        <v>530235</v>
      </c>
      <c r="BX59" s="103">
        <f t="shared" ref="BX59" si="1495">BW59</f>
        <v>530235</v>
      </c>
      <c r="BY59" s="103">
        <f t="shared" ref="BY59" si="1496">BX59</f>
        <v>530235</v>
      </c>
      <c r="BZ59" s="103">
        <f>ROUND(BY59*(1+取值表!$D$6),0)</f>
        <v>560989</v>
      </c>
      <c r="CA59" s="103">
        <f t="shared" ref="CA59" si="1497">BZ59</f>
        <v>560989</v>
      </c>
      <c r="CB59" s="103">
        <f t="shared" ref="CB59" si="1498">CA59</f>
        <v>560989</v>
      </c>
      <c r="CC59" s="103">
        <f t="shared" ref="CC59" si="1499">CB59</f>
        <v>560989</v>
      </c>
      <c r="CD59" s="103">
        <f>ROUND(CC59*(1+取值表!$D$6),0)</f>
        <v>593526</v>
      </c>
      <c r="CE59" s="103">
        <f t="shared" ref="CE59" si="1500">CD59</f>
        <v>593526</v>
      </c>
      <c r="CF59" s="103">
        <f t="shared" ref="CF59" si="1501">CE59</f>
        <v>593526</v>
      </c>
      <c r="CG59" s="103">
        <f t="shared" ref="CG59" si="1502">CF59</f>
        <v>593526</v>
      </c>
      <c r="CH59" s="103">
        <f>ROUND(CG59*(1+取值表!$D$6),0)</f>
        <v>627951</v>
      </c>
      <c r="CI59" s="103">
        <f t="shared" ref="CI59" si="1503">CH59</f>
        <v>627951</v>
      </c>
      <c r="CJ59" s="103">
        <f t="shared" ref="CJ59" si="1504">CI59</f>
        <v>627951</v>
      </c>
      <c r="CK59" s="103">
        <f t="shared" ref="CK59" si="1505">CJ59</f>
        <v>627951</v>
      </c>
      <c r="CL59" s="103">
        <f>ROUND(CK59*(1+取值表!$D$6),0)</f>
        <v>664372</v>
      </c>
      <c r="CM59" s="103">
        <f t="shared" ref="CM59" si="1506">CL59</f>
        <v>664372</v>
      </c>
      <c r="CN59" s="103">
        <f t="shared" ref="CN59" si="1507">CM59</f>
        <v>664372</v>
      </c>
      <c r="CO59" s="103">
        <f t="shared" ref="CO59" si="1508">CN59</f>
        <v>664372</v>
      </c>
      <c r="CP59" s="103">
        <f t="shared" si="904"/>
        <v>33693756</v>
      </c>
    </row>
    <row r="60" spans="1:95">
      <c r="A60" s="546"/>
      <c r="B60" s="550"/>
      <c r="C60" s="548"/>
      <c r="D60" s="549"/>
      <c r="E60" s="547"/>
      <c r="F60" s="562"/>
      <c r="G60" s="562"/>
      <c r="H60" s="613"/>
      <c r="I60" s="99"/>
      <c r="J60" s="101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>
        <f t="shared" si="904"/>
        <v>0</v>
      </c>
    </row>
    <row r="61" spans="1:95" s="149" customFormat="1" ht="12" customHeight="1">
      <c r="A61" s="546">
        <v>30</v>
      </c>
      <c r="B61" s="550" t="s">
        <v>1108</v>
      </c>
      <c r="C61" s="548" t="s">
        <v>1109</v>
      </c>
      <c r="D61" s="549" t="s">
        <v>435</v>
      </c>
      <c r="E61" s="547" t="s">
        <v>418</v>
      </c>
      <c r="F61" s="562">
        <v>121.58</v>
      </c>
      <c r="G61" s="562">
        <f>AVERAGE(28)</f>
        <v>28</v>
      </c>
      <c r="H61" s="613">
        <f>F61*G61*365</f>
        <v>1242547.5999999999</v>
      </c>
      <c r="I61" s="99">
        <v>33282.530000000028</v>
      </c>
      <c r="J61" s="101">
        <f>ROUND(G61*F61*365/4,0)</f>
        <v>310637</v>
      </c>
      <c r="K61" s="102">
        <f>J61</f>
        <v>310637</v>
      </c>
      <c r="L61" s="103">
        <f>K61</f>
        <v>310637</v>
      </c>
      <c r="M61" s="103">
        <f>L61</f>
        <v>310637</v>
      </c>
      <c r="N61" s="103">
        <f>ROUND(M61*(1+取值表!$D$6)*取值表!$I$6,0)</f>
        <v>309263</v>
      </c>
      <c r="O61" s="103">
        <f>N61</f>
        <v>309263</v>
      </c>
      <c r="P61" s="103">
        <f>O61</f>
        <v>309263</v>
      </c>
      <c r="Q61" s="103">
        <f>P61</f>
        <v>309263</v>
      </c>
      <c r="R61" s="278">
        <f>ROUND(Q61*(1+取值表!$D$6),0)</f>
        <v>327200</v>
      </c>
      <c r="S61" s="103">
        <f t="shared" ref="S61:U61" si="1509">R61</f>
        <v>327200</v>
      </c>
      <c r="T61" s="103">
        <f t="shared" si="1509"/>
        <v>327200</v>
      </c>
      <c r="U61" s="103">
        <f t="shared" si="1509"/>
        <v>327200</v>
      </c>
      <c r="V61" s="103">
        <f>ROUND(U61*(1+取值表!$D$6),0)</f>
        <v>346178</v>
      </c>
      <c r="W61" s="103">
        <f t="shared" ref="W61:Y61" si="1510">V61</f>
        <v>346178</v>
      </c>
      <c r="X61" s="103">
        <f t="shared" si="1510"/>
        <v>346178</v>
      </c>
      <c r="Y61" s="103">
        <f t="shared" si="1510"/>
        <v>346178</v>
      </c>
      <c r="Z61" s="103">
        <f>ROUND(Y61*(1+取值表!$D$6),0)</f>
        <v>366256</v>
      </c>
      <c r="AA61" s="103">
        <f t="shared" ref="AA61" si="1511">Z61</f>
        <v>366256</v>
      </c>
      <c r="AB61" s="103">
        <f t="shared" ref="AB61" si="1512">AA61</f>
        <v>366256</v>
      </c>
      <c r="AC61" s="103">
        <f t="shared" ref="AC61" si="1513">AB61</f>
        <v>366256</v>
      </c>
      <c r="AD61" s="103">
        <f>ROUND(AC61*(1+取值表!$D$6),0)</f>
        <v>387499</v>
      </c>
      <c r="AE61" s="103">
        <f t="shared" ref="AE61" si="1514">AD61</f>
        <v>387499</v>
      </c>
      <c r="AF61" s="103">
        <f t="shared" ref="AF61" si="1515">AE61</f>
        <v>387499</v>
      </c>
      <c r="AG61" s="103">
        <f t="shared" ref="AG61" si="1516">AF61</f>
        <v>387499</v>
      </c>
      <c r="AH61" s="103">
        <f>ROUND(AG61*(1+取值表!$D$6),0)</f>
        <v>409974</v>
      </c>
      <c r="AI61" s="103">
        <f t="shared" ref="AI61" si="1517">AH61</f>
        <v>409974</v>
      </c>
      <c r="AJ61" s="103">
        <f t="shared" ref="AJ61" si="1518">AI61</f>
        <v>409974</v>
      </c>
      <c r="AK61" s="103">
        <f t="shared" ref="AK61" si="1519">AJ61</f>
        <v>409974</v>
      </c>
      <c r="AL61" s="103">
        <f>ROUND(AK61*(1+取值表!$D$6),0)</f>
        <v>433752</v>
      </c>
      <c r="AM61" s="103">
        <f t="shared" ref="AM61" si="1520">AL61</f>
        <v>433752</v>
      </c>
      <c r="AN61" s="103">
        <f t="shared" ref="AN61" si="1521">AM61</f>
        <v>433752</v>
      </c>
      <c r="AO61" s="103">
        <f t="shared" ref="AO61" si="1522">AN61</f>
        <v>433752</v>
      </c>
      <c r="AP61" s="103">
        <f>ROUND(AO61*(1+取值表!$D$6),0)</f>
        <v>458910</v>
      </c>
      <c r="AQ61" s="103">
        <f t="shared" ref="AQ61" si="1523">AP61</f>
        <v>458910</v>
      </c>
      <c r="AR61" s="103">
        <f t="shared" ref="AR61" si="1524">AQ61</f>
        <v>458910</v>
      </c>
      <c r="AS61" s="103">
        <f t="shared" ref="AS61" si="1525">AR61</f>
        <v>458910</v>
      </c>
      <c r="AT61" s="103">
        <f>ROUND(AS61*(1+取值表!$D$6),0)</f>
        <v>485527</v>
      </c>
      <c r="AU61" s="103">
        <f t="shared" ref="AU61" si="1526">AT61</f>
        <v>485527</v>
      </c>
      <c r="AV61" s="103">
        <f t="shared" ref="AV61" si="1527">AU61</f>
        <v>485527</v>
      </c>
      <c r="AW61" s="103">
        <f t="shared" ref="AW61" si="1528">AV61</f>
        <v>485527</v>
      </c>
      <c r="AX61" s="103">
        <f>ROUND(AW61*(1+取值表!$D$6),0)</f>
        <v>513688</v>
      </c>
      <c r="AY61" s="103">
        <f t="shared" ref="AY61" si="1529">AX61</f>
        <v>513688</v>
      </c>
      <c r="AZ61" s="103">
        <f t="shared" ref="AZ61" si="1530">AY61</f>
        <v>513688</v>
      </c>
      <c r="BA61" s="103">
        <f t="shared" ref="BA61" si="1531">AZ61</f>
        <v>513688</v>
      </c>
      <c r="BB61" s="103">
        <f>ROUND(BA61*(1+取值表!$D$6),0)</f>
        <v>543482</v>
      </c>
      <c r="BC61" s="103">
        <f t="shared" ref="BC61" si="1532">BB61</f>
        <v>543482</v>
      </c>
      <c r="BD61" s="103">
        <f t="shared" ref="BD61" si="1533">BC61</f>
        <v>543482</v>
      </c>
      <c r="BE61" s="103">
        <f t="shared" ref="BE61" si="1534">BD61</f>
        <v>543482</v>
      </c>
      <c r="BF61" s="103">
        <f>ROUND(BE61*(1+取值表!$D$6),0)</f>
        <v>575004</v>
      </c>
      <c r="BG61" s="103">
        <f t="shared" ref="BG61" si="1535">BF61</f>
        <v>575004</v>
      </c>
      <c r="BH61" s="103">
        <f t="shared" ref="BH61" si="1536">BG61</f>
        <v>575004</v>
      </c>
      <c r="BI61" s="103">
        <f t="shared" ref="BI61" si="1537">BH61</f>
        <v>575004</v>
      </c>
      <c r="BJ61" s="103">
        <f>ROUND(BI61*(1+取值表!$D$6),0)</f>
        <v>608354</v>
      </c>
      <c r="BK61" s="103">
        <f t="shared" ref="BK61" si="1538">BJ61</f>
        <v>608354</v>
      </c>
      <c r="BL61" s="103">
        <f t="shared" ref="BL61" si="1539">BK61</f>
        <v>608354</v>
      </c>
      <c r="BM61" s="103">
        <f t="shared" ref="BM61" si="1540">BL61</f>
        <v>608354</v>
      </c>
      <c r="BN61" s="103">
        <f>ROUND(BM61*(1+取值表!$D$6),0)</f>
        <v>643639</v>
      </c>
      <c r="BO61" s="103">
        <f t="shared" ref="BO61" si="1541">BN61</f>
        <v>643639</v>
      </c>
      <c r="BP61" s="103">
        <f t="shared" ref="BP61" si="1542">BO61</f>
        <v>643639</v>
      </c>
      <c r="BQ61" s="103">
        <f t="shared" ref="BQ61" si="1543">BP61</f>
        <v>643639</v>
      </c>
      <c r="BR61" s="103">
        <f>ROUND(BQ61*(1+取值表!$D$6),0)</f>
        <v>680970</v>
      </c>
      <c r="BS61" s="103">
        <f t="shared" ref="BS61" si="1544">BR61</f>
        <v>680970</v>
      </c>
      <c r="BT61" s="103">
        <f t="shared" ref="BT61" si="1545">BS61</f>
        <v>680970</v>
      </c>
      <c r="BU61" s="103">
        <f t="shared" ref="BU61" si="1546">BT61</f>
        <v>680970</v>
      </c>
      <c r="BV61" s="103">
        <f>ROUND(BU61*(1+取值表!$D$6),0)</f>
        <v>720466</v>
      </c>
      <c r="BW61" s="103">
        <f t="shared" ref="BW61" si="1547">BV61</f>
        <v>720466</v>
      </c>
      <c r="BX61" s="103">
        <f t="shared" ref="BX61" si="1548">BW61</f>
        <v>720466</v>
      </c>
      <c r="BY61" s="103">
        <f t="shared" ref="BY61" si="1549">BX61</f>
        <v>720466</v>
      </c>
      <c r="BZ61" s="103">
        <f>ROUND(BY61*(1+取值表!$D$6),0)</f>
        <v>762253</v>
      </c>
      <c r="CA61" s="103">
        <f t="shared" ref="CA61" si="1550">BZ61</f>
        <v>762253</v>
      </c>
      <c r="CB61" s="103">
        <f t="shared" ref="CB61" si="1551">CA61</f>
        <v>762253</v>
      </c>
      <c r="CC61" s="103">
        <f t="shared" ref="CC61" si="1552">CB61</f>
        <v>762253</v>
      </c>
      <c r="CD61" s="103">
        <f>ROUND(CC61*(1+取值表!$D$6),0)</f>
        <v>806464</v>
      </c>
      <c r="CE61" s="103">
        <f t="shared" ref="CE61" si="1553">CD61</f>
        <v>806464</v>
      </c>
      <c r="CF61" s="103">
        <f t="shared" ref="CF61" si="1554">CE61</f>
        <v>806464</v>
      </c>
      <c r="CG61" s="103">
        <f t="shared" ref="CG61" si="1555">CF61</f>
        <v>806464</v>
      </c>
      <c r="CH61" s="103">
        <f>ROUND(CG61*(1+取值表!$D$6),0)</f>
        <v>853239</v>
      </c>
      <c r="CI61" s="103">
        <f t="shared" ref="CI61" si="1556">CH61</f>
        <v>853239</v>
      </c>
      <c r="CJ61" s="103">
        <f t="shared" ref="CJ61" si="1557">CI61</f>
        <v>853239</v>
      </c>
      <c r="CK61" s="103">
        <f t="shared" ref="CK61" si="1558">CJ61</f>
        <v>853239</v>
      </c>
      <c r="CL61" s="103">
        <f>ROUND(CK61*(1+取值表!$D$6),0)</f>
        <v>902727</v>
      </c>
      <c r="CM61" s="103">
        <f t="shared" ref="CM61" si="1559">CL61</f>
        <v>902727</v>
      </c>
      <c r="CN61" s="103">
        <f t="shared" ref="CN61" si="1560">CM61</f>
        <v>902727</v>
      </c>
      <c r="CO61" s="103">
        <f t="shared" ref="CO61" si="1561">CN61</f>
        <v>902727</v>
      </c>
      <c r="CP61" s="103">
        <f t="shared" si="904"/>
        <v>45781928</v>
      </c>
      <c r="CQ61" s="58"/>
    </row>
    <row r="62" spans="1:95" s="149" customFormat="1">
      <c r="A62" s="546"/>
      <c r="B62" s="550"/>
      <c r="C62" s="548"/>
      <c r="D62" s="549"/>
      <c r="E62" s="547"/>
      <c r="F62" s="562"/>
      <c r="G62" s="562"/>
      <c r="H62" s="613"/>
      <c r="I62" s="99"/>
      <c r="J62" s="101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>
        <f>ROUND(AC62*(1+取值表!$E$6)*取值表!$I$6,0)</f>
        <v>0</v>
      </c>
      <c r="AE62" s="103"/>
      <c r="AF62" s="103"/>
      <c r="AG62" s="103"/>
      <c r="AH62" s="103">
        <f>ROUND(AG62*(1+取值表!$E$6)*取值表!$I$6,0)</f>
        <v>0</v>
      </c>
      <c r="AI62" s="103"/>
      <c r="AJ62" s="103"/>
      <c r="AK62" s="103"/>
      <c r="AL62" s="103">
        <f>ROUND(AK62*(1+取值表!$E$6)*取值表!$I$6,0)</f>
        <v>0</v>
      </c>
      <c r="AM62" s="103"/>
      <c r="AN62" s="103"/>
      <c r="AO62" s="103"/>
      <c r="AP62" s="103">
        <f>ROUND(AO62*(1+取值表!$E$6)*取值表!$I$6,0)</f>
        <v>0</v>
      </c>
      <c r="AQ62" s="103"/>
      <c r="AR62" s="103"/>
      <c r="AS62" s="103"/>
      <c r="AT62" s="103">
        <f>ROUND(AS62*(1+取值表!$E$6)*取值表!$I$6,0)</f>
        <v>0</v>
      </c>
      <c r="AU62" s="103"/>
      <c r="AV62" s="103"/>
      <c r="AW62" s="103"/>
      <c r="AX62" s="103">
        <f>ROUND(AW62*(1+取值表!$E$6)*取值表!$I$6,0)</f>
        <v>0</v>
      </c>
      <c r="AY62" s="103"/>
      <c r="AZ62" s="103"/>
      <c r="BA62" s="103"/>
      <c r="BB62" s="103">
        <f>ROUND(BA62*(1+取值表!$E$6)*取值表!$I$6,0)</f>
        <v>0</v>
      </c>
      <c r="BC62" s="103"/>
      <c r="BD62" s="103"/>
      <c r="BE62" s="103"/>
      <c r="BF62" s="103">
        <f>ROUND(BE62*(1+取值表!$E$6)*取值表!$I$6,0)</f>
        <v>0</v>
      </c>
      <c r="BG62" s="103"/>
      <c r="BH62" s="103"/>
      <c r="BI62" s="103"/>
      <c r="BJ62" s="103">
        <f>ROUND(BI62*(1+取值表!$E$6)*取值表!$I$6,0)</f>
        <v>0</v>
      </c>
      <c r="BK62" s="103"/>
      <c r="BL62" s="103"/>
      <c r="BM62" s="103"/>
      <c r="BN62" s="103">
        <f>ROUND(BM62*(1+取值表!$E$6)*取值表!$I$6,0)</f>
        <v>0</v>
      </c>
      <c r="BO62" s="103"/>
      <c r="BP62" s="103"/>
      <c r="BQ62" s="103"/>
      <c r="BR62" s="103">
        <f>ROUND(BQ62*(1+取值表!$E$6)*取值表!$I$6,0)</f>
        <v>0</v>
      </c>
      <c r="BS62" s="103"/>
      <c r="BT62" s="103"/>
      <c r="BU62" s="103"/>
      <c r="BV62" s="103">
        <f>ROUND(BU62*(1+取值表!$E$6)*取值表!$I$6,0)</f>
        <v>0</v>
      </c>
      <c r="BW62" s="103"/>
      <c r="BX62" s="103"/>
      <c r="BY62" s="103"/>
      <c r="BZ62" s="103">
        <f>ROUND(BY62*(1+取值表!$E$6)*取值表!$I$6,0)</f>
        <v>0</v>
      </c>
      <c r="CA62" s="103"/>
      <c r="CB62" s="103"/>
      <c r="CC62" s="103"/>
      <c r="CD62" s="103">
        <f>ROUND(CC62*(1+取值表!$E$6)*取值表!$I$6,0)</f>
        <v>0</v>
      </c>
      <c r="CE62" s="103"/>
      <c r="CF62" s="103"/>
      <c r="CG62" s="103"/>
      <c r="CH62" s="103">
        <f>ROUND(CG62*(1+取值表!$E$6)*取值表!$I$6,0)</f>
        <v>0</v>
      </c>
      <c r="CI62" s="103"/>
      <c r="CJ62" s="103"/>
      <c r="CK62" s="103"/>
      <c r="CL62" s="103">
        <f>ROUND(CK62*(1+取值表!$E$6)*取值表!$I$6,0)</f>
        <v>0</v>
      </c>
      <c r="CM62" s="103"/>
      <c r="CN62" s="103"/>
      <c r="CO62" s="103"/>
      <c r="CP62" s="103">
        <f t="shared" si="904"/>
        <v>0</v>
      </c>
      <c r="CQ62" s="58"/>
    </row>
    <row r="63" spans="1:95" ht="12" customHeight="1">
      <c r="A63" s="546">
        <v>31</v>
      </c>
      <c r="B63" s="550" t="s">
        <v>1110</v>
      </c>
      <c r="C63" s="548" t="s">
        <v>1111</v>
      </c>
      <c r="D63" s="549" t="s">
        <v>436</v>
      </c>
      <c r="E63" s="547" t="s">
        <v>418</v>
      </c>
      <c r="F63" s="562">
        <v>213.7</v>
      </c>
      <c r="G63" s="562">
        <f>AVERAGE(22,23)</f>
        <v>22.5</v>
      </c>
      <c r="H63" s="613">
        <f>F63*G63*365</f>
        <v>1755011.25</v>
      </c>
      <c r="I63" s="99">
        <v>429002.75</v>
      </c>
      <c r="J63" s="101">
        <f>ROUND(22*F63*365/4,0)</f>
        <v>429003</v>
      </c>
      <c r="K63" s="103">
        <f>J63</f>
        <v>429003</v>
      </c>
      <c r="L63" s="103">
        <f>M63</f>
        <v>448503</v>
      </c>
      <c r="M63" s="103">
        <f>N63</f>
        <v>448503</v>
      </c>
      <c r="N63" s="103">
        <f>O63</f>
        <v>448503</v>
      </c>
      <c r="O63" s="102">
        <f>ROUND(23*365*F63/4,0)</f>
        <v>448503</v>
      </c>
      <c r="P63" s="103">
        <f>O63</f>
        <v>448503</v>
      </c>
      <c r="Q63" s="103">
        <f>P63</f>
        <v>448503</v>
      </c>
      <c r="R63" s="103">
        <f>ROUND(Q63*(1+取值表!$D$6)*取值表!$I$6,0)</f>
        <v>446520</v>
      </c>
      <c r="S63" s="103">
        <f>R63</f>
        <v>446520</v>
      </c>
      <c r="T63" s="103">
        <f>S63</f>
        <v>446520</v>
      </c>
      <c r="U63" s="103">
        <f>T63</f>
        <v>446520</v>
      </c>
      <c r="V63" s="278">
        <f>ROUND(U63*(1+取值表!$D$6),0)</f>
        <v>472418</v>
      </c>
      <c r="W63" s="103">
        <f t="shared" ref="W63:Y63" si="1562">V63</f>
        <v>472418</v>
      </c>
      <c r="X63" s="103">
        <f t="shared" si="1562"/>
        <v>472418</v>
      </c>
      <c r="Y63" s="103">
        <f t="shared" si="1562"/>
        <v>472418</v>
      </c>
      <c r="Z63" s="103">
        <f>ROUND(Y63*(1+取值表!$D$6),0)</f>
        <v>499818</v>
      </c>
      <c r="AA63" s="103">
        <f t="shared" ref="AA63:AC63" si="1563">Z63</f>
        <v>499818</v>
      </c>
      <c r="AB63" s="103">
        <f t="shared" si="1563"/>
        <v>499818</v>
      </c>
      <c r="AC63" s="103">
        <f t="shared" si="1563"/>
        <v>499818</v>
      </c>
      <c r="AD63" s="103">
        <f>ROUND(AC63*(1+取值表!$D$6),0)</f>
        <v>528807</v>
      </c>
      <c r="AE63" s="103">
        <f t="shared" ref="AE63" si="1564">AD63</f>
        <v>528807</v>
      </c>
      <c r="AF63" s="103">
        <f t="shared" ref="AF63" si="1565">AE63</f>
        <v>528807</v>
      </c>
      <c r="AG63" s="103">
        <f t="shared" ref="AG63" si="1566">AF63</f>
        <v>528807</v>
      </c>
      <c r="AH63" s="103">
        <f>ROUND(AG63*(1+取值表!$D$6),0)</f>
        <v>559478</v>
      </c>
      <c r="AI63" s="103">
        <f t="shared" ref="AI63" si="1567">AH63</f>
        <v>559478</v>
      </c>
      <c r="AJ63" s="103">
        <f t="shared" ref="AJ63" si="1568">AI63</f>
        <v>559478</v>
      </c>
      <c r="AK63" s="103">
        <f t="shared" ref="AK63" si="1569">AJ63</f>
        <v>559478</v>
      </c>
      <c r="AL63" s="103">
        <f>ROUND(AK63*(1+取值表!$D$6),0)</f>
        <v>591928</v>
      </c>
      <c r="AM63" s="103">
        <f t="shared" ref="AM63" si="1570">AL63</f>
        <v>591928</v>
      </c>
      <c r="AN63" s="103">
        <f t="shared" ref="AN63" si="1571">AM63</f>
        <v>591928</v>
      </c>
      <c r="AO63" s="103">
        <f t="shared" ref="AO63" si="1572">AN63</f>
        <v>591928</v>
      </c>
      <c r="AP63" s="103">
        <f>ROUND(AO63*(1+取值表!$D$6),0)</f>
        <v>626260</v>
      </c>
      <c r="AQ63" s="103">
        <f t="shared" ref="AQ63" si="1573">AP63</f>
        <v>626260</v>
      </c>
      <c r="AR63" s="103">
        <f t="shared" ref="AR63" si="1574">AQ63</f>
        <v>626260</v>
      </c>
      <c r="AS63" s="103">
        <f t="shared" ref="AS63" si="1575">AR63</f>
        <v>626260</v>
      </c>
      <c r="AT63" s="103">
        <f>ROUND(AS63*(1+取值表!$D$6),0)</f>
        <v>662583</v>
      </c>
      <c r="AU63" s="103">
        <f t="shared" ref="AU63" si="1576">AT63</f>
        <v>662583</v>
      </c>
      <c r="AV63" s="103">
        <f t="shared" ref="AV63" si="1577">AU63</f>
        <v>662583</v>
      </c>
      <c r="AW63" s="103">
        <f t="shared" ref="AW63" si="1578">AV63</f>
        <v>662583</v>
      </c>
      <c r="AX63" s="103">
        <f>ROUND(AW63*(1+取值表!$D$6),0)</f>
        <v>701013</v>
      </c>
      <c r="AY63" s="103">
        <f t="shared" ref="AY63" si="1579">AX63</f>
        <v>701013</v>
      </c>
      <c r="AZ63" s="103">
        <f t="shared" ref="AZ63" si="1580">AY63</f>
        <v>701013</v>
      </c>
      <c r="BA63" s="103">
        <f t="shared" ref="BA63" si="1581">AZ63</f>
        <v>701013</v>
      </c>
      <c r="BB63" s="103">
        <f>ROUND(BA63*(1+取值表!$D$6),0)</f>
        <v>741672</v>
      </c>
      <c r="BC63" s="103">
        <f t="shared" ref="BC63" si="1582">BB63</f>
        <v>741672</v>
      </c>
      <c r="BD63" s="103">
        <f t="shared" ref="BD63" si="1583">BC63</f>
        <v>741672</v>
      </c>
      <c r="BE63" s="103">
        <f t="shared" ref="BE63" si="1584">BD63</f>
        <v>741672</v>
      </c>
      <c r="BF63" s="103">
        <f>ROUND(BE63*(1+取值表!$D$6),0)</f>
        <v>784689</v>
      </c>
      <c r="BG63" s="103">
        <f t="shared" ref="BG63" si="1585">BF63</f>
        <v>784689</v>
      </c>
      <c r="BH63" s="103">
        <f t="shared" ref="BH63" si="1586">BG63</f>
        <v>784689</v>
      </c>
      <c r="BI63" s="103">
        <f t="shared" ref="BI63" si="1587">BH63</f>
        <v>784689</v>
      </c>
      <c r="BJ63" s="103">
        <f>ROUND(BI63*(1+取值表!$D$6),0)</f>
        <v>830201</v>
      </c>
      <c r="BK63" s="103">
        <f t="shared" ref="BK63" si="1588">BJ63</f>
        <v>830201</v>
      </c>
      <c r="BL63" s="103">
        <f t="shared" ref="BL63" si="1589">BK63</f>
        <v>830201</v>
      </c>
      <c r="BM63" s="103">
        <f t="shared" ref="BM63" si="1590">BL63</f>
        <v>830201</v>
      </c>
      <c r="BN63" s="103">
        <f>ROUND(BM63*(1+取值表!$D$6),0)</f>
        <v>878353</v>
      </c>
      <c r="BO63" s="103">
        <f t="shared" ref="BO63" si="1591">BN63</f>
        <v>878353</v>
      </c>
      <c r="BP63" s="103">
        <f t="shared" ref="BP63" si="1592">BO63</f>
        <v>878353</v>
      </c>
      <c r="BQ63" s="103">
        <f t="shared" ref="BQ63" si="1593">BP63</f>
        <v>878353</v>
      </c>
      <c r="BR63" s="103">
        <f>ROUND(BQ63*(1+取值表!$D$6),0)</f>
        <v>929297</v>
      </c>
      <c r="BS63" s="103">
        <f t="shared" ref="BS63" si="1594">BR63</f>
        <v>929297</v>
      </c>
      <c r="BT63" s="103">
        <f t="shared" ref="BT63" si="1595">BS63</f>
        <v>929297</v>
      </c>
      <c r="BU63" s="103">
        <f t="shared" ref="BU63" si="1596">BT63</f>
        <v>929297</v>
      </c>
      <c r="BV63" s="103">
        <f>ROUND(BU63*(1+取值表!$D$6),0)</f>
        <v>983196</v>
      </c>
      <c r="BW63" s="103">
        <f t="shared" ref="BW63" si="1597">BV63</f>
        <v>983196</v>
      </c>
      <c r="BX63" s="103">
        <f t="shared" ref="BX63" si="1598">BW63</f>
        <v>983196</v>
      </c>
      <c r="BY63" s="103">
        <f t="shared" ref="BY63" si="1599">BX63</f>
        <v>983196</v>
      </c>
      <c r="BZ63" s="103">
        <f>ROUND(BY63*(1+取值表!$D$6),0)</f>
        <v>1040221</v>
      </c>
      <c r="CA63" s="103">
        <f t="shared" ref="CA63" si="1600">BZ63</f>
        <v>1040221</v>
      </c>
      <c r="CB63" s="103">
        <f t="shared" ref="CB63" si="1601">CA63</f>
        <v>1040221</v>
      </c>
      <c r="CC63" s="103">
        <f t="shared" ref="CC63" si="1602">CB63</f>
        <v>1040221</v>
      </c>
      <c r="CD63" s="103">
        <f>ROUND(CC63*(1+取值表!$D$6),0)</f>
        <v>1100554</v>
      </c>
      <c r="CE63" s="103">
        <f t="shared" ref="CE63" si="1603">CD63</f>
        <v>1100554</v>
      </c>
      <c r="CF63" s="103">
        <f t="shared" ref="CF63" si="1604">CE63</f>
        <v>1100554</v>
      </c>
      <c r="CG63" s="103">
        <f t="shared" ref="CG63" si="1605">CF63</f>
        <v>1100554</v>
      </c>
      <c r="CH63" s="103">
        <f>ROUND(CG63*(1+取值表!$D$6),0)</f>
        <v>1164386</v>
      </c>
      <c r="CI63" s="103">
        <f t="shared" ref="CI63" si="1606">CH63</f>
        <v>1164386</v>
      </c>
      <c r="CJ63" s="103">
        <f t="shared" ref="CJ63" si="1607">CI63</f>
        <v>1164386</v>
      </c>
      <c r="CK63" s="103">
        <f t="shared" ref="CK63" si="1608">CJ63</f>
        <v>1164386</v>
      </c>
      <c r="CL63" s="103">
        <f>ROUND(CK63*(1+取值表!$D$6),0)</f>
        <v>1231920</v>
      </c>
      <c r="CM63" s="103">
        <f t="shared" ref="CM63" si="1609">CL63</f>
        <v>1231920</v>
      </c>
      <c r="CN63" s="103">
        <f t="shared" ref="CN63" si="1610">CM63</f>
        <v>1231920</v>
      </c>
      <c r="CO63" s="103">
        <f t="shared" ref="CO63" si="1611">CN63</f>
        <v>1231920</v>
      </c>
      <c r="CP63" s="103">
        <f t="shared" si="904"/>
        <v>62642280</v>
      </c>
    </row>
    <row r="64" spans="1:95">
      <c r="A64" s="546"/>
      <c r="B64" s="550"/>
      <c r="C64" s="548"/>
      <c r="D64" s="549"/>
      <c r="E64" s="547"/>
      <c r="F64" s="562"/>
      <c r="G64" s="562"/>
      <c r="H64" s="613"/>
      <c r="I64" s="99"/>
      <c r="J64" s="101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>
        <f>ROUND(AC64*(1+取值表!$E$6)*取值表!$I$6,0)</f>
        <v>0</v>
      </c>
      <c r="AE64" s="103"/>
      <c r="AF64" s="103"/>
      <c r="AG64" s="103"/>
      <c r="AH64" s="103">
        <f>ROUND(AG64*(1+取值表!$E$6)*取值表!$I$6,0)</f>
        <v>0</v>
      </c>
      <c r="AI64" s="103"/>
      <c r="AJ64" s="103"/>
      <c r="AK64" s="103"/>
      <c r="AL64" s="103">
        <f>ROUND(AK64*(1+取值表!$E$6)*取值表!$I$6,0)</f>
        <v>0</v>
      </c>
      <c r="AM64" s="103"/>
      <c r="AN64" s="103"/>
      <c r="AO64" s="103"/>
      <c r="AP64" s="103">
        <f>ROUND(AO64*(1+取值表!$E$6)*取值表!$I$6,0)</f>
        <v>0</v>
      </c>
      <c r="AQ64" s="103"/>
      <c r="AR64" s="103"/>
      <c r="AS64" s="103"/>
      <c r="AT64" s="103">
        <f>ROUND(AS64*(1+取值表!$E$6)*取值表!$I$6,0)</f>
        <v>0</v>
      </c>
      <c r="AU64" s="103"/>
      <c r="AV64" s="103"/>
      <c r="AW64" s="103"/>
      <c r="AX64" s="103">
        <f>ROUND(AW64*(1+取值表!$E$6)*取值表!$I$6,0)</f>
        <v>0</v>
      </c>
      <c r="AY64" s="103"/>
      <c r="AZ64" s="103"/>
      <c r="BA64" s="103"/>
      <c r="BB64" s="103">
        <f>ROUND(BA64*(1+取值表!$E$6)*取值表!$I$6,0)</f>
        <v>0</v>
      </c>
      <c r="BC64" s="103"/>
      <c r="BD64" s="103"/>
      <c r="BE64" s="103"/>
      <c r="BF64" s="103">
        <f>ROUND(BE64*(1+取值表!$E$6)*取值表!$I$6,0)</f>
        <v>0</v>
      </c>
      <c r="BG64" s="103"/>
      <c r="BH64" s="103"/>
      <c r="BI64" s="103"/>
      <c r="BJ64" s="103">
        <f>ROUND(BI64*(1+取值表!$E$6)*取值表!$I$6,0)</f>
        <v>0</v>
      </c>
      <c r="BK64" s="103"/>
      <c r="BL64" s="103"/>
      <c r="BM64" s="103"/>
      <c r="BN64" s="103">
        <f>ROUND(BM64*(1+取值表!$E$6)*取值表!$I$6,0)</f>
        <v>0</v>
      </c>
      <c r="BO64" s="103"/>
      <c r="BP64" s="103"/>
      <c r="BQ64" s="103"/>
      <c r="BR64" s="103">
        <f>ROUND(BQ64*(1+取值表!$E$6)*取值表!$I$6,0)</f>
        <v>0</v>
      </c>
      <c r="BS64" s="103"/>
      <c r="BT64" s="103"/>
      <c r="BU64" s="103"/>
      <c r="BV64" s="103">
        <f>ROUND(BU64*(1+取值表!$E$6)*取值表!$I$6,0)</f>
        <v>0</v>
      </c>
      <c r="BW64" s="103"/>
      <c r="BX64" s="103"/>
      <c r="BY64" s="103"/>
      <c r="BZ64" s="103">
        <f>ROUND(BY64*(1+取值表!$E$6)*取值表!$I$6,0)</f>
        <v>0</v>
      </c>
      <c r="CA64" s="103"/>
      <c r="CB64" s="103"/>
      <c r="CC64" s="103"/>
      <c r="CD64" s="103">
        <f>ROUND(CC64*(1+取值表!$E$6)*取值表!$I$6,0)</f>
        <v>0</v>
      </c>
      <c r="CE64" s="103"/>
      <c r="CF64" s="103"/>
      <c r="CG64" s="103"/>
      <c r="CH64" s="103">
        <f>ROUND(CG64*(1+取值表!$E$6)*取值表!$I$6,0)</f>
        <v>0</v>
      </c>
      <c r="CI64" s="103"/>
      <c r="CJ64" s="103"/>
      <c r="CK64" s="103"/>
      <c r="CL64" s="103">
        <f>ROUND(CK64*(1+取值表!$E$6)*取值表!$I$6,0)</f>
        <v>0</v>
      </c>
      <c r="CM64" s="103"/>
      <c r="CN64" s="103"/>
      <c r="CO64" s="103"/>
      <c r="CP64" s="103">
        <f t="shared" si="904"/>
        <v>0</v>
      </c>
    </row>
    <row r="65" spans="1:212">
      <c r="A65" s="546">
        <v>32</v>
      </c>
      <c r="B65" s="550" t="s">
        <v>1112</v>
      </c>
      <c r="C65" s="548" t="s">
        <v>1113</v>
      </c>
      <c r="D65" s="549" t="s">
        <v>437</v>
      </c>
      <c r="E65" s="547" t="s">
        <v>418</v>
      </c>
      <c r="F65" s="562">
        <v>74.400000000000006</v>
      </c>
      <c r="G65" s="562">
        <v>31</v>
      </c>
      <c r="H65" s="613">
        <f>F65*G65*365</f>
        <v>841836</v>
      </c>
      <c r="I65" s="99">
        <v>210459</v>
      </c>
      <c r="J65" s="101">
        <f>ROUND(G65*F65*365/4,0)</f>
        <v>210459</v>
      </c>
      <c r="K65" s="102">
        <f>J65</f>
        <v>210459</v>
      </c>
      <c r="L65" s="103">
        <f>K65</f>
        <v>210459</v>
      </c>
      <c r="M65" s="103">
        <f>L65</f>
        <v>210459</v>
      </c>
      <c r="N65" s="103">
        <f>ROUND(M65*(1+取值表!$D$6)*取值表!$I$6,0)</f>
        <v>209528</v>
      </c>
      <c r="O65" s="103">
        <f>N65</f>
        <v>209528</v>
      </c>
      <c r="P65" s="103">
        <f>O65</f>
        <v>209528</v>
      </c>
      <c r="Q65" s="103">
        <f>P65</f>
        <v>209528</v>
      </c>
      <c r="R65" s="278">
        <f>ROUND(Q65*(1+取值表!$D$6),0)</f>
        <v>221681</v>
      </c>
      <c r="S65" s="103">
        <f t="shared" ref="S65:U65" si="1612">R65</f>
        <v>221681</v>
      </c>
      <c r="T65" s="103">
        <f t="shared" si="1612"/>
        <v>221681</v>
      </c>
      <c r="U65" s="103">
        <f t="shared" si="1612"/>
        <v>221681</v>
      </c>
      <c r="V65" s="103">
        <f>ROUND(U65*(1+取值表!$D$6),0)</f>
        <v>234538</v>
      </c>
      <c r="W65" s="103">
        <f t="shared" ref="W65:Y65" si="1613">V65</f>
        <v>234538</v>
      </c>
      <c r="X65" s="103">
        <f t="shared" si="1613"/>
        <v>234538</v>
      </c>
      <c r="Y65" s="103">
        <f t="shared" si="1613"/>
        <v>234538</v>
      </c>
      <c r="Z65" s="103">
        <f>ROUND(Y65*(1+取值表!$D$6),0)</f>
        <v>248141</v>
      </c>
      <c r="AA65" s="103">
        <f t="shared" ref="AA65" si="1614">Z65</f>
        <v>248141</v>
      </c>
      <c r="AB65" s="103">
        <f t="shared" ref="AB65" si="1615">AA65</f>
        <v>248141</v>
      </c>
      <c r="AC65" s="103">
        <f t="shared" ref="AC65" si="1616">AB65</f>
        <v>248141</v>
      </c>
      <c r="AD65" s="103">
        <f>ROUND(AC65*(1+取值表!$D$6),0)</f>
        <v>262533</v>
      </c>
      <c r="AE65" s="103">
        <f t="shared" ref="AE65" si="1617">AD65</f>
        <v>262533</v>
      </c>
      <c r="AF65" s="103">
        <f t="shared" ref="AF65" si="1618">AE65</f>
        <v>262533</v>
      </c>
      <c r="AG65" s="103">
        <f t="shared" ref="AG65" si="1619">AF65</f>
        <v>262533</v>
      </c>
      <c r="AH65" s="103">
        <f>ROUND(AG65*(1+取值表!$D$6),0)</f>
        <v>277760</v>
      </c>
      <c r="AI65" s="103">
        <f t="shared" ref="AI65" si="1620">AH65</f>
        <v>277760</v>
      </c>
      <c r="AJ65" s="103">
        <f t="shared" ref="AJ65" si="1621">AI65</f>
        <v>277760</v>
      </c>
      <c r="AK65" s="103">
        <f t="shared" ref="AK65" si="1622">AJ65</f>
        <v>277760</v>
      </c>
      <c r="AL65" s="103">
        <f>ROUND(AK65*(1+取值表!$D$6),0)</f>
        <v>293870</v>
      </c>
      <c r="AM65" s="103">
        <f t="shared" ref="AM65" si="1623">AL65</f>
        <v>293870</v>
      </c>
      <c r="AN65" s="103">
        <f t="shared" ref="AN65" si="1624">AM65</f>
        <v>293870</v>
      </c>
      <c r="AO65" s="103">
        <f t="shared" ref="AO65" si="1625">AN65</f>
        <v>293870</v>
      </c>
      <c r="AP65" s="103">
        <f>ROUND(AO65*(1+取值表!$D$6),0)</f>
        <v>310914</v>
      </c>
      <c r="AQ65" s="103">
        <f t="shared" ref="AQ65" si="1626">AP65</f>
        <v>310914</v>
      </c>
      <c r="AR65" s="103">
        <f t="shared" ref="AR65" si="1627">AQ65</f>
        <v>310914</v>
      </c>
      <c r="AS65" s="103">
        <f t="shared" ref="AS65" si="1628">AR65</f>
        <v>310914</v>
      </c>
      <c r="AT65" s="103">
        <f>ROUND(AS65*(1+取值表!$D$6),0)</f>
        <v>328947</v>
      </c>
      <c r="AU65" s="103">
        <f t="shared" ref="AU65" si="1629">AT65</f>
        <v>328947</v>
      </c>
      <c r="AV65" s="103">
        <f t="shared" ref="AV65" si="1630">AU65</f>
        <v>328947</v>
      </c>
      <c r="AW65" s="103">
        <f t="shared" ref="AW65" si="1631">AV65</f>
        <v>328947</v>
      </c>
      <c r="AX65" s="103">
        <f>ROUND(AW65*(1+取值表!$D$6),0)</f>
        <v>348026</v>
      </c>
      <c r="AY65" s="103">
        <f t="shared" ref="AY65" si="1632">AX65</f>
        <v>348026</v>
      </c>
      <c r="AZ65" s="103">
        <f t="shared" ref="AZ65" si="1633">AY65</f>
        <v>348026</v>
      </c>
      <c r="BA65" s="103">
        <f t="shared" ref="BA65" si="1634">AZ65</f>
        <v>348026</v>
      </c>
      <c r="BB65" s="103">
        <f>ROUND(BA65*(1+取值表!$D$6),0)</f>
        <v>368212</v>
      </c>
      <c r="BC65" s="103">
        <f t="shared" ref="BC65" si="1635">BB65</f>
        <v>368212</v>
      </c>
      <c r="BD65" s="103">
        <f t="shared" ref="BD65" si="1636">BC65</f>
        <v>368212</v>
      </c>
      <c r="BE65" s="103">
        <f t="shared" ref="BE65" si="1637">BD65</f>
        <v>368212</v>
      </c>
      <c r="BF65" s="103">
        <f>ROUND(BE65*(1+取值表!$D$6),0)</f>
        <v>389568</v>
      </c>
      <c r="BG65" s="103">
        <f t="shared" ref="BG65" si="1638">BF65</f>
        <v>389568</v>
      </c>
      <c r="BH65" s="103">
        <f t="shared" ref="BH65" si="1639">BG65</f>
        <v>389568</v>
      </c>
      <c r="BI65" s="103">
        <f t="shared" ref="BI65" si="1640">BH65</f>
        <v>389568</v>
      </c>
      <c r="BJ65" s="103">
        <f>ROUND(BI65*(1+取值表!$D$6),0)</f>
        <v>412163</v>
      </c>
      <c r="BK65" s="103">
        <f t="shared" ref="BK65" si="1641">BJ65</f>
        <v>412163</v>
      </c>
      <c r="BL65" s="103">
        <f t="shared" ref="BL65" si="1642">BK65</f>
        <v>412163</v>
      </c>
      <c r="BM65" s="103">
        <f t="shared" ref="BM65" si="1643">BL65</f>
        <v>412163</v>
      </c>
      <c r="BN65" s="103">
        <f>ROUND(BM65*(1+取值表!$D$6),0)</f>
        <v>436068</v>
      </c>
      <c r="BO65" s="103">
        <f t="shared" ref="BO65" si="1644">BN65</f>
        <v>436068</v>
      </c>
      <c r="BP65" s="103">
        <f t="shared" ref="BP65" si="1645">BO65</f>
        <v>436068</v>
      </c>
      <c r="BQ65" s="103">
        <f t="shared" ref="BQ65" si="1646">BP65</f>
        <v>436068</v>
      </c>
      <c r="BR65" s="103">
        <f>ROUND(BQ65*(1+取值表!$D$6),0)</f>
        <v>461360</v>
      </c>
      <c r="BS65" s="103">
        <f t="shared" ref="BS65" si="1647">BR65</f>
        <v>461360</v>
      </c>
      <c r="BT65" s="103">
        <f t="shared" ref="BT65" si="1648">BS65</f>
        <v>461360</v>
      </c>
      <c r="BU65" s="103">
        <f t="shared" ref="BU65" si="1649">BT65</f>
        <v>461360</v>
      </c>
      <c r="BV65" s="103">
        <f>ROUND(BU65*(1+取值表!$D$6),0)</f>
        <v>488119</v>
      </c>
      <c r="BW65" s="103">
        <f t="shared" ref="BW65" si="1650">BV65</f>
        <v>488119</v>
      </c>
      <c r="BX65" s="103">
        <f t="shared" ref="BX65" si="1651">BW65</f>
        <v>488119</v>
      </c>
      <c r="BY65" s="103">
        <f t="shared" ref="BY65" si="1652">BX65</f>
        <v>488119</v>
      </c>
      <c r="BZ65" s="103">
        <f>ROUND(BY65*(1+取值表!$D$6),0)</f>
        <v>516430</v>
      </c>
      <c r="CA65" s="103">
        <f t="shared" ref="CA65" si="1653">BZ65</f>
        <v>516430</v>
      </c>
      <c r="CB65" s="103">
        <f t="shared" ref="CB65" si="1654">CA65</f>
        <v>516430</v>
      </c>
      <c r="CC65" s="103">
        <f t="shared" ref="CC65" si="1655">CB65</f>
        <v>516430</v>
      </c>
      <c r="CD65" s="103">
        <f>ROUND(CC65*(1+取值表!$D$6),0)</f>
        <v>546383</v>
      </c>
      <c r="CE65" s="103">
        <f t="shared" ref="CE65" si="1656">CD65</f>
        <v>546383</v>
      </c>
      <c r="CF65" s="103">
        <f t="shared" ref="CF65" si="1657">CE65</f>
        <v>546383</v>
      </c>
      <c r="CG65" s="103">
        <f t="shared" ref="CG65" si="1658">CF65</f>
        <v>546383</v>
      </c>
      <c r="CH65" s="103">
        <f>ROUND(CG65*(1+取值表!$D$6),0)</f>
        <v>578073</v>
      </c>
      <c r="CI65" s="103">
        <f t="shared" ref="CI65" si="1659">CH65</f>
        <v>578073</v>
      </c>
      <c r="CJ65" s="103">
        <f t="shared" ref="CJ65" si="1660">CI65</f>
        <v>578073</v>
      </c>
      <c r="CK65" s="103">
        <f t="shared" ref="CK65" si="1661">CJ65</f>
        <v>578073</v>
      </c>
      <c r="CL65" s="103">
        <f>ROUND(CK65*(1+取值表!$D$6),0)</f>
        <v>611601</v>
      </c>
      <c r="CM65" s="103">
        <f t="shared" ref="CM65" si="1662">CL65</f>
        <v>611601</v>
      </c>
      <c r="CN65" s="103">
        <f t="shared" ref="CN65" si="1663">CM65</f>
        <v>611601</v>
      </c>
      <c r="CO65" s="103">
        <f t="shared" ref="CO65" si="1664">CN65</f>
        <v>611601</v>
      </c>
      <c r="CP65" s="103">
        <f t="shared" si="904"/>
        <v>31017496</v>
      </c>
    </row>
    <row r="66" spans="1:212">
      <c r="A66" s="546"/>
      <c r="B66" s="550"/>
      <c r="C66" s="548"/>
      <c r="D66" s="549"/>
      <c r="E66" s="547"/>
      <c r="F66" s="562"/>
      <c r="G66" s="562"/>
      <c r="H66" s="613"/>
      <c r="I66" s="99"/>
      <c r="J66" s="101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>
        <f>ROUND(AC66*(1+取值表!$E$6)*取值表!$I$6,0)</f>
        <v>0</v>
      </c>
      <c r="AE66" s="103"/>
      <c r="AF66" s="103"/>
      <c r="AG66" s="103"/>
      <c r="AH66" s="103">
        <f>ROUND(AG66*(1+取值表!$E$6)*取值表!$I$6,0)</f>
        <v>0</v>
      </c>
      <c r="AI66" s="103"/>
      <c r="AJ66" s="103"/>
      <c r="AK66" s="103"/>
      <c r="AL66" s="103">
        <f>ROUND(AK66*(1+取值表!$E$6)*取值表!$I$6,0)</f>
        <v>0</v>
      </c>
      <c r="AM66" s="103"/>
      <c r="AN66" s="103"/>
      <c r="AO66" s="103"/>
      <c r="AP66" s="103">
        <f>ROUND(AO66*(1+取值表!$E$6)*取值表!$I$6,0)</f>
        <v>0</v>
      </c>
      <c r="AQ66" s="103"/>
      <c r="AR66" s="103"/>
      <c r="AS66" s="103"/>
      <c r="AT66" s="103">
        <f>ROUND(AS66*(1+取值表!$E$6)*取值表!$I$6,0)</f>
        <v>0</v>
      </c>
      <c r="AU66" s="103"/>
      <c r="AV66" s="103"/>
      <c r="AW66" s="103"/>
      <c r="AX66" s="103">
        <f>ROUND(AW66*(1+取值表!$E$6)*取值表!$I$6,0)</f>
        <v>0</v>
      </c>
      <c r="AY66" s="103"/>
      <c r="AZ66" s="103"/>
      <c r="BA66" s="103"/>
      <c r="BB66" s="103">
        <f>ROUND(BA66*(1+取值表!$E$6)*取值表!$I$6,0)</f>
        <v>0</v>
      </c>
      <c r="BC66" s="103"/>
      <c r="BD66" s="103"/>
      <c r="BE66" s="103"/>
      <c r="BF66" s="103">
        <f>ROUND(BE66*(1+取值表!$E$6)*取值表!$I$6,0)</f>
        <v>0</v>
      </c>
      <c r="BG66" s="103"/>
      <c r="BH66" s="103"/>
      <c r="BI66" s="103"/>
      <c r="BJ66" s="103">
        <f>ROUND(BI66*(1+取值表!$E$6)*取值表!$I$6,0)</f>
        <v>0</v>
      </c>
      <c r="BK66" s="103"/>
      <c r="BL66" s="103"/>
      <c r="BM66" s="103"/>
      <c r="BN66" s="103">
        <f>ROUND(BM66*(1+取值表!$E$6)*取值表!$I$6,0)</f>
        <v>0</v>
      </c>
      <c r="BO66" s="103"/>
      <c r="BP66" s="103"/>
      <c r="BQ66" s="103"/>
      <c r="BR66" s="103">
        <f>ROUND(BQ66*(1+取值表!$E$6)*取值表!$I$6,0)</f>
        <v>0</v>
      </c>
      <c r="BS66" s="103"/>
      <c r="BT66" s="103"/>
      <c r="BU66" s="103"/>
      <c r="BV66" s="103">
        <f>ROUND(BU66*(1+取值表!$E$6)*取值表!$I$6,0)</f>
        <v>0</v>
      </c>
      <c r="BW66" s="103"/>
      <c r="BX66" s="103"/>
      <c r="BY66" s="103"/>
      <c r="BZ66" s="103">
        <f>ROUND(BY66*(1+取值表!$E$6)*取值表!$I$6,0)</f>
        <v>0</v>
      </c>
      <c r="CA66" s="103"/>
      <c r="CB66" s="103"/>
      <c r="CC66" s="103"/>
      <c r="CD66" s="103">
        <f>ROUND(CC66*(1+取值表!$E$6)*取值表!$I$6,0)</f>
        <v>0</v>
      </c>
      <c r="CE66" s="103"/>
      <c r="CF66" s="103"/>
      <c r="CG66" s="103"/>
      <c r="CH66" s="103">
        <f>ROUND(CG66*(1+取值表!$E$6)*取值表!$I$6,0)</f>
        <v>0</v>
      </c>
      <c r="CI66" s="103"/>
      <c r="CJ66" s="103"/>
      <c r="CK66" s="103"/>
      <c r="CL66" s="103">
        <f>ROUND(CK66*(1+取值表!$E$6)*取值表!$I$6,0)</f>
        <v>0</v>
      </c>
      <c r="CM66" s="103"/>
      <c r="CN66" s="103"/>
      <c r="CO66" s="103"/>
      <c r="CP66" s="103">
        <f t="shared" si="904"/>
        <v>0</v>
      </c>
    </row>
    <row r="67" spans="1:212">
      <c r="A67" s="546">
        <v>33</v>
      </c>
      <c r="B67" s="550" t="s">
        <v>1114</v>
      </c>
      <c r="C67" s="548" t="s">
        <v>1115</v>
      </c>
      <c r="D67" s="549" t="s">
        <v>33</v>
      </c>
      <c r="E67" s="547" t="s">
        <v>418</v>
      </c>
      <c r="F67" s="562">
        <v>160.4</v>
      </c>
      <c r="G67" s="562">
        <v>16</v>
      </c>
      <c r="H67" s="613">
        <f>F67*G67*365</f>
        <v>936736</v>
      </c>
      <c r="I67" s="99"/>
      <c r="J67" s="101">
        <f>ROUND(G67*F67*365/4,0)</f>
        <v>234184</v>
      </c>
      <c r="K67" s="103">
        <f>J67</f>
        <v>234184</v>
      </c>
      <c r="L67" s="102">
        <f>K67</f>
        <v>234184</v>
      </c>
      <c r="M67" s="103">
        <f>L67</f>
        <v>234184</v>
      </c>
      <c r="N67" s="103">
        <f>ROUND(M67*(1+取值表!$D$6)*取值表!$I$6,0)</f>
        <v>233148</v>
      </c>
      <c r="O67" s="103">
        <f>N67</f>
        <v>233148</v>
      </c>
      <c r="P67" s="103">
        <f>O67</f>
        <v>233148</v>
      </c>
      <c r="Q67" s="103">
        <f>P67</f>
        <v>233148</v>
      </c>
      <c r="R67" s="278">
        <f>ROUND(Q67*(1+取值表!$D$6),0)</f>
        <v>246671</v>
      </c>
      <c r="S67" s="103">
        <f t="shared" ref="S67:U67" si="1665">R67</f>
        <v>246671</v>
      </c>
      <c r="T67" s="103">
        <f t="shared" si="1665"/>
        <v>246671</v>
      </c>
      <c r="U67" s="103">
        <f t="shared" si="1665"/>
        <v>246671</v>
      </c>
      <c r="V67" s="103">
        <f>ROUND(U67*(1+取值表!$D$6),0)</f>
        <v>260978</v>
      </c>
      <c r="W67" s="103">
        <f t="shared" ref="W67:Y67" si="1666">V67</f>
        <v>260978</v>
      </c>
      <c r="X67" s="103">
        <f t="shared" si="1666"/>
        <v>260978</v>
      </c>
      <c r="Y67" s="103">
        <f t="shared" si="1666"/>
        <v>260978</v>
      </c>
      <c r="Z67" s="103">
        <f>ROUND(Y67*(1+取值表!$D$6),0)</f>
        <v>276115</v>
      </c>
      <c r="AA67" s="103">
        <f t="shared" ref="AA67" si="1667">Z67</f>
        <v>276115</v>
      </c>
      <c r="AB67" s="103">
        <f t="shared" ref="AB67" si="1668">AA67</f>
        <v>276115</v>
      </c>
      <c r="AC67" s="103">
        <f t="shared" ref="AC67" si="1669">AB67</f>
        <v>276115</v>
      </c>
      <c r="AD67" s="103">
        <f>ROUND(AC67*(1+取值表!$D$6),0)</f>
        <v>292130</v>
      </c>
      <c r="AE67" s="103">
        <f t="shared" ref="AE67" si="1670">AD67</f>
        <v>292130</v>
      </c>
      <c r="AF67" s="103">
        <f t="shared" ref="AF67" si="1671">AE67</f>
        <v>292130</v>
      </c>
      <c r="AG67" s="103">
        <f t="shared" ref="AG67" si="1672">AF67</f>
        <v>292130</v>
      </c>
      <c r="AH67" s="103">
        <f>ROUND(AG67*(1+取值表!$D$6),0)</f>
        <v>309074</v>
      </c>
      <c r="AI67" s="103">
        <f t="shared" ref="AI67" si="1673">AH67</f>
        <v>309074</v>
      </c>
      <c r="AJ67" s="103">
        <f t="shared" ref="AJ67" si="1674">AI67</f>
        <v>309074</v>
      </c>
      <c r="AK67" s="103">
        <f t="shared" ref="AK67" si="1675">AJ67</f>
        <v>309074</v>
      </c>
      <c r="AL67" s="103">
        <f>ROUND(AK67*(1+取值表!$D$6),0)</f>
        <v>327000</v>
      </c>
      <c r="AM67" s="103">
        <f t="shared" ref="AM67" si="1676">AL67</f>
        <v>327000</v>
      </c>
      <c r="AN67" s="103">
        <f t="shared" ref="AN67" si="1677">AM67</f>
        <v>327000</v>
      </c>
      <c r="AO67" s="103">
        <f t="shared" ref="AO67" si="1678">AN67</f>
        <v>327000</v>
      </c>
      <c r="AP67" s="103">
        <f>ROUND(AO67*(1+取值表!$D$6),0)</f>
        <v>345966</v>
      </c>
      <c r="AQ67" s="103">
        <f t="shared" ref="AQ67" si="1679">AP67</f>
        <v>345966</v>
      </c>
      <c r="AR67" s="103">
        <f t="shared" ref="AR67" si="1680">AQ67</f>
        <v>345966</v>
      </c>
      <c r="AS67" s="103">
        <f t="shared" ref="AS67" si="1681">AR67</f>
        <v>345966</v>
      </c>
      <c r="AT67" s="103">
        <f>ROUND(AS67*(1+取值表!$D$6),0)</f>
        <v>366032</v>
      </c>
      <c r="AU67" s="103">
        <f t="shared" ref="AU67" si="1682">AT67</f>
        <v>366032</v>
      </c>
      <c r="AV67" s="103">
        <f t="shared" ref="AV67" si="1683">AU67</f>
        <v>366032</v>
      </c>
      <c r="AW67" s="103">
        <f t="shared" ref="AW67" si="1684">AV67</f>
        <v>366032</v>
      </c>
      <c r="AX67" s="103">
        <f>ROUND(AW67*(1+取值表!$D$6),0)</f>
        <v>387262</v>
      </c>
      <c r="AY67" s="103">
        <f t="shared" ref="AY67" si="1685">AX67</f>
        <v>387262</v>
      </c>
      <c r="AZ67" s="103">
        <f t="shared" ref="AZ67" si="1686">AY67</f>
        <v>387262</v>
      </c>
      <c r="BA67" s="103">
        <f t="shared" ref="BA67" si="1687">AZ67</f>
        <v>387262</v>
      </c>
      <c r="BB67" s="103">
        <f>ROUND(BA67*(1+取值表!$D$6),0)</f>
        <v>409723</v>
      </c>
      <c r="BC67" s="103">
        <f t="shared" ref="BC67" si="1688">BB67</f>
        <v>409723</v>
      </c>
      <c r="BD67" s="103">
        <f t="shared" ref="BD67" si="1689">BC67</f>
        <v>409723</v>
      </c>
      <c r="BE67" s="103">
        <f t="shared" ref="BE67" si="1690">BD67</f>
        <v>409723</v>
      </c>
      <c r="BF67" s="103">
        <f>ROUND(BE67*(1+取值表!$D$6),0)</f>
        <v>433487</v>
      </c>
      <c r="BG67" s="103">
        <f t="shared" ref="BG67" si="1691">BF67</f>
        <v>433487</v>
      </c>
      <c r="BH67" s="103">
        <f t="shared" ref="BH67" si="1692">BG67</f>
        <v>433487</v>
      </c>
      <c r="BI67" s="103">
        <f t="shared" ref="BI67" si="1693">BH67</f>
        <v>433487</v>
      </c>
      <c r="BJ67" s="103">
        <f>ROUND(BI67*(1+取值表!$D$6),0)</f>
        <v>458629</v>
      </c>
      <c r="BK67" s="103">
        <f t="shared" ref="BK67" si="1694">BJ67</f>
        <v>458629</v>
      </c>
      <c r="BL67" s="103">
        <f t="shared" ref="BL67" si="1695">BK67</f>
        <v>458629</v>
      </c>
      <c r="BM67" s="103">
        <f t="shared" ref="BM67" si="1696">BL67</f>
        <v>458629</v>
      </c>
      <c r="BN67" s="103">
        <f>ROUND(BM67*(1+取值表!$D$6),0)</f>
        <v>485229</v>
      </c>
      <c r="BO67" s="103">
        <f t="shared" ref="BO67" si="1697">BN67</f>
        <v>485229</v>
      </c>
      <c r="BP67" s="103">
        <f t="shared" ref="BP67" si="1698">BO67</f>
        <v>485229</v>
      </c>
      <c r="BQ67" s="103">
        <f t="shared" ref="BQ67" si="1699">BP67</f>
        <v>485229</v>
      </c>
      <c r="BR67" s="103">
        <f>ROUND(BQ67*(1+取值表!$D$6),0)</f>
        <v>513372</v>
      </c>
      <c r="BS67" s="103">
        <f t="shared" ref="BS67" si="1700">BR67</f>
        <v>513372</v>
      </c>
      <c r="BT67" s="103">
        <f t="shared" ref="BT67" si="1701">BS67</f>
        <v>513372</v>
      </c>
      <c r="BU67" s="103">
        <f t="shared" ref="BU67" si="1702">BT67</f>
        <v>513372</v>
      </c>
      <c r="BV67" s="103">
        <f>ROUND(BU67*(1+取值表!$D$6),0)</f>
        <v>543148</v>
      </c>
      <c r="BW67" s="103">
        <f t="shared" ref="BW67" si="1703">BV67</f>
        <v>543148</v>
      </c>
      <c r="BX67" s="103">
        <f t="shared" ref="BX67" si="1704">BW67</f>
        <v>543148</v>
      </c>
      <c r="BY67" s="103">
        <f t="shared" ref="BY67" si="1705">BX67</f>
        <v>543148</v>
      </c>
      <c r="BZ67" s="103">
        <f>ROUND(BY67*(1+取值表!$D$6),0)</f>
        <v>574651</v>
      </c>
      <c r="CA67" s="103">
        <f t="shared" ref="CA67" si="1706">BZ67</f>
        <v>574651</v>
      </c>
      <c r="CB67" s="103">
        <f t="shared" ref="CB67" si="1707">CA67</f>
        <v>574651</v>
      </c>
      <c r="CC67" s="103">
        <f t="shared" ref="CC67" si="1708">CB67</f>
        <v>574651</v>
      </c>
      <c r="CD67" s="103">
        <f>ROUND(CC67*(1+取值表!$D$6),0)</f>
        <v>607981</v>
      </c>
      <c r="CE67" s="103">
        <f t="shared" ref="CE67" si="1709">CD67</f>
        <v>607981</v>
      </c>
      <c r="CF67" s="103">
        <f t="shared" ref="CF67" si="1710">CE67</f>
        <v>607981</v>
      </c>
      <c r="CG67" s="103">
        <f t="shared" ref="CG67" si="1711">CF67</f>
        <v>607981</v>
      </c>
      <c r="CH67" s="103">
        <f>ROUND(CG67*(1+取值表!$D$6),0)</f>
        <v>643244</v>
      </c>
      <c r="CI67" s="103">
        <f t="shared" ref="CI67" si="1712">CH67</f>
        <v>643244</v>
      </c>
      <c r="CJ67" s="103">
        <f t="shared" ref="CJ67" si="1713">CI67</f>
        <v>643244</v>
      </c>
      <c r="CK67" s="103">
        <f t="shared" ref="CK67" si="1714">CJ67</f>
        <v>643244</v>
      </c>
      <c r="CL67" s="103">
        <f>ROUND(CK67*(1+取值表!$D$6),0)</f>
        <v>680552</v>
      </c>
      <c r="CM67" s="103">
        <f t="shared" ref="CM67" si="1715">CL67</f>
        <v>680552</v>
      </c>
      <c r="CN67" s="103">
        <f t="shared" ref="CN67" si="1716">CM67</f>
        <v>680552</v>
      </c>
      <c r="CO67" s="103">
        <f t="shared" ref="CO67" si="1717">CN67</f>
        <v>680552</v>
      </c>
      <c r="CP67" s="103">
        <f t="shared" ref="CP67:CP81" si="1718">SUM(J67:CO67)</f>
        <v>34514304</v>
      </c>
    </row>
    <row r="68" spans="1:212">
      <c r="A68" s="546"/>
      <c r="B68" s="550"/>
      <c r="C68" s="548"/>
      <c r="D68" s="549"/>
      <c r="E68" s="547"/>
      <c r="F68" s="562"/>
      <c r="G68" s="562"/>
      <c r="H68" s="613"/>
      <c r="I68" s="99"/>
      <c r="J68" s="101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>
        <f t="shared" si="1718"/>
        <v>0</v>
      </c>
    </row>
    <row r="69" spans="1:212" s="70" customFormat="1" ht="12" customHeight="1">
      <c r="A69" s="546">
        <v>34</v>
      </c>
      <c r="B69" s="536" t="s">
        <v>1116</v>
      </c>
      <c r="C69" s="537" t="s">
        <v>1117</v>
      </c>
      <c r="D69" s="538" t="s">
        <v>633</v>
      </c>
      <c r="E69" s="539" t="s">
        <v>418</v>
      </c>
      <c r="F69" s="540">
        <v>25</v>
      </c>
      <c r="G69" s="540">
        <v>14</v>
      </c>
      <c r="H69" s="623">
        <f>F69*G69*365</f>
        <v>127750</v>
      </c>
      <c r="I69" s="153">
        <v>31937.5</v>
      </c>
      <c r="J69" s="102">
        <f>ROUND(G69*F69*365/4,0)</f>
        <v>31938</v>
      </c>
      <c r="K69" s="101">
        <f>J69</f>
        <v>31938</v>
      </c>
      <c r="L69" s="101">
        <f>K69</f>
        <v>31938</v>
      </c>
      <c r="M69" s="101">
        <f>L69</f>
        <v>31938</v>
      </c>
      <c r="N69" s="103">
        <f>ROUND(M69*(1+取值表!$D$6)*取值表!$I$6,0)</f>
        <v>31797</v>
      </c>
      <c r="O69" s="101">
        <f>N69</f>
        <v>31797</v>
      </c>
      <c r="P69" s="101">
        <f>O69</f>
        <v>31797</v>
      </c>
      <c r="Q69" s="101">
        <f>P69</f>
        <v>31797</v>
      </c>
      <c r="R69" s="278">
        <f>ROUND(Q69*(1+取值表!$D$6),0)</f>
        <v>33641</v>
      </c>
      <c r="S69" s="101">
        <f t="shared" ref="S69:U69" si="1719">R69</f>
        <v>33641</v>
      </c>
      <c r="T69" s="101">
        <f t="shared" si="1719"/>
        <v>33641</v>
      </c>
      <c r="U69" s="101">
        <f t="shared" si="1719"/>
        <v>33641</v>
      </c>
      <c r="V69" s="103">
        <f>ROUND(U69*(1+取值表!$D$6),0)</f>
        <v>35592</v>
      </c>
      <c r="W69" s="101">
        <f t="shared" ref="W69:Y69" si="1720">V69</f>
        <v>35592</v>
      </c>
      <c r="X69" s="101">
        <f t="shared" si="1720"/>
        <v>35592</v>
      </c>
      <c r="Y69" s="101">
        <f t="shared" si="1720"/>
        <v>35592</v>
      </c>
      <c r="Z69" s="103">
        <f>ROUND(Y69*(1+取值表!$D$6),0)</f>
        <v>37656</v>
      </c>
      <c r="AA69" s="101">
        <f t="shared" ref="AA69" si="1721">Z69</f>
        <v>37656</v>
      </c>
      <c r="AB69" s="101">
        <f t="shared" ref="AB69" si="1722">AA69</f>
        <v>37656</v>
      </c>
      <c r="AC69" s="101">
        <f t="shared" ref="AC69" si="1723">AB69</f>
        <v>37656</v>
      </c>
      <c r="AD69" s="103">
        <f>ROUND(AC69*(1+取值表!$D$6),0)</f>
        <v>39840</v>
      </c>
      <c r="AE69" s="101">
        <f t="shared" ref="AE69" si="1724">AD69</f>
        <v>39840</v>
      </c>
      <c r="AF69" s="101">
        <f t="shared" ref="AF69" si="1725">AE69</f>
        <v>39840</v>
      </c>
      <c r="AG69" s="101">
        <f t="shared" ref="AG69" si="1726">AF69</f>
        <v>39840</v>
      </c>
      <c r="AH69" s="103">
        <f>ROUND(AG69*(1+取值表!$D$6),0)</f>
        <v>42151</v>
      </c>
      <c r="AI69" s="101">
        <f t="shared" ref="AI69" si="1727">AH69</f>
        <v>42151</v>
      </c>
      <c r="AJ69" s="101">
        <f t="shared" ref="AJ69" si="1728">AI69</f>
        <v>42151</v>
      </c>
      <c r="AK69" s="101">
        <f t="shared" ref="AK69" si="1729">AJ69</f>
        <v>42151</v>
      </c>
      <c r="AL69" s="103">
        <f>ROUND(AK69*(1+取值表!$D$6),0)</f>
        <v>44596</v>
      </c>
      <c r="AM69" s="101">
        <f t="shared" ref="AM69" si="1730">AL69</f>
        <v>44596</v>
      </c>
      <c r="AN69" s="101">
        <f t="shared" ref="AN69" si="1731">AM69</f>
        <v>44596</v>
      </c>
      <c r="AO69" s="101">
        <f t="shared" ref="AO69" si="1732">AN69</f>
        <v>44596</v>
      </c>
      <c r="AP69" s="103">
        <f>ROUND(AO69*(1+取值表!$D$6),0)</f>
        <v>47183</v>
      </c>
      <c r="AQ69" s="101">
        <f t="shared" ref="AQ69" si="1733">AP69</f>
        <v>47183</v>
      </c>
      <c r="AR69" s="101">
        <f t="shared" ref="AR69" si="1734">AQ69</f>
        <v>47183</v>
      </c>
      <c r="AS69" s="101">
        <f t="shared" ref="AS69" si="1735">AR69</f>
        <v>47183</v>
      </c>
      <c r="AT69" s="103">
        <f>ROUND(AS69*(1+取值表!$D$6),0)</f>
        <v>49920</v>
      </c>
      <c r="AU69" s="101">
        <f t="shared" ref="AU69" si="1736">AT69</f>
        <v>49920</v>
      </c>
      <c r="AV69" s="101">
        <f t="shared" ref="AV69" si="1737">AU69</f>
        <v>49920</v>
      </c>
      <c r="AW69" s="101">
        <f t="shared" ref="AW69" si="1738">AV69</f>
        <v>49920</v>
      </c>
      <c r="AX69" s="103">
        <f>ROUND(AW69*(1+取值表!$D$6),0)</f>
        <v>52815</v>
      </c>
      <c r="AY69" s="101">
        <f t="shared" ref="AY69" si="1739">AX69</f>
        <v>52815</v>
      </c>
      <c r="AZ69" s="101">
        <f t="shared" ref="AZ69" si="1740">AY69</f>
        <v>52815</v>
      </c>
      <c r="BA69" s="101">
        <f t="shared" ref="BA69" si="1741">AZ69</f>
        <v>52815</v>
      </c>
      <c r="BB69" s="103">
        <f>ROUND(BA69*(1+取值表!$D$6),0)</f>
        <v>55878</v>
      </c>
      <c r="BC69" s="101">
        <f t="shared" ref="BC69" si="1742">BB69</f>
        <v>55878</v>
      </c>
      <c r="BD69" s="101">
        <f t="shared" ref="BD69" si="1743">BC69</f>
        <v>55878</v>
      </c>
      <c r="BE69" s="101">
        <f t="shared" ref="BE69" si="1744">BD69</f>
        <v>55878</v>
      </c>
      <c r="BF69" s="103">
        <f>ROUND(BE69*(1+取值表!$D$6),0)</f>
        <v>59119</v>
      </c>
      <c r="BG69" s="101">
        <f t="shared" ref="BG69" si="1745">BF69</f>
        <v>59119</v>
      </c>
      <c r="BH69" s="101">
        <f t="shared" ref="BH69" si="1746">BG69</f>
        <v>59119</v>
      </c>
      <c r="BI69" s="101">
        <f t="shared" ref="BI69" si="1747">BH69</f>
        <v>59119</v>
      </c>
      <c r="BJ69" s="103">
        <f>ROUND(BI69*(1+取值表!$D$6),0)</f>
        <v>62548</v>
      </c>
      <c r="BK69" s="101">
        <f t="shared" ref="BK69" si="1748">BJ69</f>
        <v>62548</v>
      </c>
      <c r="BL69" s="101">
        <f t="shared" ref="BL69" si="1749">BK69</f>
        <v>62548</v>
      </c>
      <c r="BM69" s="101">
        <f t="shared" ref="BM69" si="1750">BL69</f>
        <v>62548</v>
      </c>
      <c r="BN69" s="103">
        <f>ROUND(BM69*(1+取值表!$D$6),0)</f>
        <v>66176</v>
      </c>
      <c r="BO69" s="101">
        <f t="shared" ref="BO69" si="1751">BN69</f>
        <v>66176</v>
      </c>
      <c r="BP69" s="101">
        <f t="shared" ref="BP69" si="1752">BO69</f>
        <v>66176</v>
      </c>
      <c r="BQ69" s="101">
        <f t="shared" ref="BQ69" si="1753">BP69</f>
        <v>66176</v>
      </c>
      <c r="BR69" s="103">
        <f>ROUND(BQ69*(1+取值表!$D$6),0)</f>
        <v>70014</v>
      </c>
      <c r="BS69" s="101">
        <f t="shared" ref="BS69" si="1754">BR69</f>
        <v>70014</v>
      </c>
      <c r="BT69" s="101">
        <f t="shared" ref="BT69" si="1755">BS69</f>
        <v>70014</v>
      </c>
      <c r="BU69" s="101">
        <f t="shared" ref="BU69" si="1756">BT69</f>
        <v>70014</v>
      </c>
      <c r="BV69" s="103">
        <f>ROUND(BU69*(1+取值表!$D$6),0)</f>
        <v>74075</v>
      </c>
      <c r="BW69" s="101">
        <f t="shared" ref="BW69" si="1757">BV69</f>
        <v>74075</v>
      </c>
      <c r="BX69" s="101">
        <f t="shared" ref="BX69" si="1758">BW69</f>
        <v>74075</v>
      </c>
      <c r="BY69" s="101">
        <f t="shared" ref="BY69" si="1759">BX69</f>
        <v>74075</v>
      </c>
      <c r="BZ69" s="103">
        <f>ROUND(BY69*(1+取值表!$D$6),0)</f>
        <v>78371</v>
      </c>
      <c r="CA69" s="101">
        <f t="shared" ref="CA69" si="1760">BZ69</f>
        <v>78371</v>
      </c>
      <c r="CB69" s="101">
        <f t="shared" ref="CB69" si="1761">CA69</f>
        <v>78371</v>
      </c>
      <c r="CC69" s="101">
        <f t="shared" ref="CC69" si="1762">CB69</f>
        <v>78371</v>
      </c>
      <c r="CD69" s="103">
        <f>ROUND(CC69*(1+取值表!$D$6),0)</f>
        <v>82917</v>
      </c>
      <c r="CE69" s="101">
        <f t="shared" ref="CE69" si="1763">CD69</f>
        <v>82917</v>
      </c>
      <c r="CF69" s="101">
        <f t="shared" ref="CF69" si="1764">CE69</f>
        <v>82917</v>
      </c>
      <c r="CG69" s="101">
        <f t="shared" ref="CG69" si="1765">CF69</f>
        <v>82917</v>
      </c>
      <c r="CH69" s="103">
        <f>ROUND(CG69*(1+取值表!$D$6),0)</f>
        <v>87726</v>
      </c>
      <c r="CI69" s="101">
        <f t="shared" ref="CI69" si="1766">CH69</f>
        <v>87726</v>
      </c>
      <c r="CJ69" s="101">
        <f t="shared" ref="CJ69" si="1767">CI69</f>
        <v>87726</v>
      </c>
      <c r="CK69" s="101">
        <f t="shared" ref="CK69" si="1768">CJ69</f>
        <v>87726</v>
      </c>
      <c r="CL69" s="103">
        <f>ROUND(CK69*(1+取值表!$D$6),0)</f>
        <v>92814</v>
      </c>
      <c r="CM69" s="101">
        <f t="shared" ref="CM69" si="1769">CL69</f>
        <v>92814</v>
      </c>
      <c r="CN69" s="101">
        <f t="shared" ref="CN69" si="1770">CM69</f>
        <v>92814</v>
      </c>
      <c r="CO69" s="101">
        <f t="shared" ref="CO69" si="1771">CN69</f>
        <v>92814</v>
      </c>
      <c r="CP69" s="103">
        <f t="shared" si="1718"/>
        <v>4707068</v>
      </c>
      <c r="CQ69" s="129"/>
      <c r="CR69" s="129"/>
      <c r="CS69" s="129"/>
      <c r="CT69" s="129"/>
      <c r="CU69" s="129"/>
      <c r="CV69" s="129"/>
      <c r="CW69" s="129"/>
      <c r="CX69" s="129"/>
      <c r="CY69" s="129"/>
      <c r="CZ69" s="129"/>
      <c r="DA69" s="129"/>
      <c r="DB69" s="129"/>
      <c r="DC69" s="119"/>
      <c r="DD69" s="119"/>
      <c r="DE69" s="119"/>
      <c r="DF69" s="119"/>
      <c r="DG69" s="119"/>
      <c r="DH69" s="119"/>
      <c r="DI69" s="119"/>
      <c r="DJ69" s="119"/>
      <c r="DK69" s="119"/>
      <c r="DL69" s="119"/>
      <c r="DM69" s="119"/>
      <c r="DN69" s="119"/>
      <c r="DO69" s="119"/>
      <c r="DP69" s="119"/>
      <c r="DQ69" s="119"/>
      <c r="DR69" s="119"/>
      <c r="DS69" s="119"/>
      <c r="DT69" s="119"/>
      <c r="DU69" s="119"/>
      <c r="DV69" s="119"/>
      <c r="DW69" s="119"/>
      <c r="DX69" s="119"/>
      <c r="DY69" s="119"/>
      <c r="DZ69" s="119"/>
      <c r="EA69" s="119"/>
      <c r="EB69" s="119"/>
      <c r="EC69" s="119"/>
      <c r="ED69" s="119"/>
      <c r="EE69" s="119"/>
      <c r="EF69" s="119"/>
      <c r="EG69" s="119"/>
      <c r="EH69" s="119"/>
      <c r="EI69" s="119"/>
      <c r="EJ69" s="119"/>
      <c r="EK69" s="119"/>
      <c r="EL69" s="119"/>
      <c r="EM69" s="119"/>
      <c r="EN69" s="119"/>
      <c r="EO69" s="119"/>
      <c r="EP69" s="119"/>
      <c r="EQ69" s="119"/>
      <c r="ER69" s="119"/>
      <c r="ES69" s="119"/>
      <c r="ET69" s="119"/>
      <c r="EU69" s="119"/>
      <c r="EV69" s="119"/>
      <c r="EW69" s="119"/>
      <c r="EX69" s="119"/>
      <c r="EY69" s="119"/>
      <c r="EZ69" s="119"/>
      <c r="FA69" s="119"/>
      <c r="FB69" s="119"/>
      <c r="FC69" s="119"/>
      <c r="FD69" s="119"/>
      <c r="FE69" s="119"/>
      <c r="FF69" s="119"/>
      <c r="FG69" s="119"/>
      <c r="FH69" s="119"/>
      <c r="FI69" s="119"/>
      <c r="FJ69" s="119"/>
      <c r="FK69" s="119"/>
      <c r="FL69" s="119"/>
      <c r="FM69" s="119"/>
      <c r="FN69" s="119"/>
      <c r="FO69" s="119"/>
      <c r="FP69" s="119"/>
      <c r="FQ69" s="119"/>
      <c r="FR69" s="119"/>
      <c r="FS69" s="119"/>
      <c r="FT69" s="119"/>
      <c r="FU69" s="119"/>
      <c r="FV69" s="119"/>
      <c r="FW69" s="119"/>
      <c r="FX69" s="119"/>
      <c r="FY69" s="119"/>
      <c r="FZ69" s="119"/>
      <c r="GA69" s="119"/>
      <c r="GB69" s="119"/>
      <c r="GC69" s="119"/>
      <c r="GD69" s="119"/>
      <c r="GE69" s="119"/>
      <c r="GF69" s="119"/>
      <c r="GG69" s="119"/>
      <c r="GH69" s="119"/>
      <c r="GI69" s="119"/>
      <c r="GJ69" s="119"/>
      <c r="GK69" s="119"/>
      <c r="GL69" s="119"/>
      <c r="GM69" s="119"/>
      <c r="GN69" s="119"/>
      <c r="GO69" s="119"/>
      <c r="GP69" s="119"/>
      <c r="GQ69" s="119"/>
      <c r="GR69" s="119"/>
      <c r="GS69" s="119"/>
      <c r="GT69" s="119"/>
      <c r="GU69" s="119"/>
      <c r="GV69" s="119"/>
      <c r="GW69" s="119"/>
      <c r="GX69" s="119"/>
      <c r="GY69" s="119"/>
      <c r="GZ69" s="119"/>
      <c r="HA69" s="154">
        <f t="shared" ref="HA69:HA78" si="1772">SUM(J69:GZ69)</f>
        <v>9414136</v>
      </c>
      <c r="HB69" s="119">
        <f>HC69*2</f>
        <v>14467.04</v>
      </c>
      <c r="HC69" s="154">
        <v>7233.52</v>
      </c>
      <c r="HD69" s="129">
        <v>299427.33666666702</v>
      </c>
    </row>
    <row r="70" spans="1:212" s="70" customFormat="1">
      <c r="A70" s="546"/>
      <c r="B70" s="536"/>
      <c r="C70" s="537"/>
      <c r="D70" s="538"/>
      <c r="E70" s="539"/>
      <c r="F70" s="540"/>
      <c r="G70" s="540"/>
      <c r="H70" s="623"/>
      <c r="I70" s="155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  <c r="BO70" s="101"/>
      <c r="BP70" s="101"/>
      <c r="BQ70" s="101"/>
      <c r="BR70" s="101"/>
      <c r="BS70" s="101"/>
      <c r="BT70" s="101"/>
      <c r="BU70" s="101"/>
      <c r="BV70" s="101"/>
      <c r="BW70" s="101"/>
      <c r="BX70" s="101"/>
      <c r="BY70" s="101"/>
      <c r="BZ70" s="101"/>
      <c r="CA70" s="101"/>
      <c r="CB70" s="101"/>
      <c r="CC70" s="101"/>
      <c r="CD70" s="101"/>
      <c r="CE70" s="101"/>
      <c r="CF70" s="101"/>
      <c r="CG70" s="101"/>
      <c r="CH70" s="101"/>
      <c r="CI70" s="101"/>
      <c r="CJ70" s="101"/>
      <c r="CK70" s="101"/>
      <c r="CL70" s="101"/>
      <c r="CM70" s="101"/>
      <c r="CN70" s="101"/>
      <c r="CO70" s="101"/>
      <c r="CP70" s="103">
        <f t="shared" si="1718"/>
        <v>0</v>
      </c>
      <c r="CQ70" s="129"/>
      <c r="CR70" s="129"/>
      <c r="CS70" s="129"/>
      <c r="CT70" s="129"/>
      <c r="CU70" s="129"/>
      <c r="CV70" s="129"/>
      <c r="CW70" s="129"/>
      <c r="CX70" s="129"/>
      <c r="CY70" s="129"/>
      <c r="CZ70" s="129"/>
      <c r="DA70" s="129"/>
      <c r="DB70" s="129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4"/>
      <c r="EL70" s="114"/>
      <c r="EM70" s="114"/>
      <c r="EN70" s="114"/>
      <c r="EO70" s="114"/>
      <c r="EP70" s="114"/>
      <c r="EQ70" s="114"/>
      <c r="ER70" s="114"/>
      <c r="ES70" s="114"/>
      <c r="ET70" s="114"/>
      <c r="EU70" s="114"/>
      <c r="EV70" s="114"/>
      <c r="EW70" s="114"/>
      <c r="EX70" s="114"/>
      <c r="EY70" s="114"/>
      <c r="EZ70" s="114"/>
      <c r="FA70" s="114"/>
      <c r="FB70" s="114"/>
      <c r="FC70" s="114"/>
      <c r="FD70" s="114"/>
      <c r="FE70" s="114"/>
      <c r="FF70" s="114"/>
      <c r="FG70" s="114"/>
      <c r="FH70" s="114"/>
      <c r="FI70" s="114"/>
      <c r="FJ70" s="114"/>
      <c r="FK70" s="114"/>
      <c r="FL70" s="114"/>
      <c r="FM70" s="114"/>
      <c r="FN70" s="114"/>
      <c r="FO70" s="114"/>
      <c r="FP70" s="114"/>
      <c r="FQ70" s="114"/>
      <c r="FR70" s="114"/>
      <c r="FS70" s="114"/>
      <c r="FT70" s="114"/>
      <c r="FU70" s="114"/>
      <c r="FV70" s="114"/>
      <c r="FW70" s="114"/>
      <c r="FX70" s="114"/>
      <c r="FY70" s="114"/>
      <c r="FZ70" s="114"/>
      <c r="GA70" s="114"/>
      <c r="GB70" s="114"/>
      <c r="GC70" s="114"/>
      <c r="GD70" s="114"/>
      <c r="GE70" s="114"/>
      <c r="GF70" s="114"/>
      <c r="GG70" s="114"/>
      <c r="GH70" s="114"/>
      <c r="GI70" s="114"/>
      <c r="GJ70" s="114"/>
      <c r="GK70" s="114"/>
      <c r="GL70" s="114"/>
      <c r="GM70" s="114"/>
      <c r="GN70" s="114"/>
      <c r="GO70" s="114"/>
      <c r="GP70" s="114"/>
      <c r="GQ70" s="114"/>
      <c r="GR70" s="114"/>
      <c r="GS70" s="114"/>
      <c r="GT70" s="114"/>
      <c r="GU70" s="114"/>
      <c r="GV70" s="114"/>
      <c r="GW70" s="114"/>
      <c r="GX70" s="114"/>
      <c r="GY70" s="114"/>
      <c r="GZ70" s="114"/>
      <c r="HA70" s="156">
        <f t="shared" si="1772"/>
        <v>0</v>
      </c>
      <c r="HB70" s="114">
        <v>14467.04</v>
      </c>
      <c r="HC70" s="156">
        <v>7233.52</v>
      </c>
      <c r="HD70" s="129">
        <v>276919</v>
      </c>
    </row>
    <row r="71" spans="1:212" s="70" customFormat="1">
      <c r="A71" s="546">
        <v>35</v>
      </c>
      <c r="B71" s="536" t="s">
        <v>1118</v>
      </c>
      <c r="C71" s="537" t="s">
        <v>1119</v>
      </c>
      <c r="D71" s="538" t="s">
        <v>634</v>
      </c>
      <c r="E71" s="539" t="s">
        <v>418</v>
      </c>
      <c r="F71" s="540">
        <v>12.43</v>
      </c>
      <c r="G71" s="540">
        <v>29.5</v>
      </c>
      <c r="H71" s="623">
        <f>F71*G71*365</f>
        <v>133840.02499999999</v>
      </c>
      <c r="I71" s="153">
        <v>33460.01</v>
      </c>
      <c r="J71" s="102">
        <f>ROUND(G71*F71*365/4,0)</f>
        <v>33460</v>
      </c>
      <c r="K71" s="101">
        <f>J71</f>
        <v>33460</v>
      </c>
      <c r="L71" s="101">
        <f>K71</f>
        <v>33460</v>
      </c>
      <c r="M71" s="101">
        <f>L71</f>
        <v>33460</v>
      </c>
      <c r="N71" s="103">
        <f>ROUND(M71*(1+取值表!$D$6)*取值表!$I$6,0)</f>
        <v>33312</v>
      </c>
      <c r="O71" s="101">
        <f>N71</f>
        <v>33312</v>
      </c>
      <c r="P71" s="101">
        <f>O71</f>
        <v>33312</v>
      </c>
      <c r="Q71" s="101">
        <f>O71</f>
        <v>33312</v>
      </c>
      <c r="R71" s="278">
        <f>ROUND(Q71*(1+取值表!$D$6),0)</f>
        <v>35244</v>
      </c>
      <c r="S71" s="101">
        <f t="shared" ref="S71:T71" si="1773">R71</f>
        <v>35244</v>
      </c>
      <c r="T71" s="101">
        <f t="shared" si="1773"/>
        <v>35244</v>
      </c>
      <c r="U71" s="101">
        <f t="shared" ref="U71" si="1774">S71</f>
        <v>35244</v>
      </c>
      <c r="V71" s="103">
        <f>ROUND(U71*(1+取值表!$D$6),0)</f>
        <v>37288</v>
      </c>
      <c r="W71" s="101">
        <f t="shared" ref="W71:X71" si="1775">V71</f>
        <v>37288</v>
      </c>
      <c r="X71" s="101">
        <f t="shared" si="1775"/>
        <v>37288</v>
      </c>
      <c r="Y71" s="101">
        <f t="shared" ref="Y71" si="1776">W71</f>
        <v>37288</v>
      </c>
      <c r="Z71" s="103">
        <f>ROUND(Y71*(1+取值表!$D$6),0)</f>
        <v>39451</v>
      </c>
      <c r="AA71" s="101">
        <f t="shared" ref="AA71" si="1777">Z71</f>
        <v>39451</v>
      </c>
      <c r="AB71" s="101">
        <f t="shared" ref="AB71" si="1778">AA71</f>
        <v>39451</v>
      </c>
      <c r="AC71" s="101">
        <f t="shared" ref="AC71" si="1779">AA71</f>
        <v>39451</v>
      </c>
      <c r="AD71" s="103">
        <f>ROUND(AC71*(1+取值表!$D$6),0)</f>
        <v>41739</v>
      </c>
      <c r="AE71" s="101">
        <f t="shared" ref="AE71" si="1780">AD71</f>
        <v>41739</v>
      </c>
      <c r="AF71" s="101">
        <f t="shared" ref="AF71" si="1781">AE71</f>
        <v>41739</v>
      </c>
      <c r="AG71" s="101">
        <f t="shared" ref="AG71" si="1782">AE71</f>
        <v>41739</v>
      </c>
      <c r="AH71" s="103">
        <f>ROUND(AG71*(1+取值表!$D$6),0)</f>
        <v>44160</v>
      </c>
      <c r="AI71" s="101">
        <f t="shared" ref="AI71" si="1783">AH71</f>
        <v>44160</v>
      </c>
      <c r="AJ71" s="101">
        <f t="shared" ref="AJ71" si="1784">AI71</f>
        <v>44160</v>
      </c>
      <c r="AK71" s="101">
        <f t="shared" ref="AK71" si="1785">AI71</f>
        <v>44160</v>
      </c>
      <c r="AL71" s="103">
        <f>ROUND(AK71*(1+取值表!$D$6),0)</f>
        <v>46721</v>
      </c>
      <c r="AM71" s="101">
        <f t="shared" ref="AM71" si="1786">AL71</f>
        <v>46721</v>
      </c>
      <c r="AN71" s="101">
        <f t="shared" ref="AN71" si="1787">AM71</f>
        <v>46721</v>
      </c>
      <c r="AO71" s="101">
        <f t="shared" ref="AO71" si="1788">AM71</f>
        <v>46721</v>
      </c>
      <c r="AP71" s="103">
        <f>ROUND(AO71*(1+取值表!$D$6),0)</f>
        <v>49431</v>
      </c>
      <c r="AQ71" s="101">
        <f t="shared" ref="AQ71" si="1789">AP71</f>
        <v>49431</v>
      </c>
      <c r="AR71" s="101">
        <f t="shared" ref="AR71" si="1790">AQ71</f>
        <v>49431</v>
      </c>
      <c r="AS71" s="101">
        <f t="shared" ref="AS71" si="1791">AQ71</f>
        <v>49431</v>
      </c>
      <c r="AT71" s="103">
        <f>ROUND(AS71*(1+取值表!$D$6),0)</f>
        <v>52298</v>
      </c>
      <c r="AU71" s="101">
        <f t="shared" ref="AU71" si="1792">AT71</f>
        <v>52298</v>
      </c>
      <c r="AV71" s="101">
        <f t="shared" ref="AV71" si="1793">AU71</f>
        <v>52298</v>
      </c>
      <c r="AW71" s="101">
        <f t="shared" ref="AW71" si="1794">AU71</f>
        <v>52298</v>
      </c>
      <c r="AX71" s="103">
        <f>ROUND(AW71*(1+取值表!$D$6),0)</f>
        <v>55331</v>
      </c>
      <c r="AY71" s="101">
        <f t="shared" ref="AY71" si="1795">AX71</f>
        <v>55331</v>
      </c>
      <c r="AZ71" s="101">
        <f t="shared" ref="AZ71" si="1796">AY71</f>
        <v>55331</v>
      </c>
      <c r="BA71" s="101">
        <f t="shared" ref="BA71" si="1797">AY71</f>
        <v>55331</v>
      </c>
      <c r="BB71" s="103">
        <f>ROUND(BA71*(1+取值表!$D$6),0)</f>
        <v>58540</v>
      </c>
      <c r="BC71" s="101">
        <f t="shared" ref="BC71" si="1798">BB71</f>
        <v>58540</v>
      </c>
      <c r="BD71" s="101">
        <f t="shared" ref="BD71" si="1799">BC71</f>
        <v>58540</v>
      </c>
      <c r="BE71" s="101">
        <f t="shared" ref="BE71" si="1800">BC71</f>
        <v>58540</v>
      </c>
      <c r="BF71" s="103">
        <f>ROUND(BE71*(1+取值表!$D$6),0)</f>
        <v>61935</v>
      </c>
      <c r="BG71" s="101">
        <f t="shared" ref="BG71" si="1801">BF71</f>
        <v>61935</v>
      </c>
      <c r="BH71" s="101">
        <f t="shared" ref="BH71" si="1802">BG71</f>
        <v>61935</v>
      </c>
      <c r="BI71" s="101">
        <f t="shared" ref="BI71" si="1803">BG71</f>
        <v>61935</v>
      </c>
      <c r="BJ71" s="103">
        <f>ROUND(BI71*(1+取值表!$D$6),0)</f>
        <v>65527</v>
      </c>
      <c r="BK71" s="101">
        <f t="shared" ref="BK71" si="1804">BJ71</f>
        <v>65527</v>
      </c>
      <c r="BL71" s="101">
        <f t="shared" ref="BL71" si="1805">BK71</f>
        <v>65527</v>
      </c>
      <c r="BM71" s="101">
        <f t="shared" ref="BM71" si="1806">BK71</f>
        <v>65527</v>
      </c>
      <c r="BN71" s="103">
        <f>ROUND(BM71*(1+取值表!$D$6),0)</f>
        <v>69328</v>
      </c>
      <c r="BO71" s="101">
        <f t="shared" ref="BO71" si="1807">BN71</f>
        <v>69328</v>
      </c>
      <c r="BP71" s="101">
        <f t="shared" ref="BP71" si="1808">BO71</f>
        <v>69328</v>
      </c>
      <c r="BQ71" s="101">
        <f t="shared" ref="BQ71" si="1809">BO71</f>
        <v>69328</v>
      </c>
      <c r="BR71" s="103">
        <f>ROUND(BQ71*(1+取值表!$D$6),0)</f>
        <v>73349</v>
      </c>
      <c r="BS71" s="101">
        <f t="shared" ref="BS71" si="1810">BR71</f>
        <v>73349</v>
      </c>
      <c r="BT71" s="101">
        <f t="shared" ref="BT71" si="1811">BS71</f>
        <v>73349</v>
      </c>
      <c r="BU71" s="101">
        <f t="shared" ref="BU71" si="1812">BS71</f>
        <v>73349</v>
      </c>
      <c r="BV71" s="103">
        <f>ROUND(BU71*(1+取值表!$D$6),0)</f>
        <v>77603</v>
      </c>
      <c r="BW71" s="101">
        <f t="shared" ref="BW71" si="1813">BV71</f>
        <v>77603</v>
      </c>
      <c r="BX71" s="101">
        <f t="shared" ref="BX71" si="1814">BW71</f>
        <v>77603</v>
      </c>
      <c r="BY71" s="101">
        <f t="shared" ref="BY71" si="1815">BW71</f>
        <v>77603</v>
      </c>
      <c r="BZ71" s="103">
        <f>ROUND(BY71*(1+取值表!$D$6),0)</f>
        <v>82104</v>
      </c>
      <c r="CA71" s="101">
        <f t="shared" ref="CA71" si="1816">BZ71</f>
        <v>82104</v>
      </c>
      <c r="CB71" s="101">
        <f t="shared" ref="CB71" si="1817">CA71</f>
        <v>82104</v>
      </c>
      <c r="CC71" s="101">
        <f t="shared" ref="CC71" si="1818">CA71</f>
        <v>82104</v>
      </c>
      <c r="CD71" s="103">
        <f>ROUND(CC71*(1+取值表!$D$6),0)</f>
        <v>86866</v>
      </c>
      <c r="CE71" s="101">
        <f t="shared" ref="CE71" si="1819">CD71</f>
        <v>86866</v>
      </c>
      <c r="CF71" s="101">
        <f t="shared" ref="CF71" si="1820">CE71</f>
        <v>86866</v>
      </c>
      <c r="CG71" s="101">
        <f t="shared" ref="CG71" si="1821">CE71</f>
        <v>86866</v>
      </c>
      <c r="CH71" s="103">
        <f>ROUND(CG71*(1+取值表!$D$6),0)</f>
        <v>91904</v>
      </c>
      <c r="CI71" s="101">
        <f t="shared" ref="CI71" si="1822">CH71</f>
        <v>91904</v>
      </c>
      <c r="CJ71" s="101">
        <f t="shared" ref="CJ71" si="1823">CI71</f>
        <v>91904</v>
      </c>
      <c r="CK71" s="101">
        <f t="shared" ref="CK71" si="1824">CI71</f>
        <v>91904</v>
      </c>
      <c r="CL71" s="103">
        <f>ROUND(CK71*(1+取值表!$D$6),0)</f>
        <v>97234</v>
      </c>
      <c r="CM71" s="101">
        <f t="shared" ref="CM71" si="1825">CL71</f>
        <v>97234</v>
      </c>
      <c r="CN71" s="101">
        <f t="shared" ref="CN71" si="1826">CM71</f>
        <v>97234</v>
      </c>
      <c r="CO71" s="101">
        <f t="shared" ref="CO71" si="1827">CM71</f>
        <v>97234</v>
      </c>
      <c r="CP71" s="103">
        <f t="shared" si="1718"/>
        <v>4931300</v>
      </c>
      <c r="CQ71" s="129"/>
      <c r="CR71" s="129"/>
      <c r="CS71" s="129"/>
      <c r="CT71" s="129"/>
      <c r="CU71" s="129"/>
      <c r="CV71" s="129"/>
      <c r="CW71" s="129"/>
      <c r="CX71" s="129"/>
      <c r="CY71" s="129"/>
      <c r="CZ71" s="129"/>
      <c r="DA71" s="129"/>
      <c r="DB71" s="129"/>
      <c r="DC71" s="119"/>
      <c r="DD71" s="119"/>
      <c r="DE71" s="119"/>
      <c r="DF71" s="119"/>
      <c r="DG71" s="119"/>
      <c r="DH71" s="119"/>
      <c r="DI71" s="119"/>
      <c r="DJ71" s="119"/>
      <c r="DK71" s="119"/>
      <c r="DL71" s="119"/>
      <c r="DM71" s="119"/>
      <c r="DN71" s="119"/>
      <c r="DO71" s="119"/>
      <c r="DP71" s="119"/>
      <c r="DQ71" s="119"/>
      <c r="DR71" s="119"/>
      <c r="DS71" s="119"/>
      <c r="DT71" s="119"/>
      <c r="DU71" s="119"/>
      <c r="DV71" s="119"/>
      <c r="DW71" s="119"/>
      <c r="DX71" s="119"/>
      <c r="DY71" s="119"/>
      <c r="DZ71" s="119"/>
      <c r="EA71" s="119"/>
      <c r="EB71" s="119"/>
      <c r="EC71" s="119"/>
      <c r="ED71" s="119"/>
      <c r="EE71" s="119"/>
      <c r="EF71" s="119"/>
      <c r="EG71" s="119"/>
      <c r="EH71" s="119"/>
      <c r="EI71" s="119"/>
      <c r="EJ71" s="119"/>
      <c r="EK71" s="119"/>
      <c r="EL71" s="119"/>
      <c r="EM71" s="119"/>
      <c r="EN71" s="119"/>
      <c r="EO71" s="119"/>
      <c r="EP71" s="119"/>
      <c r="EQ71" s="119"/>
      <c r="ER71" s="119"/>
      <c r="ES71" s="119"/>
      <c r="ET71" s="119"/>
      <c r="EU71" s="119"/>
      <c r="EV71" s="119"/>
      <c r="EW71" s="119"/>
      <c r="EX71" s="119"/>
      <c r="EY71" s="119"/>
      <c r="EZ71" s="119"/>
      <c r="FA71" s="119"/>
      <c r="FB71" s="119"/>
      <c r="FC71" s="119"/>
      <c r="FD71" s="119"/>
      <c r="FE71" s="119"/>
      <c r="FF71" s="119"/>
      <c r="FG71" s="119"/>
      <c r="FH71" s="119"/>
      <c r="FI71" s="119"/>
      <c r="FJ71" s="119"/>
      <c r="FK71" s="119"/>
      <c r="FL71" s="119"/>
      <c r="FM71" s="119"/>
      <c r="FN71" s="119"/>
      <c r="FO71" s="119"/>
      <c r="FP71" s="119"/>
      <c r="FQ71" s="119"/>
      <c r="FR71" s="119"/>
      <c r="FS71" s="119"/>
      <c r="FT71" s="119"/>
      <c r="FU71" s="119"/>
      <c r="FV71" s="119"/>
      <c r="FW71" s="119"/>
      <c r="FX71" s="119"/>
      <c r="FY71" s="119"/>
      <c r="FZ71" s="119"/>
      <c r="GA71" s="119"/>
      <c r="GB71" s="119"/>
      <c r="GC71" s="119"/>
      <c r="GD71" s="119"/>
      <c r="GE71" s="119"/>
      <c r="GF71" s="119"/>
      <c r="GG71" s="119"/>
      <c r="GH71" s="119"/>
      <c r="GI71" s="119"/>
      <c r="GJ71" s="119"/>
      <c r="GK71" s="119"/>
      <c r="GL71" s="119"/>
      <c r="GM71" s="119"/>
      <c r="GN71" s="119"/>
      <c r="GO71" s="119"/>
      <c r="GP71" s="119"/>
      <c r="GQ71" s="119"/>
      <c r="GR71" s="119"/>
      <c r="GS71" s="119"/>
      <c r="GT71" s="119"/>
      <c r="GU71" s="119"/>
      <c r="GV71" s="119"/>
      <c r="GW71" s="119"/>
      <c r="GX71" s="119"/>
      <c r="GY71" s="119"/>
      <c r="GZ71" s="119"/>
      <c r="HA71" s="154">
        <f t="shared" si="1772"/>
        <v>9862600</v>
      </c>
      <c r="HB71" s="119">
        <f>HC71*2</f>
        <v>114929.60000000001</v>
      </c>
      <c r="HC71" s="154">
        <v>57464.800000000003</v>
      </c>
      <c r="HD71" s="129">
        <v>121388.656</v>
      </c>
    </row>
    <row r="72" spans="1:212" s="70" customFormat="1">
      <c r="A72" s="546"/>
      <c r="B72" s="536"/>
      <c r="C72" s="537"/>
      <c r="D72" s="538"/>
      <c r="E72" s="539"/>
      <c r="F72" s="540"/>
      <c r="G72" s="540"/>
      <c r="H72" s="623"/>
      <c r="I72" s="155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  <c r="BH72" s="101"/>
      <c r="BI72" s="101"/>
      <c r="BJ72" s="101"/>
      <c r="BK72" s="101"/>
      <c r="BL72" s="101"/>
      <c r="BM72" s="101"/>
      <c r="BN72" s="101"/>
      <c r="BO72" s="101"/>
      <c r="BP72" s="101"/>
      <c r="BQ72" s="101"/>
      <c r="BR72" s="101"/>
      <c r="BS72" s="101"/>
      <c r="BT72" s="101"/>
      <c r="BU72" s="101"/>
      <c r="BV72" s="101"/>
      <c r="BW72" s="101"/>
      <c r="BX72" s="101"/>
      <c r="BY72" s="101"/>
      <c r="BZ72" s="101"/>
      <c r="CA72" s="101"/>
      <c r="CB72" s="101"/>
      <c r="CC72" s="101"/>
      <c r="CD72" s="101"/>
      <c r="CE72" s="101"/>
      <c r="CF72" s="101"/>
      <c r="CG72" s="101"/>
      <c r="CH72" s="101"/>
      <c r="CI72" s="101"/>
      <c r="CJ72" s="101"/>
      <c r="CK72" s="101"/>
      <c r="CL72" s="101"/>
      <c r="CM72" s="101"/>
      <c r="CN72" s="101"/>
      <c r="CO72" s="101"/>
      <c r="CP72" s="103">
        <f t="shared" si="1718"/>
        <v>0</v>
      </c>
      <c r="CQ72" s="129"/>
      <c r="CR72" s="129"/>
      <c r="CS72" s="129"/>
      <c r="CT72" s="129"/>
      <c r="CU72" s="129"/>
      <c r="CV72" s="129"/>
      <c r="CW72" s="129"/>
      <c r="CX72" s="129"/>
      <c r="CY72" s="129"/>
      <c r="CZ72" s="129"/>
      <c r="DA72" s="129"/>
      <c r="DB72" s="129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4"/>
      <c r="EL72" s="114"/>
      <c r="EM72" s="114"/>
      <c r="EN72" s="114"/>
      <c r="EO72" s="114"/>
      <c r="EP72" s="114"/>
      <c r="EQ72" s="114"/>
      <c r="ER72" s="114"/>
      <c r="ES72" s="114"/>
      <c r="ET72" s="114"/>
      <c r="EU72" s="114"/>
      <c r="EV72" s="114"/>
      <c r="EW72" s="114"/>
      <c r="EX72" s="114"/>
      <c r="EY72" s="114"/>
      <c r="EZ72" s="114"/>
      <c r="FA72" s="114"/>
      <c r="FB72" s="114"/>
      <c r="FC72" s="114"/>
      <c r="FD72" s="114"/>
      <c r="FE72" s="114"/>
      <c r="FF72" s="114"/>
      <c r="FG72" s="114"/>
      <c r="FH72" s="114"/>
      <c r="FI72" s="114"/>
      <c r="FJ72" s="114"/>
      <c r="FK72" s="114"/>
      <c r="FL72" s="114"/>
      <c r="FM72" s="114"/>
      <c r="FN72" s="114"/>
      <c r="FO72" s="114"/>
      <c r="FP72" s="114"/>
      <c r="FQ72" s="114"/>
      <c r="FR72" s="114"/>
      <c r="FS72" s="114"/>
      <c r="FT72" s="114"/>
      <c r="FU72" s="114"/>
      <c r="FV72" s="114"/>
      <c r="FW72" s="114"/>
      <c r="FX72" s="114"/>
      <c r="FY72" s="114"/>
      <c r="FZ72" s="114"/>
      <c r="GA72" s="114"/>
      <c r="GB72" s="114"/>
      <c r="GC72" s="114"/>
      <c r="GD72" s="114"/>
      <c r="GE72" s="114"/>
      <c r="GF72" s="114"/>
      <c r="GG72" s="114"/>
      <c r="GH72" s="114"/>
      <c r="GI72" s="114"/>
      <c r="GJ72" s="114"/>
      <c r="GK72" s="114"/>
      <c r="GL72" s="114"/>
      <c r="GM72" s="114"/>
      <c r="GN72" s="114"/>
      <c r="GO72" s="114"/>
      <c r="GP72" s="114"/>
      <c r="GQ72" s="114"/>
      <c r="GR72" s="114"/>
      <c r="GS72" s="114"/>
      <c r="GT72" s="114"/>
      <c r="GU72" s="114"/>
      <c r="GV72" s="114"/>
      <c r="GW72" s="114"/>
      <c r="GX72" s="114"/>
      <c r="GY72" s="114"/>
      <c r="GZ72" s="114"/>
      <c r="HA72" s="156">
        <f t="shared" si="1772"/>
        <v>0</v>
      </c>
      <c r="HB72" s="114"/>
      <c r="HC72" s="156"/>
      <c r="HD72" s="129">
        <v>111155.31</v>
      </c>
    </row>
    <row r="73" spans="1:212" s="70" customFormat="1">
      <c r="A73" s="546">
        <v>36</v>
      </c>
      <c r="B73" s="536" t="s">
        <v>1120</v>
      </c>
      <c r="C73" s="537" t="s">
        <v>1121</v>
      </c>
      <c r="D73" s="538" t="s">
        <v>548</v>
      </c>
      <c r="E73" s="539" t="s">
        <v>418</v>
      </c>
      <c r="F73" s="540">
        <v>103.33</v>
      </c>
      <c r="G73" s="540">
        <v>17</v>
      </c>
      <c r="H73" s="623">
        <f>F73*G73*365</f>
        <v>641162.64999999991</v>
      </c>
      <c r="I73" s="153">
        <v>141432.94</v>
      </c>
      <c r="J73" s="102">
        <f>ROUND(G73*F73*365/4,0)</f>
        <v>160291</v>
      </c>
      <c r="K73" s="101">
        <f>J73</f>
        <v>160291</v>
      </c>
      <c r="L73" s="101">
        <f>K73</f>
        <v>160291</v>
      </c>
      <c r="M73" s="101">
        <f>L73</f>
        <v>160291</v>
      </c>
      <c r="N73" s="103">
        <f>ROUND(M73*(1+取值表!$D$6)*取值表!$I$6,0)</f>
        <v>159582</v>
      </c>
      <c r="O73" s="101">
        <f>N73</f>
        <v>159582</v>
      </c>
      <c r="P73" s="101">
        <f>O73</f>
        <v>159582</v>
      </c>
      <c r="Q73" s="101">
        <f>P73</f>
        <v>159582</v>
      </c>
      <c r="R73" s="278">
        <f>ROUND(Q73*(1+取值表!$D$6),0)</f>
        <v>168838</v>
      </c>
      <c r="S73" s="101">
        <f t="shared" ref="S73:U73" si="1828">R73</f>
        <v>168838</v>
      </c>
      <c r="T73" s="101">
        <f t="shared" si="1828"/>
        <v>168838</v>
      </c>
      <c r="U73" s="101">
        <f t="shared" si="1828"/>
        <v>168838</v>
      </c>
      <c r="V73" s="103">
        <f>ROUND(U73*(1+取值表!$D$6),0)</f>
        <v>178631</v>
      </c>
      <c r="W73" s="101">
        <f t="shared" ref="W73:Y73" si="1829">V73</f>
        <v>178631</v>
      </c>
      <c r="X73" s="101">
        <f t="shared" si="1829"/>
        <v>178631</v>
      </c>
      <c r="Y73" s="101">
        <f t="shared" si="1829"/>
        <v>178631</v>
      </c>
      <c r="Z73" s="103">
        <f>ROUND(Y73*(1+取值表!$D$6),0)</f>
        <v>188992</v>
      </c>
      <c r="AA73" s="101">
        <f t="shared" ref="AA73" si="1830">Z73</f>
        <v>188992</v>
      </c>
      <c r="AB73" s="101">
        <f t="shared" ref="AB73" si="1831">AA73</f>
        <v>188992</v>
      </c>
      <c r="AC73" s="101">
        <f t="shared" ref="AC73" si="1832">AB73</f>
        <v>188992</v>
      </c>
      <c r="AD73" s="103">
        <f>ROUND(AC73*(1+取值表!$D$6),0)</f>
        <v>199954</v>
      </c>
      <c r="AE73" s="101">
        <f t="shared" ref="AE73" si="1833">AD73</f>
        <v>199954</v>
      </c>
      <c r="AF73" s="101">
        <f t="shared" ref="AF73" si="1834">AE73</f>
        <v>199954</v>
      </c>
      <c r="AG73" s="101">
        <f t="shared" ref="AG73" si="1835">AF73</f>
        <v>199954</v>
      </c>
      <c r="AH73" s="103">
        <f>ROUND(AG73*(1+取值表!$D$6),0)</f>
        <v>211551</v>
      </c>
      <c r="AI73" s="101">
        <f t="shared" ref="AI73" si="1836">AH73</f>
        <v>211551</v>
      </c>
      <c r="AJ73" s="101">
        <f t="shared" ref="AJ73" si="1837">AI73</f>
        <v>211551</v>
      </c>
      <c r="AK73" s="101">
        <f t="shared" ref="AK73" si="1838">AJ73</f>
        <v>211551</v>
      </c>
      <c r="AL73" s="103">
        <f>ROUND(AK73*(1+取值表!$D$6),0)</f>
        <v>223821</v>
      </c>
      <c r="AM73" s="101">
        <f t="shared" ref="AM73" si="1839">AL73</f>
        <v>223821</v>
      </c>
      <c r="AN73" s="101">
        <f t="shared" ref="AN73" si="1840">AM73</f>
        <v>223821</v>
      </c>
      <c r="AO73" s="101">
        <f t="shared" ref="AO73" si="1841">AN73</f>
        <v>223821</v>
      </c>
      <c r="AP73" s="103">
        <f>ROUND(AO73*(1+取值表!$D$6),0)</f>
        <v>236803</v>
      </c>
      <c r="AQ73" s="101">
        <f t="shared" ref="AQ73" si="1842">AP73</f>
        <v>236803</v>
      </c>
      <c r="AR73" s="101">
        <f t="shared" ref="AR73" si="1843">AQ73</f>
        <v>236803</v>
      </c>
      <c r="AS73" s="101">
        <f t="shared" ref="AS73" si="1844">AR73</f>
        <v>236803</v>
      </c>
      <c r="AT73" s="103">
        <f>ROUND(AS73*(1+取值表!$D$6),0)</f>
        <v>250538</v>
      </c>
      <c r="AU73" s="101">
        <f t="shared" ref="AU73" si="1845">AT73</f>
        <v>250538</v>
      </c>
      <c r="AV73" s="101">
        <f t="shared" ref="AV73" si="1846">AU73</f>
        <v>250538</v>
      </c>
      <c r="AW73" s="101">
        <f t="shared" ref="AW73" si="1847">AV73</f>
        <v>250538</v>
      </c>
      <c r="AX73" s="103">
        <f>ROUND(AW73*(1+取值表!$D$6),0)</f>
        <v>265069</v>
      </c>
      <c r="AY73" s="101">
        <f t="shared" ref="AY73" si="1848">AX73</f>
        <v>265069</v>
      </c>
      <c r="AZ73" s="101">
        <f t="shared" ref="AZ73" si="1849">AY73</f>
        <v>265069</v>
      </c>
      <c r="BA73" s="101">
        <f t="shared" ref="BA73" si="1850">AZ73</f>
        <v>265069</v>
      </c>
      <c r="BB73" s="103">
        <f>ROUND(BA73*(1+取值表!$D$6),0)</f>
        <v>280443</v>
      </c>
      <c r="BC73" s="101">
        <f t="shared" ref="BC73" si="1851">BB73</f>
        <v>280443</v>
      </c>
      <c r="BD73" s="101">
        <f t="shared" ref="BD73" si="1852">BC73</f>
        <v>280443</v>
      </c>
      <c r="BE73" s="101">
        <f t="shared" ref="BE73" si="1853">BD73</f>
        <v>280443</v>
      </c>
      <c r="BF73" s="103">
        <f>ROUND(BE73*(1+取值表!$D$6),0)</f>
        <v>296709</v>
      </c>
      <c r="BG73" s="101">
        <f t="shared" ref="BG73" si="1854">BF73</f>
        <v>296709</v>
      </c>
      <c r="BH73" s="101">
        <f t="shared" ref="BH73" si="1855">BG73</f>
        <v>296709</v>
      </c>
      <c r="BI73" s="101">
        <f t="shared" ref="BI73" si="1856">BH73</f>
        <v>296709</v>
      </c>
      <c r="BJ73" s="103">
        <f>ROUND(BI73*(1+取值表!$D$6),0)</f>
        <v>313918</v>
      </c>
      <c r="BK73" s="101">
        <f t="shared" ref="BK73" si="1857">BJ73</f>
        <v>313918</v>
      </c>
      <c r="BL73" s="101">
        <f t="shared" ref="BL73" si="1858">BK73</f>
        <v>313918</v>
      </c>
      <c r="BM73" s="101">
        <f t="shared" ref="BM73" si="1859">BL73</f>
        <v>313918</v>
      </c>
      <c r="BN73" s="103">
        <f>ROUND(BM73*(1+取值表!$D$6),0)</f>
        <v>332125</v>
      </c>
      <c r="BO73" s="101">
        <f t="shared" ref="BO73" si="1860">BN73</f>
        <v>332125</v>
      </c>
      <c r="BP73" s="101">
        <f t="shared" ref="BP73" si="1861">BO73</f>
        <v>332125</v>
      </c>
      <c r="BQ73" s="101">
        <f t="shared" ref="BQ73" si="1862">BP73</f>
        <v>332125</v>
      </c>
      <c r="BR73" s="103">
        <f>ROUND(BQ73*(1+取值表!$D$6),0)</f>
        <v>351388</v>
      </c>
      <c r="BS73" s="101">
        <f t="shared" ref="BS73" si="1863">BR73</f>
        <v>351388</v>
      </c>
      <c r="BT73" s="101">
        <f t="shared" ref="BT73" si="1864">BS73</f>
        <v>351388</v>
      </c>
      <c r="BU73" s="101">
        <f t="shared" ref="BU73" si="1865">BT73</f>
        <v>351388</v>
      </c>
      <c r="BV73" s="103">
        <f>ROUND(BU73*(1+取值表!$D$6),0)</f>
        <v>371769</v>
      </c>
      <c r="BW73" s="101">
        <f t="shared" ref="BW73" si="1866">BV73</f>
        <v>371769</v>
      </c>
      <c r="BX73" s="101">
        <f t="shared" ref="BX73" si="1867">BW73</f>
        <v>371769</v>
      </c>
      <c r="BY73" s="101">
        <f t="shared" ref="BY73" si="1868">BX73</f>
        <v>371769</v>
      </c>
      <c r="BZ73" s="103">
        <f>ROUND(BY73*(1+取值表!$D$6),0)</f>
        <v>393332</v>
      </c>
      <c r="CA73" s="101">
        <f t="shared" ref="CA73" si="1869">BZ73</f>
        <v>393332</v>
      </c>
      <c r="CB73" s="101">
        <f t="shared" ref="CB73" si="1870">CA73</f>
        <v>393332</v>
      </c>
      <c r="CC73" s="101">
        <f t="shared" ref="CC73" si="1871">CB73</f>
        <v>393332</v>
      </c>
      <c r="CD73" s="103">
        <f>ROUND(CC73*(1+取值表!$D$6),0)</f>
        <v>416145</v>
      </c>
      <c r="CE73" s="101">
        <f t="shared" ref="CE73" si="1872">CD73</f>
        <v>416145</v>
      </c>
      <c r="CF73" s="101">
        <f t="shared" ref="CF73" si="1873">CE73</f>
        <v>416145</v>
      </c>
      <c r="CG73" s="101">
        <f t="shared" ref="CG73" si="1874">CF73</f>
        <v>416145</v>
      </c>
      <c r="CH73" s="103">
        <f>ROUND(CG73*(1+取值表!$D$6),0)</f>
        <v>440281</v>
      </c>
      <c r="CI73" s="101">
        <f t="shared" ref="CI73" si="1875">CH73</f>
        <v>440281</v>
      </c>
      <c r="CJ73" s="101">
        <f t="shared" ref="CJ73" si="1876">CI73</f>
        <v>440281</v>
      </c>
      <c r="CK73" s="101">
        <f t="shared" ref="CK73" si="1877">CJ73</f>
        <v>440281</v>
      </c>
      <c r="CL73" s="103">
        <f>ROUND(CK73*(1+取值表!$D$6),0)</f>
        <v>465817</v>
      </c>
      <c r="CM73" s="101">
        <f t="shared" ref="CM73" si="1878">CL73</f>
        <v>465817</v>
      </c>
      <c r="CN73" s="101">
        <f t="shared" ref="CN73" si="1879">CM73</f>
        <v>465817</v>
      </c>
      <c r="CO73" s="101">
        <f t="shared" ref="CO73" si="1880">CN73</f>
        <v>465817</v>
      </c>
      <c r="CP73" s="103">
        <f t="shared" si="1718"/>
        <v>23623988</v>
      </c>
      <c r="CQ73" s="129"/>
      <c r="CR73" s="129"/>
      <c r="CS73" s="129"/>
      <c r="CT73" s="129"/>
      <c r="CU73" s="129"/>
      <c r="CV73" s="129"/>
      <c r="CW73" s="129"/>
      <c r="CX73" s="129"/>
      <c r="CY73" s="129"/>
      <c r="CZ73" s="129"/>
      <c r="DA73" s="129"/>
      <c r="DB73" s="129"/>
      <c r="DC73" s="119"/>
      <c r="DD73" s="119"/>
      <c r="DE73" s="119"/>
      <c r="DF73" s="119"/>
      <c r="DG73" s="119"/>
      <c r="DH73" s="119"/>
      <c r="DI73" s="119"/>
      <c r="DJ73" s="119"/>
      <c r="DK73" s="119"/>
      <c r="DL73" s="119"/>
      <c r="DM73" s="119"/>
      <c r="DN73" s="119"/>
      <c r="DO73" s="119"/>
      <c r="DP73" s="119"/>
      <c r="DQ73" s="119"/>
      <c r="DR73" s="119"/>
      <c r="DS73" s="119"/>
      <c r="DT73" s="119"/>
      <c r="DU73" s="119"/>
      <c r="DV73" s="119"/>
      <c r="DW73" s="119"/>
      <c r="DX73" s="119"/>
      <c r="DY73" s="119"/>
      <c r="DZ73" s="119"/>
      <c r="EA73" s="119"/>
      <c r="EB73" s="119"/>
      <c r="EC73" s="119"/>
      <c r="ED73" s="119"/>
      <c r="EE73" s="119"/>
      <c r="EF73" s="119"/>
      <c r="EG73" s="119"/>
      <c r="EH73" s="119"/>
      <c r="EI73" s="119"/>
      <c r="EJ73" s="119"/>
      <c r="EK73" s="119"/>
      <c r="EL73" s="119"/>
      <c r="EM73" s="119"/>
      <c r="EN73" s="119"/>
      <c r="EO73" s="119"/>
      <c r="EP73" s="119"/>
      <c r="EQ73" s="119"/>
      <c r="ER73" s="119"/>
      <c r="ES73" s="119"/>
      <c r="ET73" s="119"/>
      <c r="EU73" s="119"/>
      <c r="EV73" s="119"/>
      <c r="EW73" s="119"/>
      <c r="EX73" s="119"/>
      <c r="EY73" s="119"/>
      <c r="EZ73" s="119"/>
      <c r="FA73" s="119"/>
      <c r="FB73" s="119"/>
      <c r="FC73" s="119"/>
      <c r="FD73" s="119"/>
      <c r="FE73" s="119"/>
      <c r="FF73" s="119"/>
      <c r="FG73" s="119"/>
      <c r="FH73" s="119"/>
      <c r="FI73" s="119"/>
      <c r="FJ73" s="119"/>
      <c r="FK73" s="119"/>
      <c r="FL73" s="119"/>
      <c r="FM73" s="119"/>
      <c r="FN73" s="119"/>
      <c r="FO73" s="119"/>
      <c r="FP73" s="119"/>
      <c r="FQ73" s="119"/>
      <c r="FR73" s="119"/>
      <c r="FS73" s="119"/>
      <c r="FT73" s="119"/>
      <c r="FU73" s="119"/>
      <c r="FV73" s="119"/>
      <c r="FW73" s="119"/>
      <c r="FX73" s="119"/>
      <c r="FY73" s="119"/>
      <c r="FZ73" s="119"/>
      <c r="GA73" s="119"/>
      <c r="GB73" s="119"/>
      <c r="GC73" s="119"/>
      <c r="GD73" s="119"/>
      <c r="GE73" s="119"/>
      <c r="GF73" s="119"/>
      <c r="GG73" s="119"/>
      <c r="GH73" s="119"/>
      <c r="GI73" s="119"/>
      <c r="GJ73" s="119"/>
      <c r="GK73" s="119"/>
      <c r="GL73" s="119"/>
      <c r="GM73" s="119"/>
      <c r="GN73" s="119"/>
      <c r="GO73" s="119"/>
      <c r="GP73" s="119"/>
      <c r="GQ73" s="119"/>
      <c r="GR73" s="119"/>
      <c r="GS73" s="119"/>
      <c r="GT73" s="119"/>
      <c r="GU73" s="119"/>
      <c r="GV73" s="119"/>
      <c r="GW73" s="119"/>
      <c r="GX73" s="119"/>
      <c r="GY73" s="119"/>
      <c r="GZ73" s="119"/>
      <c r="HA73" s="154">
        <f t="shared" si="1772"/>
        <v>47247976</v>
      </c>
      <c r="HB73" s="119"/>
      <c r="HC73" s="154">
        <v>4865.28</v>
      </c>
      <c r="HD73" s="129">
        <v>1049521.45366667</v>
      </c>
    </row>
    <row r="74" spans="1:212" s="70" customFormat="1">
      <c r="A74" s="546"/>
      <c r="B74" s="536"/>
      <c r="C74" s="537"/>
      <c r="D74" s="538"/>
      <c r="E74" s="539"/>
      <c r="F74" s="540"/>
      <c r="G74" s="540"/>
      <c r="H74" s="623"/>
      <c r="I74" s="155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/>
      <c r="BC74" s="101"/>
      <c r="BD74" s="101"/>
      <c r="BE74" s="101"/>
      <c r="BF74" s="101"/>
      <c r="BG74" s="101"/>
      <c r="BH74" s="101"/>
      <c r="BI74" s="101"/>
      <c r="BJ74" s="101"/>
      <c r="BK74" s="101"/>
      <c r="BL74" s="101"/>
      <c r="BM74" s="101"/>
      <c r="BN74" s="101"/>
      <c r="BO74" s="101"/>
      <c r="BP74" s="101"/>
      <c r="BQ74" s="101"/>
      <c r="BR74" s="101"/>
      <c r="BS74" s="101"/>
      <c r="BT74" s="101"/>
      <c r="BU74" s="101"/>
      <c r="BV74" s="101"/>
      <c r="BW74" s="101"/>
      <c r="BX74" s="101"/>
      <c r="BY74" s="101"/>
      <c r="BZ74" s="101"/>
      <c r="CA74" s="101"/>
      <c r="CB74" s="101"/>
      <c r="CC74" s="101"/>
      <c r="CD74" s="101"/>
      <c r="CE74" s="101"/>
      <c r="CF74" s="101"/>
      <c r="CG74" s="101"/>
      <c r="CH74" s="101"/>
      <c r="CI74" s="101"/>
      <c r="CJ74" s="101"/>
      <c r="CK74" s="101"/>
      <c r="CL74" s="101"/>
      <c r="CM74" s="101"/>
      <c r="CN74" s="101"/>
      <c r="CO74" s="101"/>
      <c r="CP74" s="103">
        <f t="shared" si="1718"/>
        <v>0</v>
      </c>
      <c r="CQ74" s="129"/>
      <c r="CR74" s="129"/>
      <c r="CS74" s="129"/>
      <c r="CT74" s="129"/>
      <c r="CU74" s="129"/>
      <c r="CV74" s="129"/>
      <c r="CW74" s="129"/>
      <c r="CX74" s="129"/>
      <c r="CY74" s="129"/>
      <c r="CZ74" s="129"/>
      <c r="DA74" s="129"/>
      <c r="DB74" s="129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4"/>
      <c r="EL74" s="114"/>
      <c r="EM74" s="114"/>
      <c r="EN74" s="114"/>
      <c r="EO74" s="114"/>
      <c r="EP74" s="114"/>
      <c r="EQ74" s="114"/>
      <c r="ER74" s="114"/>
      <c r="ES74" s="114"/>
      <c r="ET74" s="114"/>
      <c r="EU74" s="114"/>
      <c r="EV74" s="114"/>
      <c r="EW74" s="114"/>
      <c r="EX74" s="114"/>
      <c r="EY74" s="114"/>
      <c r="EZ74" s="114"/>
      <c r="FA74" s="114"/>
      <c r="FB74" s="114"/>
      <c r="FC74" s="114"/>
      <c r="FD74" s="114"/>
      <c r="FE74" s="114"/>
      <c r="FF74" s="114"/>
      <c r="FG74" s="114"/>
      <c r="FH74" s="114"/>
      <c r="FI74" s="114"/>
      <c r="FJ74" s="114"/>
      <c r="FK74" s="114"/>
      <c r="FL74" s="114"/>
      <c r="FM74" s="114"/>
      <c r="FN74" s="114"/>
      <c r="FO74" s="114"/>
      <c r="FP74" s="114"/>
      <c r="FQ74" s="114"/>
      <c r="FR74" s="114"/>
      <c r="FS74" s="114"/>
      <c r="FT74" s="114"/>
      <c r="FU74" s="114"/>
      <c r="FV74" s="114"/>
      <c r="FW74" s="114"/>
      <c r="FX74" s="114"/>
      <c r="FY74" s="114"/>
      <c r="FZ74" s="114"/>
      <c r="GA74" s="114"/>
      <c r="GB74" s="114"/>
      <c r="GC74" s="114"/>
      <c r="GD74" s="114"/>
      <c r="GE74" s="114"/>
      <c r="GF74" s="114"/>
      <c r="GG74" s="114"/>
      <c r="GH74" s="114"/>
      <c r="GI74" s="114"/>
      <c r="GJ74" s="114"/>
      <c r="GK74" s="114"/>
      <c r="GL74" s="114"/>
      <c r="GM74" s="114"/>
      <c r="GN74" s="114"/>
      <c r="GO74" s="114"/>
      <c r="GP74" s="114"/>
      <c r="GQ74" s="114"/>
      <c r="GR74" s="114"/>
      <c r="GS74" s="114"/>
      <c r="GT74" s="114"/>
      <c r="GU74" s="114"/>
      <c r="GV74" s="114"/>
      <c r="GW74" s="114"/>
      <c r="GX74" s="114"/>
      <c r="GY74" s="114"/>
      <c r="GZ74" s="114"/>
      <c r="HA74" s="156">
        <f t="shared" si="1772"/>
        <v>0</v>
      </c>
      <c r="HB74" s="114"/>
      <c r="HC74" s="156"/>
      <c r="HD74" s="129">
        <v>166867.12</v>
      </c>
    </row>
    <row r="75" spans="1:212" s="70" customFormat="1" ht="12" customHeight="1">
      <c r="A75" s="546">
        <v>37</v>
      </c>
      <c r="B75" s="536" t="s">
        <v>1122</v>
      </c>
      <c r="C75" s="537" t="s">
        <v>1123</v>
      </c>
      <c r="D75" s="538" t="s">
        <v>635</v>
      </c>
      <c r="E75" s="544" t="s">
        <v>418</v>
      </c>
      <c r="F75" s="540">
        <v>14</v>
      </c>
      <c r="G75" s="540">
        <v>35</v>
      </c>
      <c r="H75" s="623">
        <f>F75*G75*365</f>
        <v>178850</v>
      </c>
      <c r="I75" s="153">
        <v>45990</v>
      </c>
      <c r="J75" s="102">
        <f>ROUND(G75*F75*365/4,0)</f>
        <v>44713</v>
      </c>
      <c r="K75" s="101">
        <f>J75</f>
        <v>44713</v>
      </c>
      <c r="L75" s="101">
        <f>K75</f>
        <v>44713</v>
      </c>
      <c r="M75" s="101">
        <f>L75</f>
        <v>44713</v>
      </c>
      <c r="N75" s="103">
        <f>ROUND(M75*(1+取值表!$D$6)*取值表!$I$6,0)</f>
        <v>44515</v>
      </c>
      <c r="O75" s="101">
        <f>N75</f>
        <v>44515</v>
      </c>
      <c r="P75" s="101">
        <f>O75</f>
        <v>44515</v>
      </c>
      <c r="Q75" s="101">
        <f>P75</f>
        <v>44515</v>
      </c>
      <c r="R75" s="278">
        <f>ROUND(Q75*(1+取值表!$D$6),0)</f>
        <v>47097</v>
      </c>
      <c r="S75" s="101">
        <f t="shared" ref="S75:U75" si="1881">R75</f>
        <v>47097</v>
      </c>
      <c r="T75" s="101">
        <f t="shared" si="1881"/>
        <v>47097</v>
      </c>
      <c r="U75" s="101">
        <f t="shared" si="1881"/>
        <v>47097</v>
      </c>
      <c r="V75" s="103">
        <f>ROUND(U75*(1+取值表!$D$6),0)</f>
        <v>49829</v>
      </c>
      <c r="W75" s="101">
        <f t="shared" ref="W75:Y75" si="1882">V75</f>
        <v>49829</v>
      </c>
      <c r="X75" s="101">
        <f t="shared" si="1882"/>
        <v>49829</v>
      </c>
      <c r="Y75" s="101">
        <f t="shared" si="1882"/>
        <v>49829</v>
      </c>
      <c r="Z75" s="103">
        <f>ROUND(Y75*(1+取值表!$D$6),0)</f>
        <v>52719</v>
      </c>
      <c r="AA75" s="101">
        <f t="shared" ref="AA75" si="1883">Z75</f>
        <v>52719</v>
      </c>
      <c r="AB75" s="101">
        <f t="shared" ref="AB75" si="1884">AA75</f>
        <v>52719</v>
      </c>
      <c r="AC75" s="101">
        <f t="shared" ref="AC75" si="1885">AB75</f>
        <v>52719</v>
      </c>
      <c r="AD75" s="103">
        <f>ROUND(AC75*(1+取值表!$D$6),0)</f>
        <v>55777</v>
      </c>
      <c r="AE75" s="101">
        <f t="shared" ref="AE75" si="1886">AD75</f>
        <v>55777</v>
      </c>
      <c r="AF75" s="101">
        <f t="shared" ref="AF75" si="1887">AE75</f>
        <v>55777</v>
      </c>
      <c r="AG75" s="101">
        <f t="shared" ref="AG75" si="1888">AF75</f>
        <v>55777</v>
      </c>
      <c r="AH75" s="103">
        <f>ROUND(AG75*(1+取值表!$D$6),0)</f>
        <v>59012</v>
      </c>
      <c r="AI75" s="101">
        <f t="shared" ref="AI75" si="1889">AH75</f>
        <v>59012</v>
      </c>
      <c r="AJ75" s="101">
        <f t="shared" ref="AJ75" si="1890">AI75</f>
        <v>59012</v>
      </c>
      <c r="AK75" s="101">
        <f t="shared" ref="AK75" si="1891">AJ75</f>
        <v>59012</v>
      </c>
      <c r="AL75" s="103">
        <f>ROUND(AK75*(1+取值表!$D$6),0)</f>
        <v>62435</v>
      </c>
      <c r="AM75" s="101">
        <f t="shared" ref="AM75" si="1892">AL75</f>
        <v>62435</v>
      </c>
      <c r="AN75" s="101">
        <f t="shared" ref="AN75" si="1893">AM75</f>
        <v>62435</v>
      </c>
      <c r="AO75" s="101">
        <f t="shared" ref="AO75" si="1894">AN75</f>
        <v>62435</v>
      </c>
      <c r="AP75" s="103">
        <f>ROUND(AO75*(1+取值表!$D$6),0)</f>
        <v>66056</v>
      </c>
      <c r="AQ75" s="101">
        <f t="shared" ref="AQ75" si="1895">AP75</f>
        <v>66056</v>
      </c>
      <c r="AR75" s="101">
        <f t="shared" ref="AR75" si="1896">AQ75</f>
        <v>66056</v>
      </c>
      <c r="AS75" s="101">
        <f t="shared" ref="AS75" si="1897">AR75</f>
        <v>66056</v>
      </c>
      <c r="AT75" s="103">
        <f>ROUND(AS75*(1+取值表!$D$6),0)</f>
        <v>69887</v>
      </c>
      <c r="AU75" s="101">
        <f t="shared" ref="AU75" si="1898">AT75</f>
        <v>69887</v>
      </c>
      <c r="AV75" s="101">
        <f t="shared" ref="AV75" si="1899">AU75</f>
        <v>69887</v>
      </c>
      <c r="AW75" s="101">
        <f t="shared" ref="AW75" si="1900">AV75</f>
        <v>69887</v>
      </c>
      <c r="AX75" s="103">
        <f>ROUND(AW75*(1+取值表!$D$6),0)</f>
        <v>73940</v>
      </c>
      <c r="AY75" s="101">
        <f t="shared" ref="AY75" si="1901">AX75</f>
        <v>73940</v>
      </c>
      <c r="AZ75" s="101">
        <f t="shared" ref="AZ75" si="1902">AY75</f>
        <v>73940</v>
      </c>
      <c r="BA75" s="101">
        <f t="shared" ref="BA75" si="1903">AZ75</f>
        <v>73940</v>
      </c>
      <c r="BB75" s="103">
        <f>ROUND(BA75*(1+取值表!$D$6),0)</f>
        <v>78229</v>
      </c>
      <c r="BC75" s="101">
        <f t="shared" ref="BC75" si="1904">BB75</f>
        <v>78229</v>
      </c>
      <c r="BD75" s="101">
        <f t="shared" ref="BD75" si="1905">BC75</f>
        <v>78229</v>
      </c>
      <c r="BE75" s="101">
        <f t="shared" ref="BE75" si="1906">BD75</f>
        <v>78229</v>
      </c>
      <c r="BF75" s="103">
        <f>ROUND(BE75*(1+取值表!$D$6),0)</f>
        <v>82766</v>
      </c>
      <c r="BG75" s="101">
        <f t="shared" ref="BG75" si="1907">BF75</f>
        <v>82766</v>
      </c>
      <c r="BH75" s="101">
        <f t="shared" ref="BH75" si="1908">BG75</f>
        <v>82766</v>
      </c>
      <c r="BI75" s="101">
        <f t="shared" ref="BI75" si="1909">BH75</f>
        <v>82766</v>
      </c>
      <c r="BJ75" s="103">
        <f>ROUND(BI75*(1+取值表!$D$6),0)</f>
        <v>87566</v>
      </c>
      <c r="BK75" s="101">
        <f t="shared" ref="BK75" si="1910">BJ75</f>
        <v>87566</v>
      </c>
      <c r="BL75" s="101">
        <f t="shared" ref="BL75" si="1911">BK75</f>
        <v>87566</v>
      </c>
      <c r="BM75" s="101">
        <f t="shared" ref="BM75" si="1912">BL75</f>
        <v>87566</v>
      </c>
      <c r="BN75" s="103">
        <f>ROUND(BM75*(1+取值表!$D$6),0)</f>
        <v>92645</v>
      </c>
      <c r="BO75" s="101">
        <f t="shared" ref="BO75" si="1913">BN75</f>
        <v>92645</v>
      </c>
      <c r="BP75" s="101">
        <f t="shared" ref="BP75" si="1914">BO75</f>
        <v>92645</v>
      </c>
      <c r="BQ75" s="101">
        <f t="shared" ref="BQ75" si="1915">BP75</f>
        <v>92645</v>
      </c>
      <c r="BR75" s="103">
        <f>ROUND(BQ75*(1+取值表!$D$6),0)</f>
        <v>98018</v>
      </c>
      <c r="BS75" s="101">
        <f t="shared" ref="BS75" si="1916">BR75</f>
        <v>98018</v>
      </c>
      <c r="BT75" s="101">
        <f t="shared" ref="BT75" si="1917">BS75</f>
        <v>98018</v>
      </c>
      <c r="BU75" s="101">
        <f t="shared" ref="BU75" si="1918">BT75</f>
        <v>98018</v>
      </c>
      <c r="BV75" s="103">
        <f>ROUND(BU75*(1+取值表!$D$6),0)</f>
        <v>103703</v>
      </c>
      <c r="BW75" s="101">
        <f t="shared" ref="BW75" si="1919">BV75</f>
        <v>103703</v>
      </c>
      <c r="BX75" s="101">
        <f t="shared" ref="BX75" si="1920">BW75</f>
        <v>103703</v>
      </c>
      <c r="BY75" s="101">
        <f t="shared" ref="BY75" si="1921">BX75</f>
        <v>103703</v>
      </c>
      <c r="BZ75" s="103">
        <f>ROUND(BY75*(1+取值表!$D$6),0)</f>
        <v>109718</v>
      </c>
      <c r="CA75" s="101">
        <f t="shared" ref="CA75" si="1922">BZ75</f>
        <v>109718</v>
      </c>
      <c r="CB75" s="101">
        <f t="shared" ref="CB75" si="1923">CA75</f>
        <v>109718</v>
      </c>
      <c r="CC75" s="101">
        <f t="shared" ref="CC75" si="1924">CB75</f>
        <v>109718</v>
      </c>
      <c r="CD75" s="103">
        <f>ROUND(CC75*(1+取值表!$D$6),0)</f>
        <v>116082</v>
      </c>
      <c r="CE75" s="101">
        <f t="shared" ref="CE75" si="1925">CD75</f>
        <v>116082</v>
      </c>
      <c r="CF75" s="101">
        <f t="shared" ref="CF75" si="1926">CE75</f>
        <v>116082</v>
      </c>
      <c r="CG75" s="101">
        <f t="shared" ref="CG75" si="1927">CF75</f>
        <v>116082</v>
      </c>
      <c r="CH75" s="103">
        <f>ROUND(CG75*(1+取值表!$D$6),0)</f>
        <v>122815</v>
      </c>
      <c r="CI75" s="101">
        <f t="shared" ref="CI75" si="1928">CH75</f>
        <v>122815</v>
      </c>
      <c r="CJ75" s="101">
        <f t="shared" ref="CJ75" si="1929">CI75</f>
        <v>122815</v>
      </c>
      <c r="CK75" s="101">
        <f t="shared" ref="CK75" si="1930">CJ75</f>
        <v>122815</v>
      </c>
      <c r="CL75" s="103">
        <f>ROUND(CK75*(1+取值表!$D$6),0)</f>
        <v>129938</v>
      </c>
      <c r="CM75" s="101">
        <f t="shared" ref="CM75" si="1931">CL75</f>
        <v>129938</v>
      </c>
      <c r="CN75" s="101">
        <f t="shared" ref="CN75" si="1932">CM75</f>
        <v>129938</v>
      </c>
      <c r="CO75" s="101">
        <f t="shared" ref="CO75" si="1933">CN75</f>
        <v>129938</v>
      </c>
      <c r="CP75" s="103">
        <f t="shared" si="1718"/>
        <v>6589840</v>
      </c>
      <c r="CQ75" s="129"/>
      <c r="CR75" s="129"/>
      <c r="CS75" s="129"/>
      <c r="CT75" s="129"/>
      <c r="CU75" s="129"/>
      <c r="CV75" s="129"/>
      <c r="CW75" s="129"/>
      <c r="CX75" s="129"/>
      <c r="CY75" s="129"/>
      <c r="CZ75" s="129"/>
      <c r="DA75" s="129"/>
      <c r="DB75" s="129"/>
      <c r="DC75" s="119"/>
      <c r="DD75" s="119"/>
      <c r="DE75" s="119"/>
      <c r="DF75" s="119"/>
      <c r="DG75" s="119"/>
      <c r="DH75" s="119"/>
      <c r="DI75" s="119"/>
      <c r="DJ75" s="119"/>
      <c r="DK75" s="119"/>
      <c r="DL75" s="119"/>
      <c r="DM75" s="119"/>
      <c r="DN75" s="119"/>
      <c r="DO75" s="119"/>
      <c r="DP75" s="119"/>
      <c r="DQ75" s="119"/>
      <c r="DR75" s="119"/>
      <c r="DS75" s="119"/>
      <c r="DT75" s="119"/>
      <c r="DU75" s="119"/>
      <c r="DV75" s="119"/>
      <c r="DW75" s="119"/>
      <c r="DX75" s="119"/>
      <c r="DY75" s="119"/>
      <c r="DZ75" s="119"/>
      <c r="EA75" s="119"/>
      <c r="EB75" s="119"/>
      <c r="EC75" s="119"/>
      <c r="ED75" s="119"/>
      <c r="EE75" s="119"/>
      <c r="EF75" s="119"/>
      <c r="EG75" s="119"/>
      <c r="EH75" s="119"/>
      <c r="EI75" s="119"/>
      <c r="EJ75" s="119"/>
      <c r="EK75" s="119"/>
      <c r="EL75" s="119"/>
      <c r="EM75" s="119"/>
      <c r="EN75" s="119"/>
      <c r="EO75" s="119"/>
      <c r="EP75" s="119"/>
      <c r="EQ75" s="119"/>
      <c r="ER75" s="119"/>
      <c r="ES75" s="119"/>
      <c r="ET75" s="119"/>
      <c r="EU75" s="119"/>
      <c r="EV75" s="119"/>
      <c r="EW75" s="119"/>
      <c r="EX75" s="119"/>
      <c r="EY75" s="119"/>
      <c r="EZ75" s="119"/>
      <c r="FA75" s="119"/>
      <c r="FB75" s="119"/>
      <c r="FC75" s="119"/>
      <c r="FD75" s="119"/>
      <c r="FE75" s="119"/>
      <c r="FF75" s="119"/>
      <c r="FG75" s="119"/>
      <c r="FH75" s="119"/>
      <c r="FI75" s="119"/>
      <c r="FJ75" s="119"/>
      <c r="FK75" s="119"/>
      <c r="FL75" s="119"/>
      <c r="FM75" s="119"/>
      <c r="FN75" s="119"/>
      <c r="FO75" s="119"/>
      <c r="FP75" s="119"/>
      <c r="FQ75" s="119"/>
      <c r="FR75" s="119"/>
      <c r="FS75" s="119"/>
      <c r="FT75" s="119"/>
      <c r="FU75" s="119"/>
      <c r="FV75" s="119"/>
      <c r="FW75" s="119"/>
      <c r="FX75" s="119"/>
      <c r="FY75" s="119"/>
      <c r="FZ75" s="119"/>
      <c r="GA75" s="119"/>
      <c r="GB75" s="119"/>
      <c r="GC75" s="119"/>
      <c r="GD75" s="119"/>
      <c r="GE75" s="119"/>
      <c r="GF75" s="119"/>
      <c r="GG75" s="119"/>
      <c r="GH75" s="119"/>
      <c r="GI75" s="119"/>
      <c r="GJ75" s="119"/>
      <c r="GK75" s="119"/>
      <c r="GL75" s="119"/>
      <c r="GM75" s="119"/>
      <c r="GN75" s="119"/>
      <c r="GO75" s="119"/>
      <c r="GP75" s="119"/>
      <c r="GQ75" s="119"/>
      <c r="GR75" s="119"/>
      <c r="GS75" s="119"/>
      <c r="GT75" s="119"/>
      <c r="GU75" s="119"/>
      <c r="GV75" s="119"/>
      <c r="GW75" s="119"/>
      <c r="GX75" s="119"/>
      <c r="GY75" s="119"/>
      <c r="GZ75" s="119"/>
      <c r="HA75" s="154">
        <f t="shared" si="1772"/>
        <v>13179680</v>
      </c>
      <c r="HB75" s="114"/>
      <c r="HC75" s="156"/>
      <c r="HD75" s="129">
        <v>154449.71100000001</v>
      </c>
    </row>
    <row r="76" spans="1:212" s="70" customFormat="1">
      <c r="A76" s="546"/>
      <c r="B76" s="536"/>
      <c r="C76" s="537"/>
      <c r="D76" s="538"/>
      <c r="E76" s="545"/>
      <c r="F76" s="540"/>
      <c r="G76" s="540"/>
      <c r="H76" s="623"/>
      <c r="I76" s="155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  <c r="AP76" s="101"/>
      <c r="AQ76" s="101"/>
      <c r="AR76" s="101"/>
      <c r="AS76" s="101"/>
      <c r="AT76" s="101"/>
      <c r="AU76" s="101"/>
      <c r="AV76" s="101"/>
      <c r="AW76" s="101"/>
      <c r="AX76" s="101"/>
      <c r="AY76" s="101"/>
      <c r="AZ76" s="101"/>
      <c r="BA76" s="101"/>
      <c r="BB76" s="101"/>
      <c r="BC76" s="101"/>
      <c r="BD76" s="101"/>
      <c r="BE76" s="101"/>
      <c r="BF76" s="101"/>
      <c r="BG76" s="101"/>
      <c r="BH76" s="101"/>
      <c r="BI76" s="101"/>
      <c r="BJ76" s="101"/>
      <c r="BK76" s="101"/>
      <c r="BL76" s="101"/>
      <c r="BM76" s="101"/>
      <c r="BN76" s="101"/>
      <c r="BO76" s="101"/>
      <c r="BP76" s="101"/>
      <c r="BQ76" s="101"/>
      <c r="BR76" s="101"/>
      <c r="BS76" s="101"/>
      <c r="BT76" s="101"/>
      <c r="BU76" s="101"/>
      <c r="BV76" s="101"/>
      <c r="BW76" s="101"/>
      <c r="BX76" s="101"/>
      <c r="BY76" s="101"/>
      <c r="BZ76" s="101"/>
      <c r="CA76" s="101"/>
      <c r="CB76" s="101"/>
      <c r="CC76" s="101"/>
      <c r="CD76" s="101"/>
      <c r="CE76" s="101"/>
      <c r="CF76" s="101"/>
      <c r="CG76" s="101"/>
      <c r="CH76" s="101"/>
      <c r="CI76" s="101"/>
      <c r="CJ76" s="101"/>
      <c r="CK76" s="101"/>
      <c r="CL76" s="101"/>
      <c r="CM76" s="101"/>
      <c r="CN76" s="101"/>
      <c r="CO76" s="101"/>
      <c r="CP76" s="103">
        <f t="shared" si="1718"/>
        <v>0</v>
      </c>
      <c r="CQ76" s="129"/>
      <c r="CR76" s="129"/>
      <c r="CS76" s="129"/>
      <c r="CT76" s="129"/>
      <c r="CU76" s="129"/>
      <c r="CV76" s="129"/>
      <c r="CW76" s="129"/>
      <c r="CX76" s="129"/>
      <c r="CY76" s="129"/>
      <c r="CZ76" s="129"/>
      <c r="DA76" s="129"/>
      <c r="DB76" s="129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4"/>
      <c r="EL76" s="114"/>
      <c r="EM76" s="114"/>
      <c r="EN76" s="114"/>
      <c r="EO76" s="114"/>
      <c r="EP76" s="114"/>
      <c r="EQ76" s="114"/>
      <c r="ER76" s="114"/>
      <c r="ES76" s="114"/>
      <c r="ET76" s="114"/>
      <c r="EU76" s="114"/>
      <c r="EV76" s="114"/>
      <c r="EW76" s="114"/>
      <c r="EX76" s="114"/>
      <c r="EY76" s="114"/>
      <c r="EZ76" s="114"/>
      <c r="FA76" s="114"/>
      <c r="FB76" s="114"/>
      <c r="FC76" s="114"/>
      <c r="FD76" s="114"/>
      <c r="FE76" s="114"/>
      <c r="FF76" s="114"/>
      <c r="FG76" s="114"/>
      <c r="FH76" s="114"/>
      <c r="FI76" s="114"/>
      <c r="FJ76" s="114"/>
      <c r="FK76" s="114"/>
      <c r="FL76" s="114"/>
      <c r="FM76" s="114"/>
      <c r="FN76" s="114"/>
      <c r="FO76" s="114"/>
      <c r="FP76" s="114"/>
      <c r="FQ76" s="114"/>
      <c r="FR76" s="114"/>
      <c r="FS76" s="114"/>
      <c r="FT76" s="114"/>
      <c r="FU76" s="114"/>
      <c r="FV76" s="114"/>
      <c r="FW76" s="114"/>
      <c r="FX76" s="114"/>
      <c r="FY76" s="114"/>
      <c r="FZ76" s="114"/>
      <c r="GA76" s="114"/>
      <c r="GB76" s="114"/>
      <c r="GC76" s="114"/>
      <c r="GD76" s="114"/>
      <c r="GE76" s="114"/>
      <c r="GF76" s="114"/>
      <c r="GG76" s="114"/>
      <c r="GH76" s="114"/>
      <c r="GI76" s="114"/>
      <c r="GJ76" s="114"/>
      <c r="GK76" s="114"/>
      <c r="GL76" s="114"/>
      <c r="GM76" s="114"/>
      <c r="GN76" s="114"/>
      <c r="GO76" s="114"/>
      <c r="GP76" s="114"/>
      <c r="GQ76" s="114"/>
      <c r="GR76" s="114"/>
      <c r="GS76" s="114"/>
      <c r="GT76" s="114"/>
      <c r="GU76" s="114"/>
      <c r="GV76" s="114"/>
      <c r="GW76" s="114"/>
      <c r="GX76" s="114"/>
      <c r="GY76" s="114"/>
      <c r="GZ76" s="114"/>
      <c r="HA76" s="156">
        <f t="shared" si="1772"/>
        <v>0</v>
      </c>
      <c r="HB76" s="114"/>
      <c r="HC76" s="156"/>
      <c r="HD76" s="129">
        <v>65124.09</v>
      </c>
    </row>
    <row r="77" spans="1:212" s="70" customFormat="1" ht="12" customHeight="1">
      <c r="A77" s="546">
        <v>38</v>
      </c>
      <c r="B77" s="536" t="s">
        <v>1124</v>
      </c>
      <c r="C77" s="537" t="s">
        <v>1125</v>
      </c>
      <c r="D77" s="538" t="s">
        <v>549</v>
      </c>
      <c r="E77" s="539" t="s">
        <v>418</v>
      </c>
      <c r="F77" s="540">
        <v>110.54</v>
      </c>
      <c r="G77" s="540">
        <v>25</v>
      </c>
      <c r="H77" s="623">
        <f>F77*G77*365</f>
        <v>1008677.5</v>
      </c>
      <c r="I77" s="153">
        <v>243797.35</v>
      </c>
      <c r="J77" s="102">
        <f>ROUND(G77*F77*365/4,0)</f>
        <v>252169</v>
      </c>
      <c r="K77" s="101">
        <f>J77</f>
        <v>252169</v>
      </c>
      <c r="L77" s="101">
        <f>K77</f>
        <v>252169</v>
      </c>
      <c r="M77" s="101">
        <f>L77</f>
        <v>252169</v>
      </c>
      <c r="N77" s="103">
        <f>ROUND(M77*(1+取值表!$D$6)*取值表!$I$6,0)</f>
        <v>251054</v>
      </c>
      <c r="O77" s="101">
        <f>N77</f>
        <v>251054</v>
      </c>
      <c r="P77" s="101">
        <f>O77</f>
        <v>251054</v>
      </c>
      <c r="Q77" s="101">
        <f>P77</f>
        <v>251054</v>
      </c>
      <c r="R77" s="278">
        <f>ROUND(Q77*(1+取值表!$D$6),0)</f>
        <v>265615</v>
      </c>
      <c r="S77" s="101">
        <f t="shared" ref="S77:U77" si="1934">R77</f>
        <v>265615</v>
      </c>
      <c r="T77" s="101">
        <f t="shared" si="1934"/>
        <v>265615</v>
      </c>
      <c r="U77" s="101">
        <f t="shared" si="1934"/>
        <v>265615</v>
      </c>
      <c r="V77" s="103">
        <f>ROUND(U77*(1+取值表!$D$6),0)</f>
        <v>281021</v>
      </c>
      <c r="W77" s="101">
        <f t="shared" ref="W77:Y77" si="1935">V77</f>
        <v>281021</v>
      </c>
      <c r="X77" s="101">
        <f t="shared" si="1935"/>
        <v>281021</v>
      </c>
      <c r="Y77" s="101">
        <f t="shared" si="1935"/>
        <v>281021</v>
      </c>
      <c r="Z77" s="103">
        <f>ROUND(Y77*(1+取值表!$D$6),0)</f>
        <v>297320</v>
      </c>
      <c r="AA77" s="101">
        <f t="shared" ref="AA77" si="1936">Z77</f>
        <v>297320</v>
      </c>
      <c r="AB77" s="101">
        <f t="shared" ref="AB77" si="1937">AA77</f>
        <v>297320</v>
      </c>
      <c r="AC77" s="101">
        <f t="shared" ref="AC77" si="1938">AB77</f>
        <v>297320</v>
      </c>
      <c r="AD77" s="103">
        <f>ROUND(AC77*(1+取值表!$D$6),0)</f>
        <v>314565</v>
      </c>
      <c r="AE77" s="101">
        <f t="shared" ref="AE77" si="1939">AD77</f>
        <v>314565</v>
      </c>
      <c r="AF77" s="101">
        <f t="shared" ref="AF77" si="1940">AE77</f>
        <v>314565</v>
      </c>
      <c r="AG77" s="101">
        <f t="shared" ref="AG77" si="1941">AF77</f>
        <v>314565</v>
      </c>
      <c r="AH77" s="103">
        <f>ROUND(AG77*(1+取值表!$D$6),0)</f>
        <v>332810</v>
      </c>
      <c r="AI77" s="101">
        <f t="shared" ref="AI77" si="1942">AH77</f>
        <v>332810</v>
      </c>
      <c r="AJ77" s="101">
        <f t="shared" ref="AJ77" si="1943">AI77</f>
        <v>332810</v>
      </c>
      <c r="AK77" s="101">
        <f t="shared" ref="AK77" si="1944">AJ77</f>
        <v>332810</v>
      </c>
      <c r="AL77" s="103">
        <f>ROUND(AK77*(1+取值表!$D$6),0)</f>
        <v>352113</v>
      </c>
      <c r="AM77" s="101">
        <f t="shared" ref="AM77" si="1945">AL77</f>
        <v>352113</v>
      </c>
      <c r="AN77" s="101">
        <f t="shared" ref="AN77" si="1946">AM77</f>
        <v>352113</v>
      </c>
      <c r="AO77" s="101">
        <f t="shared" ref="AO77" si="1947">AN77</f>
        <v>352113</v>
      </c>
      <c r="AP77" s="103">
        <f>ROUND(AO77*(1+取值表!$D$6),0)</f>
        <v>372536</v>
      </c>
      <c r="AQ77" s="101">
        <f t="shared" ref="AQ77" si="1948">AP77</f>
        <v>372536</v>
      </c>
      <c r="AR77" s="101">
        <f t="shared" ref="AR77" si="1949">AQ77</f>
        <v>372536</v>
      </c>
      <c r="AS77" s="101">
        <f t="shared" ref="AS77" si="1950">AR77</f>
        <v>372536</v>
      </c>
      <c r="AT77" s="103">
        <f>ROUND(AS77*(1+取值表!$D$6),0)</f>
        <v>394143</v>
      </c>
      <c r="AU77" s="101">
        <f t="shared" ref="AU77" si="1951">AT77</f>
        <v>394143</v>
      </c>
      <c r="AV77" s="101">
        <f t="shared" ref="AV77" si="1952">AU77</f>
        <v>394143</v>
      </c>
      <c r="AW77" s="101">
        <f t="shared" ref="AW77" si="1953">AV77</f>
        <v>394143</v>
      </c>
      <c r="AX77" s="103">
        <f>ROUND(AW77*(1+取值表!$D$6),0)</f>
        <v>417003</v>
      </c>
      <c r="AY77" s="101">
        <f t="shared" ref="AY77" si="1954">AX77</f>
        <v>417003</v>
      </c>
      <c r="AZ77" s="101">
        <f t="shared" ref="AZ77" si="1955">AY77</f>
        <v>417003</v>
      </c>
      <c r="BA77" s="101">
        <f t="shared" ref="BA77" si="1956">AZ77</f>
        <v>417003</v>
      </c>
      <c r="BB77" s="103">
        <f>ROUND(BA77*(1+取值表!$D$6),0)</f>
        <v>441189</v>
      </c>
      <c r="BC77" s="101">
        <f t="shared" ref="BC77" si="1957">BB77</f>
        <v>441189</v>
      </c>
      <c r="BD77" s="101">
        <f t="shared" ref="BD77" si="1958">BC77</f>
        <v>441189</v>
      </c>
      <c r="BE77" s="101">
        <f t="shared" ref="BE77" si="1959">BD77</f>
        <v>441189</v>
      </c>
      <c r="BF77" s="103">
        <f>ROUND(BE77*(1+取值表!$D$6),0)</f>
        <v>466778</v>
      </c>
      <c r="BG77" s="101">
        <f t="shared" ref="BG77" si="1960">BF77</f>
        <v>466778</v>
      </c>
      <c r="BH77" s="101">
        <f t="shared" ref="BH77" si="1961">BG77</f>
        <v>466778</v>
      </c>
      <c r="BI77" s="101">
        <f t="shared" ref="BI77" si="1962">BH77</f>
        <v>466778</v>
      </c>
      <c r="BJ77" s="103">
        <f>ROUND(BI77*(1+取值表!$D$6),0)</f>
        <v>493851</v>
      </c>
      <c r="BK77" s="101">
        <f t="shared" ref="BK77" si="1963">BJ77</f>
        <v>493851</v>
      </c>
      <c r="BL77" s="101">
        <f t="shared" ref="BL77" si="1964">BK77</f>
        <v>493851</v>
      </c>
      <c r="BM77" s="101">
        <f t="shared" ref="BM77" si="1965">BL77</f>
        <v>493851</v>
      </c>
      <c r="BN77" s="103">
        <f>ROUND(BM77*(1+取值表!$D$6),0)</f>
        <v>522494</v>
      </c>
      <c r="BO77" s="101">
        <f t="shared" ref="BO77" si="1966">BN77</f>
        <v>522494</v>
      </c>
      <c r="BP77" s="101">
        <f t="shared" ref="BP77" si="1967">BO77</f>
        <v>522494</v>
      </c>
      <c r="BQ77" s="101">
        <f t="shared" ref="BQ77" si="1968">BP77</f>
        <v>522494</v>
      </c>
      <c r="BR77" s="103">
        <f>ROUND(BQ77*(1+取值表!$D$6),0)</f>
        <v>552799</v>
      </c>
      <c r="BS77" s="101">
        <f t="shared" ref="BS77" si="1969">BR77</f>
        <v>552799</v>
      </c>
      <c r="BT77" s="101">
        <f t="shared" ref="BT77" si="1970">BS77</f>
        <v>552799</v>
      </c>
      <c r="BU77" s="101">
        <f t="shared" ref="BU77" si="1971">BT77</f>
        <v>552799</v>
      </c>
      <c r="BV77" s="103">
        <f>ROUND(BU77*(1+取值表!$D$6),0)</f>
        <v>584861</v>
      </c>
      <c r="BW77" s="101">
        <f t="shared" ref="BW77" si="1972">BV77</f>
        <v>584861</v>
      </c>
      <c r="BX77" s="101">
        <f t="shared" ref="BX77" si="1973">BW77</f>
        <v>584861</v>
      </c>
      <c r="BY77" s="101">
        <f t="shared" ref="BY77" si="1974">BX77</f>
        <v>584861</v>
      </c>
      <c r="BZ77" s="103">
        <f>ROUND(BY77*(1+取值表!$D$6),0)</f>
        <v>618783</v>
      </c>
      <c r="CA77" s="101">
        <f t="shared" ref="CA77" si="1975">BZ77</f>
        <v>618783</v>
      </c>
      <c r="CB77" s="101">
        <f t="shared" ref="CB77" si="1976">CA77</f>
        <v>618783</v>
      </c>
      <c r="CC77" s="101">
        <f t="shared" ref="CC77" si="1977">CB77</f>
        <v>618783</v>
      </c>
      <c r="CD77" s="103">
        <f>ROUND(CC77*(1+取值表!$D$6),0)</f>
        <v>654672</v>
      </c>
      <c r="CE77" s="101">
        <f t="shared" ref="CE77" si="1978">CD77</f>
        <v>654672</v>
      </c>
      <c r="CF77" s="101">
        <f t="shared" ref="CF77" si="1979">CE77</f>
        <v>654672</v>
      </c>
      <c r="CG77" s="101">
        <f t="shared" ref="CG77" si="1980">CF77</f>
        <v>654672</v>
      </c>
      <c r="CH77" s="103">
        <f>ROUND(CG77*(1+取值表!$D$6),0)</f>
        <v>692643</v>
      </c>
      <c r="CI77" s="101">
        <f t="shared" ref="CI77" si="1981">CH77</f>
        <v>692643</v>
      </c>
      <c r="CJ77" s="101">
        <f t="shared" ref="CJ77" si="1982">CI77</f>
        <v>692643</v>
      </c>
      <c r="CK77" s="101">
        <f t="shared" ref="CK77" si="1983">CJ77</f>
        <v>692643</v>
      </c>
      <c r="CL77" s="103">
        <f>ROUND(CK77*(1+取值表!$D$6),0)</f>
        <v>732816</v>
      </c>
      <c r="CM77" s="101">
        <f t="shared" ref="CM77" si="1984">CL77</f>
        <v>732816</v>
      </c>
      <c r="CN77" s="101">
        <f t="shared" ref="CN77" si="1985">CM77</f>
        <v>732816</v>
      </c>
      <c r="CO77" s="101">
        <f t="shared" ref="CO77" si="1986">CN77</f>
        <v>732816</v>
      </c>
      <c r="CP77" s="103">
        <f t="shared" si="1718"/>
        <v>37164940</v>
      </c>
      <c r="CQ77" s="129"/>
      <c r="CR77" s="129"/>
      <c r="CS77" s="129"/>
      <c r="CT77" s="129"/>
      <c r="CU77" s="129"/>
      <c r="CV77" s="129"/>
      <c r="CW77" s="129"/>
      <c r="CX77" s="129"/>
      <c r="CY77" s="129"/>
      <c r="CZ77" s="129"/>
      <c r="DA77" s="129"/>
      <c r="DB77" s="129"/>
      <c r="DC77" s="119"/>
      <c r="DD77" s="119"/>
      <c r="DE77" s="119"/>
      <c r="DF77" s="119"/>
      <c r="DG77" s="119"/>
      <c r="DH77" s="119"/>
      <c r="DI77" s="119"/>
      <c r="DJ77" s="119"/>
      <c r="DK77" s="119"/>
      <c r="DL77" s="119"/>
      <c r="DM77" s="119"/>
      <c r="DN77" s="119"/>
      <c r="DO77" s="119"/>
      <c r="DP77" s="119"/>
      <c r="DQ77" s="119"/>
      <c r="DR77" s="119"/>
      <c r="DS77" s="119"/>
      <c r="DT77" s="119"/>
      <c r="DU77" s="119"/>
      <c r="DV77" s="119"/>
      <c r="DW77" s="119"/>
      <c r="DX77" s="119"/>
      <c r="DY77" s="119"/>
      <c r="DZ77" s="119"/>
      <c r="EA77" s="119"/>
      <c r="EB77" s="119"/>
      <c r="EC77" s="119"/>
      <c r="ED77" s="119"/>
      <c r="EE77" s="119"/>
      <c r="EF77" s="119"/>
      <c r="EG77" s="119"/>
      <c r="EH77" s="119"/>
      <c r="EI77" s="119"/>
      <c r="EJ77" s="119"/>
      <c r="EK77" s="119"/>
      <c r="EL77" s="119"/>
      <c r="EM77" s="119"/>
      <c r="EN77" s="119"/>
      <c r="EO77" s="119"/>
      <c r="EP77" s="119"/>
      <c r="EQ77" s="119"/>
      <c r="ER77" s="119"/>
      <c r="ES77" s="119"/>
      <c r="ET77" s="119"/>
      <c r="EU77" s="119"/>
      <c r="EV77" s="119"/>
      <c r="EW77" s="119"/>
      <c r="EX77" s="119"/>
      <c r="EY77" s="119"/>
      <c r="EZ77" s="119"/>
      <c r="FA77" s="119"/>
      <c r="FB77" s="119"/>
      <c r="FC77" s="119"/>
      <c r="FD77" s="119"/>
      <c r="FE77" s="119"/>
      <c r="FF77" s="119"/>
      <c r="FG77" s="119"/>
      <c r="FH77" s="119"/>
      <c r="FI77" s="119"/>
      <c r="FJ77" s="119"/>
      <c r="FK77" s="119"/>
      <c r="FL77" s="119"/>
      <c r="FM77" s="119"/>
      <c r="FN77" s="119"/>
      <c r="FO77" s="119"/>
      <c r="FP77" s="119"/>
      <c r="FQ77" s="119"/>
      <c r="FR77" s="119"/>
      <c r="FS77" s="119"/>
      <c r="FT77" s="119"/>
      <c r="FU77" s="119"/>
      <c r="FV77" s="119"/>
      <c r="FW77" s="119"/>
      <c r="FX77" s="119"/>
      <c r="FY77" s="119"/>
      <c r="FZ77" s="119"/>
      <c r="GA77" s="119"/>
      <c r="GB77" s="119"/>
      <c r="GC77" s="119"/>
      <c r="GD77" s="119"/>
      <c r="GE77" s="119"/>
      <c r="GF77" s="119"/>
      <c r="GG77" s="119"/>
      <c r="GH77" s="119"/>
      <c r="GI77" s="119"/>
      <c r="GJ77" s="119"/>
      <c r="GK77" s="119"/>
      <c r="GL77" s="119"/>
      <c r="GM77" s="119"/>
      <c r="GN77" s="119"/>
      <c r="GO77" s="119"/>
      <c r="GP77" s="119"/>
      <c r="GQ77" s="119"/>
      <c r="GR77" s="119"/>
      <c r="GS77" s="119"/>
      <c r="GT77" s="119"/>
      <c r="GU77" s="119"/>
      <c r="GV77" s="119"/>
      <c r="GW77" s="119"/>
      <c r="GX77" s="119"/>
      <c r="GY77" s="119"/>
      <c r="GZ77" s="119"/>
      <c r="HA77" s="154">
        <f t="shared" si="1772"/>
        <v>74329880</v>
      </c>
      <c r="HB77" s="119"/>
      <c r="HC77" s="154"/>
      <c r="HD77" s="129">
        <v>1751736.2733333299</v>
      </c>
    </row>
    <row r="78" spans="1:212" s="70" customFormat="1">
      <c r="A78" s="546"/>
      <c r="B78" s="536"/>
      <c r="C78" s="537"/>
      <c r="D78" s="538"/>
      <c r="E78" s="539"/>
      <c r="F78" s="540"/>
      <c r="G78" s="540"/>
      <c r="H78" s="623"/>
      <c r="I78" s="155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H78" s="101"/>
      <c r="AI78" s="101"/>
      <c r="AJ78" s="101"/>
      <c r="AK78" s="101"/>
      <c r="AL78" s="101"/>
      <c r="AM78" s="101"/>
      <c r="AN78" s="101"/>
      <c r="AO78" s="101"/>
      <c r="AP78" s="101"/>
      <c r="AQ78" s="101"/>
      <c r="AR78" s="101"/>
      <c r="AS78" s="101"/>
      <c r="AT78" s="101"/>
      <c r="AU78" s="101"/>
      <c r="AV78" s="101"/>
      <c r="AW78" s="101"/>
      <c r="AX78" s="101"/>
      <c r="AY78" s="101"/>
      <c r="AZ78" s="101"/>
      <c r="BA78" s="101"/>
      <c r="BB78" s="101"/>
      <c r="BC78" s="101"/>
      <c r="BD78" s="101"/>
      <c r="BE78" s="101"/>
      <c r="BF78" s="101"/>
      <c r="BG78" s="101"/>
      <c r="BH78" s="101"/>
      <c r="BI78" s="101"/>
      <c r="BJ78" s="101"/>
      <c r="BK78" s="101"/>
      <c r="BL78" s="101"/>
      <c r="BM78" s="101"/>
      <c r="BN78" s="101"/>
      <c r="BO78" s="101"/>
      <c r="BP78" s="101"/>
      <c r="BQ78" s="101"/>
      <c r="BR78" s="101"/>
      <c r="BS78" s="101"/>
      <c r="BT78" s="101"/>
      <c r="BU78" s="101"/>
      <c r="BV78" s="101"/>
      <c r="BW78" s="101"/>
      <c r="BX78" s="101"/>
      <c r="BY78" s="101"/>
      <c r="BZ78" s="101"/>
      <c r="CA78" s="101"/>
      <c r="CB78" s="101"/>
      <c r="CC78" s="101"/>
      <c r="CD78" s="101"/>
      <c r="CE78" s="101"/>
      <c r="CF78" s="101"/>
      <c r="CG78" s="101"/>
      <c r="CH78" s="101"/>
      <c r="CI78" s="101"/>
      <c r="CJ78" s="101"/>
      <c r="CK78" s="101"/>
      <c r="CL78" s="101"/>
      <c r="CM78" s="101"/>
      <c r="CN78" s="101"/>
      <c r="CO78" s="101"/>
      <c r="CP78" s="103">
        <f t="shared" si="1718"/>
        <v>0</v>
      </c>
      <c r="CQ78" s="129"/>
      <c r="CR78" s="129"/>
      <c r="CS78" s="129"/>
      <c r="CT78" s="129"/>
      <c r="CU78" s="129"/>
      <c r="CV78" s="129"/>
      <c r="CW78" s="129"/>
      <c r="CX78" s="129"/>
      <c r="CY78" s="129"/>
      <c r="CZ78" s="129"/>
      <c r="DA78" s="129"/>
      <c r="DB78" s="129"/>
      <c r="DC78" s="114"/>
      <c r="DD78" s="114"/>
      <c r="DE78" s="114"/>
      <c r="DF78" s="114"/>
      <c r="DG78" s="114"/>
      <c r="DH78" s="114"/>
      <c r="DI78" s="114"/>
      <c r="DJ78" s="114"/>
      <c r="DK78" s="114"/>
      <c r="DL78" s="114"/>
      <c r="DM78" s="114"/>
      <c r="DN78" s="114"/>
      <c r="DO78" s="114"/>
      <c r="DP78" s="114"/>
      <c r="DQ78" s="114"/>
      <c r="DR78" s="114"/>
      <c r="DS78" s="114"/>
      <c r="DT78" s="114"/>
      <c r="DU78" s="114"/>
      <c r="DV78" s="114"/>
      <c r="DW78" s="114"/>
      <c r="DX78" s="114"/>
      <c r="DY78" s="114"/>
      <c r="DZ78" s="114"/>
      <c r="EA78" s="114"/>
      <c r="EB78" s="114"/>
      <c r="EC78" s="114"/>
      <c r="ED78" s="114"/>
      <c r="EE78" s="114"/>
      <c r="EF78" s="114"/>
      <c r="EG78" s="114"/>
      <c r="EH78" s="114"/>
      <c r="EI78" s="114"/>
      <c r="EJ78" s="114"/>
      <c r="EK78" s="114"/>
      <c r="EL78" s="114"/>
      <c r="EM78" s="114"/>
      <c r="EN78" s="114"/>
      <c r="EO78" s="114"/>
      <c r="EP78" s="114"/>
      <c r="EQ78" s="114"/>
      <c r="ER78" s="114"/>
      <c r="ES78" s="114"/>
      <c r="ET78" s="114"/>
      <c r="EU78" s="114"/>
      <c r="EV78" s="114"/>
      <c r="EW78" s="114"/>
      <c r="EX78" s="114"/>
      <c r="EY78" s="114"/>
      <c r="EZ78" s="114"/>
      <c r="FA78" s="114"/>
      <c r="FB78" s="114"/>
      <c r="FC78" s="114"/>
      <c r="FD78" s="114"/>
      <c r="FE78" s="114"/>
      <c r="FF78" s="114"/>
      <c r="FG78" s="114"/>
      <c r="FH78" s="114"/>
      <c r="FI78" s="114"/>
      <c r="FJ78" s="114"/>
      <c r="FK78" s="114"/>
      <c r="FL78" s="114"/>
      <c r="FM78" s="114"/>
      <c r="FN78" s="114"/>
      <c r="FO78" s="114"/>
      <c r="FP78" s="114"/>
      <c r="FQ78" s="114"/>
      <c r="FR78" s="114"/>
      <c r="FS78" s="114"/>
      <c r="FT78" s="114"/>
      <c r="FU78" s="114"/>
      <c r="FV78" s="114"/>
      <c r="FW78" s="114"/>
      <c r="FX78" s="114"/>
      <c r="FY78" s="114"/>
      <c r="FZ78" s="114"/>
      <c r="GA78" s="114"/>
      <c r="GB78" s="114"/>
      <c r="GC78" s="114"/>
      <c r="GD78" s="114"/>
      <c r="GE78" s="114"/>
      <c r="GF78" s="114"/>
      <c r="GG78" s="114"/>
      <c r="GH78" s="114"/>
      <c r="GI78" s="114"/>
      <c r="GJ78" s="114"/>
      <c r="GK78" s="114"/>
      <c r="GL78" s="114"/>
      <c r="GM78" s="114"/>
      <c r="GN78" s="114"/>
      <c r="GO78" s="114"/>
      <c r="GP78" s="114"/>
      <c r="GQ78" s="114"/>
      <c r="GR78" s="114"/>
      <c r="GS78" s="114"/>
      <c r="GT78" s="114"/>
      <c r="GU78" s="114"/>
      <c r="GV78" s="114"/>
      <c r="GW78" s="114"/>
      <c r="GX78" s="114"/>
      <c r="GY78" s="114"/>
      <c r="GZ78" s="114"/>
      <c r="HA78" s="156">
        <f t="shared" si="1772"/>
        <v>0</v>
      </c>
      <c r="HB78" s="114"/>
      <c r="HC78" s="156"/>
      <c r="HD78" s="129">
        <v>1478496.89</v>
      </c>
    </row>
    <row r="79" spans="1:212" s="70" customFormat="1" ht="21" customHeight="1">
      <c r="A79" s="123">
        <v>39</v>
      </c>
      <c r="B79" s="157" t="s">
        <v>1126</v>
      </c>
      <c r="C79" s="26" t="s">
        <v>1127</v>
      </c>
      <c r="D79" s="158" t="s">
        <v>572</v>
      </c>
      <c r="E79" s="159" t="s">
        <v>418</v>
      </c>
      <c r="F79" s="127">
        <v>82.8</v>
      </c>
      <c r="G79" s="160">
        <f>H79/365/F79</f>
        <v>11.911852293031567</v>
      </c>
      <c r="H79" s="231">
        <f>30000*12</f>
        <v>360000</v>
      </c>
      <c r="I79" s="123"/>
      <c r="J79" s="102">
        <f>ROUND(G79*F79*365/4,0)</f>
        <v>90000</v>
      </c>
      <c r="K79" s="101">
        <f t="shared" ref="K79:M81" si="1987">J79</f>
        <v>90000</v>
      </c>
      <c r="L79" s="131">
        <f t="shared" si="1987"/>
        <v>90000</v>
      </c>
      <c r="M79" s="131">
        <f t="shared" si="1987"/>
        <v>90000</v>
      </c>
      <c r="N79" s="103">
        <f>ROUND(M79*(1+取值表!$D$6)*取值表!$I$6,0)</f>
        <v>89602</v>
      </c>
      <c r="O79" s="131">
        <f t="shared" ref="O79:Q81" si="1988">N79</f>
        <v>89602</v>
      </c>
      <c r="P79" s="131">
        <f t="shared" si="1988"/>
        <v>89602</v>
      </c>
      <c r="Q79" s="131">
        <f t="shared" si="1988"/>
        <v>89602</v>
      </c>
      <c r="R79" s="278">
        <f>ROUND(Q79*(1+取值表!$D$6),0)</f>
        <v>94799</v>
      </c>
      <c r="S79" s="131">
        <f t="shared" ref="S79:U79" si="1989">R79</f>
        <v>94799</v>
      </c>
      <c r="T79" s="131">
        <f t="shared" si="1989"/>
        <v>94799</v>
      </c>
      <c r="U79" s="131">
        <f t="shared" si="1989"/>
        <v>94799</v>
      </c>
      <c r="V79" s="103">
        <f>ROUND(U79*(1+取值表!$D$6),0)</f>
        <v>100297</v>
      </c>
      <c r="W79" s="131">
        <f t="shared" ref="W79:Y79" si="1990">V79</f>
        <v>100297</v>
      </c>
      <c r="X79" s="131">
        <f t="shared" si="1990"/>
        <v>100297</v>
      </c>
      <c r="Y79" s="131">
        <f t="shared" si="1990"/>
        <v>100297</v>
      </c>
      <c r="Z79" s="103">
        <f>ROUND(Y79*(1+取值表!$D$6),0)</f>
        <v>106114</v>
      </c>
      <c r="AA79" s="131">
        <f t="shared" ref="AA79:AA81" si="1991">Z79</f>
        <v>106114</v>
      </c>
      <c r="AB79" s="131">
        <f t="shared" ref="AB79:AB81" si="1992">AA79</f>
        <v>106114</v>
      </c>
      <c r="AC79" s="131">
        <f t="shared" ref="AC79:AC81" si="1993">AB79</f>
        <v>106114</v>
      </c>
      <c r="AD79" s="103">
        <f>ROUND(AC79*(1+取值表!$D$6),0)</f>
        <v>112269</v>
      </c>
      <c r="AE79" s="131">
        <f t="shared" ref="AE79:AE81" si="1994">AD79</f>
        <v>112269</v>
      </c>
      <c r="AF79" s="131">
        <f t="shared" ref="AF79:AF81" si="1995">AE79</f>
        <v>112269</v>
      </c>
      <c r="AG79" s="131">
        <f t="shared" ref="AG79:AG81" si="1996">AF79</f>
        <v>112269</v>
      </c>
      <c r="AH79" s="103">
        <f>ROUND(AG79*(1+取值表!$D$6),0)</f>
        <v>118781</v>
      </c>
      <c r="AI79" s="131">
        <f t="shared" ref="AI79:AI81" si="1997">AH79</f>
        <v>118781</v>
      </c>
      <c r="AJ79" s="131">
        <f t="shared" ref="AJ79:AJ81" si="1998">AI79</f>
        <v>118781</v>
      </c>
      <c r="AK79" s="131">
        <f t="shared" ref="AK79:AK81" si="1999">AJ79</f>
        <v>118781</v>
      </c>
      <c r="AL79" s="103">
        <f>ROUND(AK79*(1+取值表!$D$6),0)</f>
        <v>125670</v>
      </c>
      <c r="AM79" s="131">
        <f t="shared" ref="AM79:AM81" si="2000">AL79</f>
        <v>125670</v>
      </c>
      <c r="AN79" s="131">
        <f t="shared" ref="AN79:AN81" si="2001">AM79</f>
        <v>125670</v>
      </c>
      <c r="AO79" s="131">
        <f t="shared" ref="AO79:AO81" si="2002">AN79</f>
        <v>125670</v>
      </c>
      <c r="AP79" s="103">
        <f>ROUND(AO79*(1+取值表!$D$6),0)</f>
        <v>132959</v>
      </c>
      <c r="AQ79" s="131">
        <f t="shared" ref="AQ79:AQ81" si="2003">AP79</f>
        <v>132959</v>
      </c>
      <c r="AR79" s="131">
        <f t="shared" ref="AR79:AR81" si="2004">AQ79</f>
        <v>132959</v>
      </c>
      <c r="AS79" s="131">
        <f t="shared" ref="AS79:AS81" si="2005">AR79</f>
        <v>132959</v>
      </c>
      <c r="AT79" s="103">
        <f>ROUND(AS79*(1+取值表!$D$6),0)</f>
        <v>140671</v>
      </c>
      <c r="AU79" s="131">
        <f t="shared" ref="AU79:AU81" si="2006">AT79</f>
        <v>140671</v>
      </c>
      <c r="AV79" s="131">
        <f t="shared" ref="AV79:AV81" si="2007">AU79</f>
        <v>140671</v>
      </c>
      <c r="AW79" s="131">
        <f t="shared" ref="AW79:AW81" si="2008">AV79</f>
        <v>140671</v>
      </c>
      <c r="AX79" s="103">
        <f>ROUND(AW79*(1+取值表!$D$6),0)</f>
        <v>148830</v>
      </c>
      <c r="AY79" s="131">
        <f t="shared" ref="AY79:AY81" si="2009">AX79</f>
        <v>148830</v>
      </c>
      <c r="AZ79" s="131">
        <f t="shared" ref="AZ79:AZ81" si="2010">AY79</f>
        <v>148830</v>
      </c>
      <c r="BA79" s="131">
        <f t="shared" ref="BA79:BA81" si="2011">AZ79</f>
        <v>148830</v>
      </c>
      <c r="BB79" s="103">
        <f>ROUND(BA79*(1+取值表!$D$6),0)</f>
        <v>157462</v>
      </c>
      <c r="BC79" s="131">
        <f t="shared" ref="BC79:BC81" si="2012">BB79</f>
        <v>157462</v>
      </c>
      <c r="BD79" s="131">
        <f t="shared" ref="BD79:BD81" si="2013">BC79</f>
        <v>157462</v>
      </c>
      <c r="BE79" s="131">
        <f t="shared" ref="BE79:BE81" si="2014">BD79</f>
        <v>157462</v>
      </c>
      <c r="BF79" s="103">
        <f>ROUND(BE79*(1+取值表!$D$6),0)</f>
        <v>166595</v>
      </c>
      <c r="BG79" s="131">
        <f t="shared" ref="BG79:BG81" si="2015">BF79</f>
        <v>166595</v>
      </c>
      <c r="BH79" s="131">
        <f t="shared" ref="BH79:BH81" si="2016">BG79</f>
        <v>166595</v>
      </c>
      <c r="BI79" s="131">
        <f t="shared" ref="BI79:BI81" si="2017">BH79</f>
        <v>166595</v>
      </c>
      <c r="BJ79" s="103">
        <f>ROUND(BI79*(1+取值表!$D$6),0)</f>
        <v>176258</v>
      </c>
      <c r="BK79" s="131">
        <f t="shared" ref="BK79:BK81" si="2018">BJ79</f>
        <v>176258</v>
      </c>
      <c r="BL79" s="131">
        <f t="shared" ref="BL79:BL81" si="2019">BK79</f>
        <v>176258</v>
      </c>
      <c r="BM79" s="131">
        <f t="shared" ref="BM79:BM81" si="2020">BL79</f>
        <v>176258</v>
      </c>
      <c r="BN79" s="103">
        <f>ROUND(BM79*(1+取值表!$D$6),0)</f>
        <v>186481</v>
      </c>
      <c r="BO79" s="131">
        <f t="shared" ref="BO79:BO81" si="2021">BN79</f>
        <v>186481</v>
      </c>
      <c r="BP79" s="131">
        <f t="shared" ref="BP79:BP81" si="2022">BO79</f>
        <v>186481</v>
      </c>
      <c r="BQ79" s="131">
        <f t="shared" ref="BQ79:BQ81" si="2023">BP79</f>
        <v>186481</v>
      </c>
      <c r="BR79" s="103">
        <f>ROUND(BQ79*(1+取值表!$D$6),0)</f>
        <v>197297</v>
      </c>
      <c r="BS79" s="131">
        <f t="shared" ref="BS79:BS81" si="2024">BR79</f>
        <v>197297</v>
      </c>
      <c r="BT79" s="131">
        <f t="shared" ref="BT79:BT81" si="2025">BS79</f>
        <v>197297</v>
      </c>
      <c r="BU79" s="131">
        <f t="shared" ref="BU79:BU81" si="2026">BT79</f>
        <v>197297</v>
      </c>
      <c r="BV79" s="103">
        <f>ROUND(BU79*(1+取值表!$D$6),0)</f>
        <v>208740</v>
      </c>
      <c r="BW79" s="131">
        <f t="shared" ref="BW79:BW81" si="2027">BV79</f>
        <v>208740</v>
      </c>
      <c r="BX79" s="131">
        <f t="shared" ref="BX79:BX81" si="2028">BW79</f>
        <v>208740</v>
      </c>
      <c r="BY79" s="131">
        <f t="shared" ref="BY79:BY81" si="2029">BX79</f>
        <v>208740</v>
      </c>
      <c r="BZ79" s="103">
        <f>ROUND(BY79*(1+取值表!$D$6),0)</f>
        <v>220847</v>
      </c>
      <c r="CA79" s="131">
        <f t="shared" ref="CA79:CA81" si="2030">BZ79</f>
        <v>220847</v>
      </c>
      <c r="CB79" s="131">
        <f t="shared" ref="CB79:CB81" si="2031">CA79</f>
        <v>220847</v>
      </c>
      <c r="CC79" s="131">
        <f t="shared" ref="CC79:CC81" si="2032">CB79</f>
        <v>220847</v>
      </c>
      <c r="CD79" s="103">
        <f>ROUND(CC79*(1+取值表!$D$6),0)</f>
        <v>233656</v>
      </c>
      <c r="CE79" s="131">
        <f t="shared" ref="CE79:CE81" si="2033">CD79</f>
        <v>233656</v>
      </c>
      <c r="CF79" s="131">
        <f t="shared" ref="CF79:CF81" si="2034">CE79</f>
        <v>233656</v>
      </c>
      <c r="CG79" s="131">
        <f t="shared" ref="CG79:CG81" si="2035">CF79</f>
        <v>233656</v>
      </c>
      <c r="CH79" s="103">
        <f>ROUND(CG79*(1+取值表!$D$6),0)</f>
        <v>247208</v>
      </c>
      <c r="CI79" s="131">
        <f t="shared" ref="CI79:CI81" si="2036">CH79</f>
        <v>247208</v>
      </c>
      <c r="CJ79" s="131">
        <f t="shared" ref="CJ79:CJ81" si="2037">CI79</f>
        <v>247208</v>
      </c>
      <c r="CK79" s="131">
        <f t="shared" ref="CK79:CK81" si="2038">CJ79</f>
        <v>247208</v>
      </c>
      <c r="CL79" s="103">
        <f>ROUND(CK79*(1+取值表!$D$6),0)</f>
        <v>261546</v>
      </c>
      <c r="CM79" s="131">
        <f t="shared" ref="CM79:CM81" si="2039">CL79</f>
        <v>261546</v>
      </c>
      <c r="CN79" s="131">
        <f t="shared" ref="CN79:CN81" si="2040">CM79</f>
        <v>261546</v>
      </c>
      <c r="CO79" s="131">
        <f t="shared" ref="CO79:CO81" si="2041">CN79</f>
        <v>261546</v>
      </c>
      <c r="CP79" s="103">
        <f t="shared" si="1718"/>
        <v>13264328</v>
      </c>
      <c r="CQ79" s="161"/>
      <c r="CR79" s="161"/>
      <c r="CS79" s="161"/>
      <c r="CT79" s="161"/>
      <c r="CU79" s="161"/>
      <c r="CV79" s="161"/>
      <c r="CW79" s="161"/>
      <c r="CX79" s="161"/>
      <c r="CY79" s="161"/>
      <c r="CZ79" s="161"/>
      <c r="DA79" s="161"/>
      <c r="DB79" s="161"/>
      <c r="DC79" s="162"/>
      <c r="DD79" s="123"/>
      <c r="DE79" s="123"/>
      <c r="DF79" s="123"/>
      <c r="DG79" s="123"/>
      <c r="DH79" s="123"/>
      <c r="DI79" s="123"/>
      <c r="DJ79" s="123"/>
      <c r="DK79" s="123"/>
      <c r="DL79" s="123"/>
      <c r="DM79" s="123"/>
      <c r="DN79" s="123"/>
      <c r="DO79" s="123"/>
      <c r="DP79" s="123"/>
      <c r="DQ79" s="123"/>
      <c r="DR79" s="123"/>
      <c r="DS79" s="123"/>
      <c r="DT79" s="123"/>
      <c r="DU79" s="123"/>
      <c r="DV79" s="123"/>
      <c r="DW79" s="123"/>
      <c r="DX79" s="123"/>
      <c r="DY79" s="123"/>
      <c r="DZ79" s="123"/>
      <c r="EA79" s="123"/>
      <c r="EB79" s="123"/>
      <c r="EC79" s="123"/>
      <c r="ED79" s="123"/>
      <c r="HD79" s="129"/>
    </row>
    <row r="80" spans="1:212" s="70" customFormat="1" ht="21" customHeight="1">
      <c r="A80" s="123">
        <v>40</v>
      </c>
      <c r="B80" s="157" t="s">
        <v>1126</v>
      </c>
      <c r="C80" s="26" t="s">
        <v>1128</v>
      </c>
      <c r="D80" s="158" t="s">
        <v>573</v>
      </c>
      <c r="E80" s="159" t="s">
        <v>418</v>
      </c>
      <c r="F80" s="127">
        <v>79.349999999999994</v>
      </c>
      <c r="G80" s="160">
        <f>H80/365/F80</f>
        <v>14.915710697361266</v>
      </c>
      <c r="H80" s="231">
        <f>36000*12</f>
        <v>432000</v>
      </c>
      <c r="I80" s="123"/>
      <c r="J80" s="102">
        <f>ROUND(G80*F80*365/4,0)</f>
        <v>108000</v>
      </c>
      <c r="K80" s="131">
        <f t="shared" si="1987"/>
        <v>108000</v>
      </c>
      <c r="L80" s="131">
        <f t="shared" si="1987"/>
        <v>108000</v>
      </c>
      <c r="M80" s="131">
        <f t="shared" si="1987"/>
        <v>108000</v>
      </c>
      <c r="N80" s="103">
        <f>ROUND(M80*(1+取值表!$D$6)*取值表!$I$6,0)</f>
        <v>107522</v>
      </c>
      <c r="O80" s="131">
        <f t="shared" si="1988"/>
        <v>107522</v>
      </c>
      <c r="P80" s="131">
        <f t="shared" si="1988"/>
        <v>107522</v>
      </c>
      <c r="Q80" s="131">
        <f t="shared" si="1988"/>
        <v>107522</v>
      </c>
      <c r="R80" s="278">
        <f>ROUND(Q80*(1+取值表!$D$6),0)</f>
        <v>113758</v>
      </c>
      <c r="S80" s="131">
        <f t="shared" ref="S80:U80" si="2042">R80</f>
        <v>113758</v>
      </c>
      <c r="T80" s="131">
        <f t="shared" si="2042"/>
        <v>113758</v>
      </c>
      <c r="U80" s="131">
        <f t="shared" si="2042"/>
        <v>113758</v>
      </c>
      <c r="V80" s="103">
        <f>ROUND(U80*(1+取值表!$D$6),0)</f>
        <v>120356</v>
      </c>
      <c r="W80" s="131">
        <f t="shared" ref="W80:Y80" si="2043">V80</f>
        <v>120356</v>
      </c>
      <c r="X80" s="131">
        <f t="shared" si="2043"/>
        <v>120356</v>
      </c>
      <c r="Y80" s="131">
        <f t="shared" si="2043"/>
        <v>120356</v>
      </c>
      <c r="Z80" s="103">
        <f>ROUND(Y80*(1+取值表!$D$6),0)</f>
        <v>127337</v>
      </c>
      <c r="AA80" s="131">
        <f t="shared" si="1991"/>
        <v>127337</v>
      </c>
      <c r="AB80" s="131">
        <f t="shared" si="1992"/>
        <v>127337</v>
      </c>
      <c r="AC80" s="131">
        <f t="shared" si="1993"/>
        <v>127337</v>
      </c>
      <c r="AD80" s="103">
        <f>ROUND(AC80*(1+取值表!$D$6),0)</f>
        <v>134723</v>
      </c>
      <c r="AE80" s="131">
        <f t="shared" si="1994"/>
        <v>134723</v>
      </c>
      <c r="AF80" s="131">
        <f t="shared" si="1995"/>
        <v>134723</v>
      </c>
      <c r="AG80" s="131">
        <f t="shared" si="1996"/>
        <v>134723</v>
      </c>
      <c r="AH80" s="103">
        <f>ROUND(AG80*(1+取值表!$D$6),0)</f>
        <v>142537</v>
      </c>
      <c r="AI80" s="131">
        <f t="shared" si="1997"/>
        <v>142537</v>
      </c>
      <c r="AJ80" s="131">
        <f t="shared" si="1998"/>
        <v>142537</v>
      </c>
      <c r="AK80" s="131">
        <f t="shared" si="1999"/>
        <v>142537</v>
      </c>
      <c r="AL80" s="103">
        <f>ROUND(AK80*(1+取值表!$D$6),0)</f>
        <v>150804</v>
      </c>
      <c r="AM80" s="131">
        <f t="shared" si="2000"/>
        <v>150804</v>
      </c>
      <c r="AN80" s="131">
        <f t="shared" si="2001"/>
        <v>150804</v>
      </c>
      <c r="AO80" s="131">
        <f t="shared" si="2002"/>
        <v>150804</v>
      </c>
      <c r="AP80" s="103">
        <f>ROUND(AO80*(1+取值表!$D$6),0)</f>
        <v>159551</v>
      </c>
      <c r="AQ80" s="131">
        <f t="shared" si="2003"/>
        <v>159551</v>
      </c>
      <c r="AR80" s="131">
        <f t="shared" si="2004"/>
        <v>159551</v>
      </c>
      <c r="AS80" s="131">
        <f t="shared" si="2005"/>
        <v>159551</v>
      </c>
      <c r="AT80" s="103">
        <f>ROUND(AS80*(1+取值表!$D$6),0)</f>
        <v>168805</v>
      </c>
      <c r="AU80" s="131">
        <f t="shared" si="2006"/>
        <v>168805</v>
      </c>
      <c r="AV80" s="131">
        <f t="shared" si="2007"/>
        <v>168805</v>
      </c>
      <c r="AW80" s="131">
        <f t="shared" si="2008"/>
        <v>168805</v>
      </c>
      <c r="AX80" s="103">
        <f>ROUND(AW80*(1+取值表!$D$6),0)</f>
        <v>178596</v>
      </c>
      <c r="AY80" s="131">
        <f t="shared" si="2009"/>
        <v>178596</v>
      </c>
      <c r="AZ80" s="131">
        <f t="shared" si="2010"/>
        <v>178596</v>
      </c>
      <c r="BA80" s="131">
        <f t="shared" si="2011"/>
        <v>178596</v>
      </c>
      <c r="BB80" s="103">
        <f>ROUND(BA80*(1+取值表!$D$6),0)</f>
        <v>188955</v>
      </c>
      <c r="BC80" s="131">
        <f t="shared" si="2012"/>
        <v>188955</v>
      </c>
      <c r="BD80" s="131">
        <f t="shared" si="2013"/>
        <v>188955</v>
      </c>
      <c r="BE80" s="131">
        <f t="shared" si="2014"/>
        <v>188955</v>
      </c>
      <c r="BF80" s="103">
        <f>ROUND(BE80*(1+取值表!$D$6),0)</f>
        <v>199914</v>
      </c>
      <c r="BG80" s="131">
        <f t="shared" si="2015"/>
        <v>199914</v>
      </c>
      <c r="BH80" s="131">
        <f t="shared" si="2016"/>
        <v>199914</v>
      </c>
      <c r="BI80" s="131">
        <f t="shared" si="2017"/>
        <v>199914</v>
      </c>
      <c r="BJ80" s="103">
        <f>ROUND(BI80*(1+取值表!$D$6),0)</f>
        <v>211509</v>
      </c>
      <c r="BK80" s="131">
        <f t="shared" si="2018"/>
        <v>211509</v>
      </c>
      <c r="BL80" s="131">
        <f t="shared" si="2019"/>
        <v>211509</v>
      </c>
      <c r="BM80" s="131">
        <f t="shared" si="2020"/>
        <v>211509</v>
      </c>
      <c r="BN80" s="103">
        <f>ROUND(BM80*(1+取值表!$D$6),0)</f>
        <v>223777</v>
      </c>
      <c r="BO80" s="131">
        <f t="shared" si="2021"/>
        <v>223777</v>
      </c>
      <c r="BP80" s="131">
        <f t="shared" si="2022"/>
        <v>223777</v>
      </c>
      <c r="BQ80" s="131">
        <f t="shared" si="2023"/>
        <v>223777</v>
      </c>
      <c r="BR80" s="103">
        <f>ROUND(BQ80*(1+取值表!$D$6),0)</f>
        <v>236756</v>
      </c>
      <c r="BS80" s="131">
        <f t="shared" si="2024"/>
        <v>236756</v>
      </c>
      <c r="BT80" s="131">
        <f t="shared" si="2025"/>
        <v>236756</v>
      </c>
      <c r="BU80" s="131">
        <f t="shared" si="2026"/>
        <v>236756</v>
      </c>
      <c r="BV80" s="103">
        <f>ROUND(BU80*(1+取值表!$D$6),0)</f>
        <v>250488</v>
      </c>
      <c r="BW80" s="131">
        <f t="shared" si="2027"/>
        <v>250488</v>
      </c>
      <c r="BX80" s="131">
        <f t="shared" si="2028"/>
        <v>250488</v>
      </c>
      <c r="BY80" s="131">
        <f t="shared" si="2029"/>
        <v>250488</v>
      </c>
      <c r="BZ80" s="103">
        <f>ROUND(BY80*(1+取值表!$D$6),0)</f>
        <v>265016</v>
      </c>
      <c r="CA80" s="131">
        <f t="shared" si="2030"/>
        <v>265016</v>
      </c>
      <c r="CB80" s="131">
        <f t="shared" si="2031"/>
        <v>265016</v>
      </c>
      <c r="CC80" s="131">
        <f t="shared" si="2032"/>
        <v>265016</v>
      </c>
      <c r="CD80" s="103">
        <f>ROUND(CC80*(1+取值表!$D$6),0)</f>
        <v>280387</v>
      </c>
      <c r="CE80" s="131">
        <f t="shared" si="2033"/>
        <v>280387</v>
      </c>
      <c r="CF80" s="131">
        <f t="shared" si="2034"/>
        <v>280387</v>
      </c>
      <c r="CG80" s="131">
        <f t="shared" si="2035"/>
        <v>280387</v>
      </c>
      <c r="CH80" s="103">
        <f>ROUND(CG80*(1+取值表!$D$6),0)</f>
        <v>296649</v>
      </c>
      <c r="CI80" s="131">
        <f t="shared" si="2036"/>
        <v>296649</v>
      </c>
      <c r="CJ80" s="131">
        <f t="shared" si="2037"/>
        <v>296649</v>
      </c>
      <c r="CK80" s="131">
        <f t="shared" si="2038"/>
        <v>296649</v>
      </c>
      <c r="CL80" s="103">
        <f>ROUND(CK80*(1+取值表!$D$6),0)</f>
        <v>313855</v>
      </c>
      <c r="CM80" s="131">
        <f t="shared" si="2039"/>
        <v>313855</v>
      </c>
      <c r="CN80" s="131">
        <f t="shared" si="2040"/>
        <v>313855</v>
      </c>
      <c r="CO80" s="131">
        <f t="shared" si="2041"/>
        <v>313855</v>
      </c>
      <c r="CP80" s="103">
        <f t="shared" si="1718"/>
        <v>15917180</v>
      </c>
      <c r="CQ80" s="161"/>
      <c r="CR80" s="161"/>
      <c r="CS80" s="161"/>
      <c r="CT80" s="161"/>
      <c r="CU80" s="161"/>
      <c r="CV80" s="161"/>
      <c r="CW80" s="161"/>
      <c r="CX80" s="161"/>
      <c r="CY80" s="161"/>
      <c r="CZ80" s="161"/>
      <c r="DA80" s="161"/>
      <c r="DB80" s="161"/>
      <c r="HD80" s="129"/>
    </row>
    <row r="81" spans="1:212" s="70" customFormat="1" ht="21" customHeight="1">
      <c r="A81" s="163">
        <v>41</v>
      </c>
      <c r="B81" s="164" t="s">
        <v>1272</v>
      </c>
      <c r="C81" s="27" t="s">
        <v>989</v>
      </c>
      <c r="D81" s="165" t="s">
        <v>988</v>
      </c>
      <c r="E81" s="159" t="s">
        <v>990</v>
      </c>
      <c r="F81" s="127">
        <f>基础资料!H26-6121.84</f>
        <v>318.6299999999992</v>
      </c>
      <c r="G81" s="166">
        <v>14.24</v>
      </c>
      <c r="H81" s="231">
        <f>G81*F81*365</f>
        <v>1656111.287999996</v>
      </c>
      <c r="I81" s="123"/>
      <c r="J81" s="129">
        <f>ROUND(G81*F81*365/4*取值表!I6,0)</f>
        <v>389600</v>
      </c>
      <c r="K81" s="167">
        <f t="shared" si="1987"/>
        <v>389600</v>
      </c>
      <c r="L81" s="167">
        <f t="shared" si="1987"/>
        <v>389600</v>
      </c>
      <c r="M81" s="167">
        <f t="shared" si="1987"/>
        <v>389600</v>
      </c>
      <c r="N81" s="278">
        <f>ROUND(M81*(1+取值表!$D$6),0)</f>
        <v>412197</v>
      </c>
      <c r="O81" s="131">
        <f t="shared" si="1988"/>
        <v>412197</v>
      </c>
      <c r="P81" s="131">
        <f t="shared" si="1988"/>
        <v>412197</v>
      </c>
      <c r="Q81" s="131">
        <f t="shared" si="1988"/>
        <v>412197</v>
      </c>
      <c r="R81" s="103">
        <f>ROUND(Q81*(1+取值表!$D$6),0)</f>
        <v>436104</v>
      </c>
      <c r="S81" s="131">
        <f t="shared" ref="S81:U81" si="2044">R81</f>
        <v>436104</v>
      </c>
      <c r="T81" s="131">
        <f t="shared" si="2044"/>
        <v>436104</v>
      </c>
      <c r="U81" s="131">
        <f t="shared" si="2044"/>
        <v>436104</v>
      </c>
      <c r="V81" s="103">
        <f>ROUND(U81*(1+取值表!$D$6),0)</f>
        <v>461398</v>
      </c>
      <c r="W81" s="131">
        <f t="shared" ref="W81:Y81" si="2045">V81</f>
        <v>461398</v>
      </c>
      <c r="X81" s="131">
        <f t="shared" si="2045"/>
        <v>461398</v>
      </c>
      <c r="Y81" s="131">
        <f t="shared" si="2045"/>
        <v>461398</v>
      </c>
      <c r="Z81" s="103">
        <f>ROUND(Y81*(1+取值表!$D$6),0)</f>
        <v>488159</v>
      </c>
      <c r="AA81" s="131">
        <f t="shared" si="1991"/>
        <v>488159</v>
      </c>
      <c r="AB81" s="131">
        <f t="shared" si="1992"/>
        <v>488159</v>
      </c>
      <c r="AC81" s="131">
        <f t="shared" si="1993"/>
        <v>488159</v>
      </c>
      <c r="AD81" s="103">
        <f>ROUND(AC81*(1+取值表!$D$6),0)</f>
        <v>516472</v>
      </c>
      <c r="AE81" s="131">
        <f t="shared" si="1994"/>
        <v>516472</v>
      </c>
      <c r="AF81" s="131">
        <f t="shared" si="1995"/>
        <v>516472</v>
      </c>
      <c r="AG81" s="131">
        <f t="shared" si="1996"/>
        <v>516472</v>
      </c>
      <c r="AH81" s="103">
        <f>ROUND(AG81*(1+取值表!$D$6),0)</f>
        <v>546427</v>
      </c>
      <c r="AI81" s="131">
        <f t="shared" si="1997"/>
        <v>546427</v>
      </c>
      <c r="AJ81" s="131">
        <f t="shared" si="1998"/>
        <v>546427</v>
      </c>
      <c r="AK81" s="131">
        <f t="shared" si="1999"/>
        <v>546427</v>
      </c>
      <c r="AL81" s="103">
        <f>ROUND(AK81*(1+取值表!$D$6),0)</f>
        <v>578120</v>
      </c>
      <c r="AM81" s="131">
        <f t="shared" si="2000"/>
        <v>578120</v>
      </c>
      <c r="AN81" s="131">
        <f t="shared" si="2001"/>
        <v>578120</v>
      </c>
      <c r="AO81" s="131">
        <f t="shared" si="2002"/>
        <v>578120</v>
      </c>
      <c r="AP81" s="103">
        <f>ROUND(AO81*(1+取值表!$D$6),0)</f>
        <v>611651</v>
      </c>
      <c r="AQ81" s="131">
        <f t="shared" si="2003"/>
        <v>611651</v>
      </c>
      <c r="AR81" s="131">
        <f t="shared" si="2004"/>
        <v>611651</v>
      </c>
      <c r="AS81" s="131">
        <f t="shared" si="2005"/>
        <v>611651</v>
      </c>
      <c r="AT81" s="103">
        <f>ROUND(AS81*(1+取值表!$D$6),0)</f>
        <v>647127</v>
      </c>
      <c r="AU81" s="131">
        <f t="shared" si="2006"/>
        <v>647127</v>
      </c>
      <c r="AV81" s="131">
        <f t="shared" si="2007"/>
        <v>647127</v>
      </c>
      <c r="AW81" s="131">
        <f t="shared" si="2008"/>
        <v>647127</v>
      </c>
      <c r="AX81" s="103">
        <f>ROUND(AW81*(1+取值表!$D$6),0)</f>
        <v>684660</v>
      </c>
      <c r="AY81" s="131">
        <f t="shared" si="2009"/>
        <v>684660</v>
      </c>
      <c r="AZ81" s="131">
        <f t="shared" si="2010"/>
        <v>684660</v>
      </c>
      <c r="BA81" s="131">
        <f t="shared" si="2011"/>
        <v>684660</v>
      </c>
      <c r="BB81" s="103">
        <f>ROUND(BA81*(1+取值表!$D$6),0)</f>
        <v>724370</v>
      </c>
      <c r="BC81" s="131">
        <f t="shared" si="2012"/>
        <v>724370</v>
      </c>
      <c r="BD81" s="131">
        <f t="shared" si="2013"/>
        <v>724370</v>
      </c>
      <c r="BE81" s="131">
        <f t="shared" si="2014"/>
        <v>724370</v>
      </c>
      <c r="BF81" s="103">
        <f>ROUND(BE81*(1+取值表!$D$6),0)</f>
        <v>766383</v>
      </c>
      <c r="BG81" s="131">
        <f t="shared" si="2015"/>
        <v>766383</v>
      </c>
      <c r="BH81" s="131">
        <f t="shared" si="2016"/>
        <v>766383</v>
      </c>
      <c r="BI81" s="131">
        <f t="shared" si="2017"/>
        <v>766383</v>
      </c>
      <c r="BJ81" s="103">
        <f>ROUND(BI81*(1+取值表!$D$6),0)</f>
        <v>810833</v>
      </c>
      <c r="BK81" s="131">
        <f t="shared" si="2018"/>
        <v>810833</v>
      </c>
      <c r="BL81" s="131">
        <f t="shared" si="2019"/>
        <v>810833</v>
      </c>
      <c r="BM81" s="131">
        <f t="shared" si="2020"/>
        <v>810833</v>
      </c>
      <c r="BN81" s="103">
        <f>ROUND(BM81*(1+取值表!$D$6),0)</f>
        <v>857861</v>
      </c>
      <c r="BO81" s="131">
        <f t="shared" si="2021"/>
        <v>857861</v>
      </c>
      <c r="BP81" s="131">
        <f t="shared" si="2022"/>
        <v>857861</v>
      </c>
      <c r="BQ81" s="131">
        <f t="shared" si="2023"/>
        <v>857861</v>
      </c>
      <c r="BR81" s="103">
        <f>ROUND(BQ81*(1+取值表!$D$6),0)</f>
        <v>907617</v>
      </c>
      <c r="BS81" s="131">
        <f t="shared" si="2024"/>
        <v>907617</v>
      </c>
      <c r="BT81" s="131">
        <f t="shared" si="2025"/>
        <v>907617</v>
      </c>
      <c r="BU81" s="131">
        <f t="shared" si="2026"/>
        <v>907617</v>
      </c>
      <c r="BV81" s="103">
        <f>ROUND(BU81*(1+取值表!$D$6),0)</f>
        <v>960259</v>
      </c>
      <c r="BW81" s="131">
        <f t="shared" si="2027"/>
        <v>960259</v>
      </c>
      <c r="BX81" s="131">
        <f t="shared" si="2028"/>
        <v>960259</v>
      </c>
      <c r="BY81" s="131">
        <f t="shared" si="2029"/>
        <v>960259</v>
      </c>
      <c r="BZ81" s="103">
        <f>ROUND(BY81*(1+取值表!$D$6),0)</f>
        <v>1015954</v>
      </c>
      <c r="CA81" s="131">
        <f t="shared" si="2030"/>
        <v>1015954</v>
      </c>
      <c r="CB81" s="131">
        <f t="shared" si="2031"/>
        <v>1015954</v>
      </c>
      <c r="CC81" s="131">
        <f t="shared" si="2032"/>
        <v>1015954</v>
      </c>
      <c r="CD81" s="103">
        <f>ROUND(CC81*(1+取值表!$D$6),0)</f>
        <v>1074879</v>
      </c>
      <c r="CE81" s="131">
        <f t="shared" si="2033"/>
        <v>1074879</v>
      </c>
      <c r="CF81" s="131">
        <f t="shared" si="2034"/>
        <v>1074879</v>
      </c>
      <c r="CG81" s="131">
        <f t="shared" si="2035"/>
        <v>1074879</v>
      </c>
      <c r="CH81" s="103">
        <f>ROUND(CG81*(1+取值表!$D$6),0)</f>
        <v>1137222</v>
      </c>
      <c r="CI81" s="131">
        <f t="shared" si="2036"/>
        <v>1137222</v>
      </c>
      <c r="CJ81" s="131">
        <f t="shared" si="2037"/>
        <v>1137222</v>
      </c>
      <c r="CK81" s="131">
        <f t="shared" si="2038"/>
        <v>1137222</v>
      </c>
      <c r="CL81" s="103">
        <f>ROUND(CK81*(1+取值表!$D$6),0)</f>
        <v>1203181</v>
      </c>
      <c r="CM81" s="131">
        <f t="shared" si="2039"/>
        <v>1203181</v>
      </c>
      <c r="CN81" s="131">
        <f t="shared" si="2040"/>
        <v>1203181</v>
      </c>
      <c r="CO81" s="131">
        <f t="shared" si="2041"/>
        <v>1203181</v>
      </c>
      <c r="CP81" s="103">
        <f t="shared" si="1718"/>
        <v>60921896</v>
      </c>
      <c r="HD81" s="129"/>
    </row>
    <row r="82" spans="1:212" ht="21" customHeight="1">
      <c r="A82" s="627" t="s">
        <v>952</v>
      </c>
      <c r="B82" s="628"/>
      <c r="C82" s="628"/>
      <c r="D82" s="629"/>
      <c r="E82" s="112"/>
      <c r="F82" s="99">
        <f>SUM(F3:F81)</f>
        <v>6440.47</v>
      </c>
      <c r="G82" s="100">
        <f>ROUND(H82/365/F82,2)</f>
        <v>14.24</v>
      </c>
      <c r="H82" s="232">
        <f>SUM(H3:H81)</f>
        <v>33480722.800999995</v>
      </c>
      <c r="I82" s="99">
        <f>ROUND(SUM(I3:I81),0)</f>
        <v>6581560</v>
      </c>
      <c r="J82" s="99">
        <f>SUM(J3:J81)</f>
        <v>8356823</v>
      </c>
      <c r="K82" s="99">
        <f t="shared" ref="K82:BE82" si="2046">SUM(K3:K81)</f>
        <v>8356823</v>
      </c>
      <c r="L82" s="99">
        <f t="shared" si="2046"/>
        <v>8390958</v>
      </c>
      <c r="M82" s="99">
        <f t="shared" si="2046"/>
        <v>8410882</v>
      </c>
      <c r="N82" s="99">
        <f t="shared" si="2046"/>
        <v>8415903</v>
      </c>
      <c r="O82" s="99">
        <f t="shared" si="2046"/>
        <v>8415903</v>
      </c>
      <c r="P82" s="99">
        <f t="shared" si="2046"/>
        <v>8458441</v>
      </c>
      <c r="Q82" s="99">
        <f t="shared" si="2046"/>
        <v>8458441</v>
      </c>
      <c r="R82" s="99">
        <f t="shared" si="2046"/>
        <v>8832970</v>
      </c>
      <c r="S82" s="99">
        <f t="shared" si="2046"/>
        <v>8832970</v>
      </c>
      <c r="T82" s="99">
        <f t="shared" si="2046"/>
        <v>8832970</v>
      </c>
      <c r="U82" s="99">
        <f t="shared" si="2046"/>
        <v>8832970</v>
      </c>
      <c r="V82" s="99">
        <f t="shared" si="2046"/>
        <v>9292296</v>
      </c>
      <c r="W82" s="99">
        <f t="shared" si="2046"/>
        <v>9292296</v>
      </c>
      <c r="X82" s="99">
        <f t="shared" si="2046"/>
        <v>9292296</v>
      </c>
      <c r="Y82" s="99">
        <f t="shared" si="2046"/>
        <v>9292296</v>
      </c>
      <c r="Z82" s="99">
        <f t="shared" si="2046"/>
        <v>9786683</v>
      </c>
      <c r="AA82" s="99">
        <f t="shared" si="2046"/>
        <v>9786683</v>
      </c>
      <c r="AB82" s="99">
        <f t="shared" si="2046"/>
        <v>9786683</v>
      </c>
      <c r="AC82" s="99">
        <f t="shared" si="2046"/>
        <v>9786683</v>
      </c>
      <c r="AD82" s="99">
        <f t="shared" si="2046"/>
        <v>10344509</v>
      </c>
      <c r="AE82" s="99">
        <f t="shared" si="2046"/>
        <v>10344509</v>
      </c>
      <c r="AF82" s="99">
        <f t="shared" si="2046"/>
        <v>10344509</v>
      </c>
      <c r="AG82" s="99">
        <f t="shared" si="2046"/>
        <v>10344509</v>
      </c>
      <c r="AH82" s="99">
        <f t="shared" si="2046"/>
        <v>10933945</v>
      </c>
      <c r="AI82" s="99">
        <f t="shared" si="2046"/>
        <v>10933945</v>
      </c>
      <c r="AJ82" s="99">
        <f t="shared" si="2046"/>
        <v>10933945</v>
      </c>
      <c r="AK82" s="99">
        <f t="shared" si="2046"/>
        <v>10933945</v>
      </c>
      <c r="AL82" s="99">
        <f t="shared" si="2046"/>
        <v>11568115</v>
      </c>
      <c r="AM82" s="99">
        <f t="shared" si="2046"/>
        <v>11568115</v>
      </c>
      <c r="AN82" s="99">
        <f t="shared" si="2046"/>
        <v>11568115</v>
      </c>
      <c r="AO82" s="99">
        <f t="shared" si="2046"/>
        <v>11568115</v>
      </c>
      <c r="AP82" s="99">
        <f t="shared" si="2046"/>
        <v>12239067</v>
      </c>
      <c r="AQ82" s="99">
        <f t="shared" si="2046"/>
        <v>12239067</v>
      </c>
      <c r="AR82" s="99">
        <f t="shared" si="2046"/>
        <v>12239067</v>
      </c>
      <c r="AS82" s="99">
        <f t="shared" si="2046"/>
        <v>12239067</v>
      </c>
      <c r="AT82" s="99">
        <f t="shared" si="2046"/>
        <v>12948932</v>
      </c>
      <c r="AU82" s="99">
        <f t="shared" si="2046"/>
        <v>12948932</v>
      </c>
      <c r="AV82" s="99">
        <f t="shared" si="2046"/>
        <v>12948932</v>
      </c>
      <c r="AW82" s="99">
        <f t="shared" si="2046"/>
        <v>12948932</v>
      </c>
      <c r="AX82" s="99">
        <f t="shared" si="2046"/>
        <v>13699969</v>
      </c>
      <c r="AY82" s="99">
        <f t="shared" si="2046"/>
        <v>13699969</v>
      </c>
      <c r="AZ82" s="99">
        <f t="shared" si="2046"/>
        <v>13699969</v>
      </c>
      <c r="BA82" s="99">
        <f t="shared" si="2046"/>
        <v>13699969</v>
      </c>
      <c r="BB82" s="99">
        <f t="shared" si="2046"/>
        <v>14494569</v>
      </c>
      <c r="BC82" s="99">
        <f t="shared" si="2046"/>
        <v>14494569</v>
      </c>
      <c r="BD82" s="99">
        <f t="shared" si="2046"/>
        <v>14494569</v>
      </c>
      <c r="BE82" s="99">
        <f t="shared" si="2046"/>
        <v>14494569</v>
      </c>
      <c r="BF82" s="99">
        <f>SUM(BF3:BF81)</f>
        <v>15335251</v>
      </c>
      <c r="BG82" s="221">
        <f t="shared" ref="BG82:CO82" si="2047">SUM(BG3:BG81)</f>
        <v>15335251</v>
      </c>
      <c r="BH82" s="221">
        <f t="shared" si="2047"/>
        <v>15335251</v>
      </c>
      <c r="BI82" s="221">
        <f t="shared" si="2047"/>
        <v>15335251</v>
      </c>
      <c r="BJ82" s="221">
        <f t="shared" si="2047"/>
        <v>16224695</v>
      </c>
      <c r="BK82" s="221">
        <f t="shared" ref="BK82:BW82" si="2048">SUM(BK3:BK81)</f>
        <v>16224695</v>
      </c>
      <c r="BL82" s="221">
        <f t="shared" si="2048"/>
        <v>16224695</v>
      </c>
      <c r="BM82" s="221">
        <f t="shared" si="2048"/>
        <v>16224695</v>
      </c>
      <c r="BN82" s="221">
        <f t="shared" si="2048"/>
        <v>17165728</v>
      </c>
      <c r="BO82" s="221">
        <f t="shared" si="2048"/>
        <v>17165728</v>
      </c>
      <c r="BP82" s="221">
        <f t="shared" si="2048"/>
        <v>17165728</v>
      </c>
      <c r="BQ82" s="221">
        <f t="shared" si="2048"/>
        <v>17165728</v>
      </c>
      <c r="BR82" s="221">
        <f t="shared" si="2048"/>
        <v>18161337</v>
      </c>
      <c r="BS82" s="221">
        <f t="shared" si="2048"/>
        <v>18161337</v>
      </c>
      <c r="BT82" s="221">
        <f t="shared" si="2048"/>
        <v>18161337</v>
      </c>
      <c r="BU82" s="221">
        <f t="shared" si="2048"/>
        <v>18161337</v>
      </c>
      <c r="BV82" s="221">
        <f t="shared" si="2048"/>
        <v>19214694</v>
      </c>
      <c r="BW82" s="221">
        <f t="shared" si="2048"/>
        <v>19214694</v>
      </c>
      <c r="BX82" s="221">
        <f t="shared" si="2047"/>
        <v>19214694</v>
      </c>
      <c r="BY82" s="221">
        <f t="shared" si="2047"/>
        <v>19214694</v>
      </c>
      <c r="BZ82" s="221">
        <f t="shared" si="2047"/>
        <v>20329149</v>
      </c>
      <c r="CA82" s="221">
        <f t="shared" si="2047"/>
        <v>20329149</v>
      </c>
      <c r="CB82" s="221">
        <f t="shared" si="2047"/>
        <v>20329149</v>
      </c>
      <c r="CC82" s="221">
        <f t="shared" si="2047"/>
        <v>20329149</v>
      </c>
      <c r="CD82" s="221">
        <f t="shared" si="2047"/>
        <v>21508241</v>
      </c>
      <c r="CE82" s="221">
        <f t="shared" si="2047"/>
        <v>21508241</v>
      </c>
      <c r="CF82" s="221">
        <f t="shared" si="2047"/>
        <v>21508241</v>
      </c>
      <c r="CG82" s="221">
        <f t="shared" si="2047"/>
        <v>21508241</v>
      </c>
      <c r="CH82" s="221">
        <f t="shared" si="2047"/>
        <v>22755718</v>
      </c>
      <c r="CI82" s="221">
        <f t="shared" si="2047"/>
        <v>22755718</v>
      </c>
      <c r="CJ82" s="221">
        <f t="shared" si="2047"/>
        <v>22755718</v>
      </c>
      <c r="CK82" s="221">
        <f t="shared" si="2047"/>
        <v>22755718</v>
      </c>
      <c r="CL82" s="221">
        <f t="shared" si="2047"/>
        <v>24075544</v>
      </c>
      <c r="CM82" s="221">
        <f t="shared" si="2047"/>
        <v>24075544</v>
      </c>
      <c r="CN82" s="221">
        <f t="shared" si="2047"/>
        <v>24075544</v>
      </c>
      <c r="CO82" s="221">
        <f t="shared" si="2047"/>
        <v>24075544</v>
      </c>
      <c r="CP82" s="221">
        <f>SUM(CP3:CP81)</f>
        <v>1222909822</v>
      </c>
    </row>
    <row r="83" spans="1:212" ht="21" customHeight="1">
      <c r="A83" s="142"/>
      <c r="B83" s="132"/>
      <c r="C83" s="133"/>
      <c r="D83" s="134"/>
      <c r="E83" s="136">
        <f>F82-F81</f>
        <v>6121.8400000000011</v>
      </c>
      <c r="F83" s="136"/>
      <c r="G83" s="137"/>
      <c r="H83" s="233"/>
      <c r="I83" s="136"/>
    </row>
    <row r="84" spans="1:212" s="60" customFormat="1" ht="14.25">
      <c r="A84" s="54"/>
      <c r="B84" s="55"/>
      <c r="C84" s="55"/>
      <c r="D84" s="56"/>
      <c r="E84" s="577">
        <v>1</v>
      </c>
      <c r="F84" s="577"/>
      <c r="G84" s="577"/>
      <c r="H84" s="577"/>
      <c r="I84" s="577">
        <v>2</v>
      </c>
      <c r="J84" s="577"/>
      <c r="K84" s="577"/>
      <c r="L84" s="577"/>
      <c r="M84" s="577">
        <v>3</v>
      </c>
      <c r="N84" s="577"/>
      <c r="O84" s="577"/>
      <c r="P84" s="577"/>
      <c r="Q84" s="577">
        <v>4</v>
      </c>
      <c r="R84" s="577"/>
      <c r="S84" s="577"/>
      <c r="T84" s="577"/>
      <c r="U84" s="577">
        <v>5</v>
      </c>
      <c r="V84" s="577"/>
      <c r="W84" s="577"/>
      <c r="X84" s="577"/>
      <c r="Y84" s="577">
        <v>6</v>
      </c>
      <c r="Z84" s="577"/>
      <c r="AA84" s="577"/>
      <c r="AB84" s="577"/>
      <c r="AC84" s="577">
        <v>7</v>
      </c>
      <c r="AD84" s="577"/>
      <c r="AE84" s="577"/>
      <c r="AF84" s="577"/>
      <c r="AG84" s="577">
        <v>8</v>
      </c>
      <c r="AH84" s="577"/>
      <c r="AI84" s="577"/>
      <c r="AJ84" s="577"/>
      <c r="AK84" s="577">
        <v>9</v>
      </c>
      <c r="AL84" s="577"/>
      <c r="AM84" s="577"/>
      <c r="AN84" s="577"/>
      <c r="AO84" s="577">
        <v>10</v>
      </c>
      <c r="AP84" s="577"/>
      <c r="AQ84" s="577"/>
      <c r="AR84" s="577"/>
      <c r="AS84" s="577">
        <v>11</v>
      </c>
      <c r="AT84" s="577"/>
      <c r="AU84" s="577"/>
      <c r="AV84" s="577"/>
      <c r="AW84" s="577">
        <v>12</v>
      </c>
      <c r="AX84" s="577"/>
      <c r="AY84" s="577"/>
      <c r="AZ84" s="577"/>
      <c r="BA84" s="577">
        <v>13</v>
      </c>
      <c r="BB84" s="577"/>
      <c r="BC84" s="577"/>
      <c r="BD84" s="577"/>
      <c r="BE84" s="577">
        <v>14</v>
      </c>
      <c r="BF84" s="577"/>
      <c r="BG84" s="577"/>
      <c r="BH84" s="577"/>
      <c r="BI84" s="577">
        <v>15</v>
      </c>
      <c r="BJ84" s="577"/>
      <c r="BK84" s="577"/>
      <c r="BL84" s="577"/>
      <c r="BM84" s="577">
        <v>16</v>
      </c>
      <c r="BN84" s="577"/>
      <c r="BO84" s="577"/>
      <c r="BP84" s="577"/>
      <c r="BQ84" s="577">
        <v>17</v>
      </c>
      <c r="BR84" s="577"/>
      <c r="BS84" s="577"/>
      <c r="BT84" s="577"/>
      <c r="BU84" s="577">
        <v>18</v>
      </c>
      <c r="BV84" s="577"/>
      <c r="BW84" s="577"/>
      <c r="BX84" s="577"/>
      <c r="BY84" s="577">
        <v>19</v>
      </c>
      <c r="BZ84" s="577"/>
      <c r="CA84" s="577"/>
      <c r="CB84" s="577"/>
      <c r="CC84" s="577">
        <v>20</v>
      </c>
      <c r="CD84" s="577"/>
      <c r="CE84" s="577"/>
      <c r="CF84" s="577"/>
      <c r="CG84" s="577">
        <v>21</v>
      </c>
      <c r="CH84" s="577"/>
      <c r="CI84" s="577"/>
      <c r="CJ84" s="577"/>
      <c r="CK84" s="212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  <c r="DB84" s="58"/>
      <c r="DC84" s="58"/>
      <c r="DD84" s="58"/>
      <c r="DE84" s="58"/>
      <c r="DF84" s="58"/>
      <c r="DG84" s="58"/>
      <c r="DH84" s="58"/>
      <c r="DI84" s="58"/>
      <c r="DJ84" s="58"/>
      <c r="DK84" s="58"/>
      <c r="DL84" s="58"/>
      <c r="DM84" s="58"/>
      <c r="DN84" s="58"/>
      <c r="DO84" s="58"/>
      <c r="DP84" s="58"/>
      <c r="DQ84" s="58"/>
      <c r="DR84" s="58"/>
      <c r="DS84" s="58"/>
      <c r="DT84" s="58"/>
      <c r="DU84" s="58"/>
      <c r="DV84" s="58"/>
      <c r="DW84" s="58"/>
      <c r="DX84" s="58"/>
      <c r="DY84" s="58"/>
      <c r="DZ84" s="58"/>
      <c r="EA84" s="58"/>
      <c r="EB84" s="58"/>
      <c r="EC84" s="58"/>
      <c r="ED84" s="58"/>
      <c r="EE84" s="58"/>
      <c r="EF84" s="58"/>
      <c r="EG84" s="58"/>
      <c r="EH84" s="58"/>
      <c r="EI84" s="58"/>
      <c r="EJ84" s="58"/>
      <c r="EK84" s="59"/>
    </row>
    <row r="85" spans="1:212" s="444" customFormat="1" ht="18.75" customHeight="1">
      <c r="A85" s="437"/>
      <c r="B85" s="438" t="s">
        <v>954</v>
      </c>
      <c r="C85" s="438" t="s">
        <v>955</v>
      </c>
      <c r="D85" s="439" t="s">
        <v>956</v>
      </c>
      <c r="E85" s="440" t="str">
        <f>J1</f>
        <v>2018年2季度</v>
      </c>
      <c r="F85" s="440" t="str">
        <f t="shared" ref="F85:BQ85" si="2049">K1</f>
        <v>2018年3季度</v>
      </c>
      <c r="G85" s="440" t="str">
        <f t="shared" si="2049"/>
        <v>2018年4季度</v>
      </c>
      <c r="H85" s="441" t="str">
        <f t="shared" si="2049"/>
        <v>2019年1季度</v>
      </c>
      <c r="I85" s="440" t="str">
        <f t="shared" si="2049"/>
        <v>2019年2季度</v>
      </c>
      <c r="J85" s="440" t="str">
        <f t="shared" si="2049"/>
        <v>2019年3季度</v>
      </c>
      <c r="K85" s="440" t="str">
        <f t="shared" si="2049"/>
        <v>2019年4季度</v>
      </c>
      <c r="L85" s="440" t="str">
        <f t="shared" si="2049"/>
        <v>2020年1季度</v>
      </c>
      <c r="M85" s="440" t="str">
        <f t="shared" si="2049"/>
        <v>2020年2季度</v>
      </c>
      <c r="N85" s="440" t="str">
        <f t="shared" si="2049"/>
        <v>2020年3季度</v>
      </c>
      <c r="O85" s="440" t="str">
        <f t="shared" si="2049"/>
        <v>2020年4季度</v>
      </c>
      <c r="P85" s="440" t="str">
        <f t="shared" si="2049"/>
        <v>2021年1季度</v>
      </c>
      <c r="Q85" s="440" t="str">
        <f t="shared" si="2049"/>
        <v>2021年2季度</v>
      </c>
      <c r="R85" s="440" t="str">
        <f t="shared" si="2049"/>
        <v>2021年3季度</v>
      </c>
      <c r="S85" s="440" t="str">
        <f t="shared" si="2049"/>
        <v>2021年4季度</v>
      </c>
      <c r="T85" s="440" t="str">
        <f t="shared" si="2049"/>
        <v>2022年1季度</v>
      </c>
      <c r="U85" s="440" t="str">
        <f t="shared" si="2049"/>
        <v>2022年2季度</v>
      </c>
      <c r="V85" s="440" t="str">
        <f t="shared" si="2049"/>
        <v>2022年3季度</v>
      </c>
      <c r="W85" s="440" t="str">
        <f t="shared" si="2049"/>
        <v>2022年4季度</v>
      </c>
      <c r="X85" s="440" t="str">
        <f t="shared" si="2049"/>
        <v>2023年1季度</v>
      </c>
      <c r="Y85" s="440" t="str">
        <f t="shared" si="2049"/>
        <v>2023年2季度</v>
      </c>
      <c r="Z85" s="440" t="str">
        <f t="shared" si="2049"/>
        <v>2023年3季度</v>
      </c>
      <c r="AA85" s="440" t="str">
        <f t="shared" si="2049"/>
        <v>2023年4季度</v>
      </c>
      <c r="AB85" s="440" t="str">
        <f t="shared" si="2049"/>
        <v>2024年1季度</v>
      </c>
      <c r="AC85" s="440" t="str">
        <f t="shared" si="2049"/>
        <v>2024年2季度</v>
      </c>
      <c r="AD85" s="440" t="str">
        <f t="shared" si="2049"/>
        <v>2024年3季度</v>
      </c>
      <c r="AE85" s="440" t="str">
        <f t="shared" si="2049"/>
        <v>2024年4季度</v>
      </c>
      <c r="AF85" s="440" t="str">
        <f t="shared" si="2049"/>
        <v>2025年1季度</v>
      </c>
      <c r="AG85" s="440" t="str">
        <f t="shared" si="2049"/>
        <v>2025年2季度</v>
      </c>
      <c r="AH85" s="440" t="str">
        <f t="shared" si="2049"/>
        <v>2025年3季度</v>
      </c>
      <c r="AI85" s="440" t="str">
        <f t="shared" si="2049"/>
        <v>2025年4季度</v>
      </c>
      <c r="AJ85" s="440" t="str">
        <f t="shared" si="2049"/>
        <v>2026年1季度</v>
      </c>
      <c r="AK85" s="440" t="str">
        <f t="shared" si="2049"/>
        <v>2026年2季度</v>
      </c>
      <c r="AL85" s="440" t="str">
        <f t="shared" si="2049"/>
        <v>2026年3季度</v>
      </c>
      <c r="AM85" s="440" t="str">
        <f t="shared" si="2049"/>
        <v>2026年4季度</v>
      </c>
      <c r="AN85" s="440" t="str">
        <f t="shared" si="2049"/>
        <v>2027年1季度</v>
      </c>
      <c r="AO85" s="440" t="str">
        <f t="shared" si="2049"/>
        <v>2027年2季度</v>
      </c>
      <c r="AP85" s="440" t="str">
        <f t="shared" si="2049"/>
        <v>2027年3季度</v>
      </c>
      <c r="AQ85" s="440" t="str">
        <f t="shared" si="2049"/>
        <v>2027年4季度</v>
      </c>
      <c r="AR85" s="440" t="str">
        <f t="shared" si="2049"/>
        <v>2028年1季度</v>
      </c>
      <c r="AS85" s="440" t="str">
        <f t="shared" si="2049"/>
        <v>2028年2季度</v>
      </c>
      <c r="AT85" s="440" t="str">
        <f t="shared" si="2049"/>
        <v>2028年3季度</v>
      </c>
      <c r="AU85" s="440" t="str">
        <f t="shared" si="2049"/>
        <v>2028年4季度</v>
      </c>
      <c r="AV85" s="440" t="str">
        <f t="shared" si="2049"/>
        <v>2029年1季度</v>
      </c>
      <c r="AW85" s="440" t="str">
        <f t="shared" si="2049"/>
        <v>2029年2季度</v>
      </c>
      <c r="AX85" s="440" t="str">
        <f t="shared" si="2049"/>
        <v>2029年3季度</v>
      </c>
      <c r="AY85" s="440" t="str">
        <f t="shared" si="2049"/>
        <v>2029年4季度</v>
      </c>
      <c r="AZ85" s="440" t="str">
        <f t="shared" si="2049"/>
        <v>2030年1季度</v>
      </c>
      <c r="BA85" s="440" t="str">
        <f t="shared" si="2049"/>
        <v>2030年2季度</v>
      </c>
      <c r="BB85" s="440" t="str">
        <f t="shared" si="2049"/>
        <v>2030年3季度</v>
      </c>
      <c r="BC85" s="440" t="str">
        <f t="shared" si="2049"/>
        <v>2030年4季度</v>
      </c>
      <c r="BD85" s="440" t="str">
        <f t="shared" si="2049"/>
        <v>2031年1季度</v>
      </c>
      <c r="BE85" s="440" t="str">
        <f t="shared" si="2049"/>
        <v>2031年2季度</v>
      </c>
      <c r="BF85" s="440" t="str">
        <f t="shared" si="2049"/>
        <v>2031年3季度</v>
      </c>
      <c r="BG85" s="440" t="str">
        <f t="shared" si="2049"/>
        <v>2031年4季度</v>
      </c>
      <c r="BH85" s="440" t="str">
        <f t="shared" si="2049"/>
        <v>2032年1季度</v>
      </c>
      <c r="BI85" s="440" t="str">
        <f t="shared" si="2049"/>
        <v>2032年2季度</v>
      </c>
      <c r="BJ85" s="440" t="str">
        <f t="shared" si="2049"/>
        <v>2032年3季度</v>
      </c>
      <c r="BK85" s="440" t="str">
        <f t="shared" si="2049"/>
        <v>2032年4季度</v>
      </c>
      <c r="BL85" s="440" t="str">
        <f t="shared" si="2049"/>
        <v>2033年1季度</v>
      </c>
      <c r="BM85" s="440" t="str">
        <f t="shared" si="2049"/>
        <v>2033年2季度</v>
      </c>
      <c r="BN85" s="440" t="str">
        <f t="shared" si="2049"/>
        <v>2033年3季度</v>
      </c>
      <c r="BO85" s="440" t="str">
        <f t="shared" si="2049"/>
        <v>2033年4季度</v>
      </c>
      <c r="BP85" s="440" t="str">
        <f t="shared" si="2049"/>
        <v>2034年1季度</v>
      </c>
      <c r="BQ85" s="440" t="str">
        <f t="shared" si="2049"/>
        <v>2034年2季度</v>
      </c>
      <c r="BR85" s="440" t="str">
        <f t="shared" ref="BR85:CJ85" si="2050">BW1</f>
        <v>2034年3季度</v>
      </c>
      <c r="BS85" s="440" t="str">
        <f t="shared" si="2050"/>
        <v>2034年4季度</v>
      </c>
      <c r="BT85" s="440" t="str">
        <f t="shared" si="2050"/>
        <v>2035年1季度</v>
      </c>
      <c r="BU85" s="440" t="str">
        <f t="shared" si="2050"/>
        <v>2035年2季度</v>
      </c>
      <c r="BV85" s="440" t="str">
        <f t="shared" si="2050"/>
        <v>2035年3季度</v>
      </c>
      <c r="BW85" s="440" t="str">
        <f t="shared" si="2050"/>
        <v>2035年4季度</v>
      </c>
      <c r="BX85" s="440" t="str">
        <f t="shared" si="2050"/>
        <v>2036年1季度</v>
      </c>
      <c r="BY85" s="440" t="str">
        <f t="shared" si="2050"/>
        <v>2036年2季度</v>
      </c>
      <c r="BZ85" s="440" t="str">
        <f t="shared" si="2050"/>
        <v>2036年3季度</v>
      </c>
      <c r="CA85" s="440" t="str">
        <f t="shared" si="2050"/>
        <v>2036年4季度</v>
      </c>
      <c r="CB85" s="440" t="str">
        <f t="shared" si="2050"/>
        <v>2037年1季度</v>
      </c>
      <c r="CC85" s="440" t="str">
        <f t="shared" si="2050"/>
        <v>2037年2季度</v>
      </c>
      <c r="CD85" s="440" t="str">
        <f t="shared" si="2050"/>
        <v>2037年3季度</v>
      </c>
      <c r="CE85" s="440" t="str">
        <f t="shared" si="2050"/>
        <v>2037年4季度</v>
      </c>
      <c r="CF85" s="440" t="str">
        <f t="shared" si="2050"/>
        <v>2038年1季度</v>
      </c>
      <c r="CG85" s="440" t="str">
        <f t="shared" si="2050"/>
        <v>2038年2季度</v>
      </c>
      <c r="CH85" s="440" t="str">
        <f t="shared" si="2050"/>
        <v>2038年3季度</v>
      </c>
      <c r="CI85" s="440" t="str">
        <f t="shared" si="2050"/>
        <v>2038年4季度</v>
      </c>
      <c r="CJ85" s="440" t="str">
        <f t="shared" si="2050"/>
        <v>2039年1季度</v>
      </c>
      <c r="CK85" s="440" t="s">
        <v>957</v>
      </c>
      <c r="CL85" s="442"/>
      <c r="CM85" s="442"/>
      <c r="CN85" s="442"/>
      <c r="CO85" s="442"/>
      <c r="CP85" s="442"/>
      <c r="CQ85" s="442"/>
      <c r="CR85" s="442"/>
      <c r="CS85" s="442"/>
      <c r="CT85" s="442"/>
      <c r="CU85" s="442"/>
      <c r="CV85" s="442"/>
      <c r="CW85" s="442"/>
      <c r="CX85" s="442"/>
      <c r="CY85" s="442"/>
      <c r="CZ85" s="442"/>
      <c r="DA85" s="442"/>
      <c r="DB85" s="442"/>
      <c r="DC85" s="442"/>
      <c r="DD85" s="442"/>
      <c r="DE85" s="442"/>
      <c r="DF85" s="442"/>
      <c r="DG85" s="442"/>
      <c r="DH85" s="442"/>
      <c r="DI85" s="442"/>
      <c r="DJ85" s="442"/>
      <c r="DK85" s="442"/>
      <c r="DL85" s="442"/>
      <c r="DM85" s="442"/>
      <c r="DN85" s="442"/>
      <c r="DO85" s="442"/>
      <c r="DP85" s="442"/>
      <c r="DQ85" s="442"/>
      <c r="DR85" s="442"/>
      <c r="DS85" s="442"/>
      <c r="DT85" s="442"/>
      <c r="DU85" s="442"/>
      <c r="DV85" s="442"/>
      <c r="DW85" s="442"/>
      <c r="DX85" s="442"/>
      <c r="DY85" s="442"/>
      <c r="DZ85" s="442"/>
      <c r="EA85" s="442"/>
      <c r="EB85" s="442"/>
      <c r="EC85" s="442"/>
      <c r="ED85" s="442"/>
      <c r="EE85" s="442"/>
      <c r="EF85" s="442"/>
      <c r="EG85" s="442"/>
      <c r="EH85" s="442"/>
      <c r="EI85" s="442"/>
      <c r="EJ85" s="442"/>
      <c r="EK85" s="442"/>
      <c r="EL85" s="442"/>
      <c r="EM85" s="442"/>
      <c r="EN85" s="442"/>
      <c r="EO85" s="442"/>
      <c r="EP85" s="442"/>
      <c r="EQ85" s="442"/>
      <c r="ER85" s="442"/>
      <c r="ES85" s="442"/>
      <c r="ET85" s="443"/>
    </row>
    <row r="86" spans="1:212" s="453" customFormat="1" ht="21">
      <c r="A86" s="445"/>
      <c r="B86" s="446" t="s">
        <v>958</v>
      </c>
      <c r="C86" s="446"/>
      <c r="D86" s="447"/>
      <c r="E86" s="448">
        <f>E87+E88+E89</f>
        <v>8869602</v>
      </c>
      <c r="F86" s="448">
        <f t="shared" ref="F86:BP86" si="2051">F87+F88+F89</f>
        <v>8869602</v>
      </c>
      <c r="G86" s="448">
        <f t="shared" si="2051"/>
        <v>8903737</v>
      </c>
      <c r="H86" s="449">
        <f t="shared" si="2051"/>
        <v>8923661</v>
      </c>
      <c r="I86" s="448">
        <f t="shared" si="2051"/>
        <v>8928857</v>
      </c>
      <c r="J86" s="448">
        <f t="shared" si="2051"/>
        <v>8928857</v>
      </c>
      <c r="K86" s="448">
        <f t="shared" si="2051"/>
        <v>8971395</v>
      </c>
      <c r="L86" s="448">
        <f t="shared" si="2051"/>
        <v>8971395</v>
      </c>
      <c r="M86" s="448">
        <f t="shared" si="2051"/>
        <v>9347111</v>
      </c>
      <c r="N86" s="448">
        <f t="shared" si="2051"/>
        <v>9347111</v>
      </c>
      <c r="O86" s="448">
        <f t="shared" si="2051"/>
        <v>9347111</v>
      </c>
      <c r="P86" s="448">
        <f t="shared" si="2051"/>
        <v>9347111</v>
      </c>
      <c r="Q86" s="448">
        <f t="shared" si="2051"/>
        <v>9807815</v>
      </c>
      <c r="R86" s="448">
        <f t="shared" si="2051"/>
        <v>9807815</v>
      </c>
      <c r="S86" s="448">
        <f t="shared" si="2051"/>
        <v>9807815</v>
      </c>
      <c r="T86" s="448">
        <f t="shared" si="2051"/>
        <v>9807815</v>
      </c>
      <c r="U86" s="448">
        <f t="shared" si="2051"/>
        <v>10303685</v>
      </c>
      <c r="V86" s="448">
        <f t="shared" si="2051"/>
        <v>10303685</v>
      </c>
      <c r="W86" s="448">
        <f t="shared" si="2051"/>
        <v>10303685</v>
      </c>
      <c r="X86" s="448">
        <f t="shared" si="2051"/>
        <v>10303685</v>
      </c>
      <c r="Y86" s="448">
        <f t="shared" si="2051"/>
        <v>10863185</v>
      </c>
      <c r="Z86" s="448">
        <f t="shared" si="2051"/>
        <v>10863185</v>
      </c>
      <c r="AA86" s="448">
        <f t="shared" si="2051"/>
        <v>10863185</v>
      </c>
      <c r="AB86" s="448">
        <f t="shared" si="2051"/>
        <v>10863185</v>
      </c>
      <c r="AC86" s="448">
        <f t="shared" si="2051"/>
        <v>11454389</v>
      </c>
      <c r="AD86" s="448">
        <f t="shared" si="2051"/>
        <v>11454389</v>
      </c>
      <c r="AE86" s="448">
        <f t="shared" si="2051"/>
        <v>11454389</v>
      </c>
      <c r="AF86" s="448">
        <f t="shared" si="2051"/>
        <v>11454389</v>
      </c>
      <c r="AG86" s="448">
        <f t="shared" si="2051"/>
        <v>12090461</v>
      </c>
      <c r="AH86" s="448">
        <f t="shared" si="2051"/>
        <v>12090461</v>
      </c>
      <c r="AI86" s="448">
        <f t="shared" si="2051"/>
        <v>12090461</v>
      </c>
      <c r="AJ86" s="448">
        <f t="shared" si="2051"/>
        <v>12090461</v>
      </c>
      <c r="AK86" s="448">
        <f t="shared" si="2051"/>
        <v>12763426</v>
      </c>
      <c r="AL86" s="448">
        <f t="shared" si="2051"/>
        <v>12763426</v>
      </c>
      <c r="AM86" s="448">
        <f t="shared" si="2051"/>
        <v>12763426</v>
      </c>
      <c r="AN86" s="448">
        <f t="shared" si="2051"/>
        <v>12763426</v>
      </c>
      <c r="AO86" s="448">
        <f t="shared" si="2051"/>
        <v>13475421</v>
      </c>
      <c r="AP86" s="448">
        <f t="shared" si="2051"/>
        <v>13475421</v>
      </c>
      <c r="AQ86" s="448">
        <f t="shared" si="2051"/>
        <v>13475421</v>
      </c>
      <c r="AR86" s="448">
        <f t="shared" si="2051"/>
        <v>13475421</v>
      </c>
      <c r="AS86" s="448">
        <f t="shared" si="2051"/>
        <v>14228711</v>
      </c>
      <c r="AT86" s="448">
        <f t="shared" si="2051"/>
        <v>14228711</v>
      </c>
      <c r="AU86" s="448">
        <f t="shared" si="2051"/>
        <v>14228711</v>
      </c>
      <c r="AV86" s="448">
        <f t="shared" si="2051"/>
        <v>14228711</v>
      </c>
      <c r="AW86" s="448">
        <f t="shared" si="2051"/>
        <v>15025695</v>
      </c>
      <c r="AX86" s="448">
        <f t="shared" si="2051"/>
        <v>15025695</v>
      </c>
      <c r="AY86" s="448">
        <f t="shared" si="2051"/>
        <v>15025695</v>
      </c>
      <c r="AZ86" s="448">
        <f t="shared" si="2051"/>
        <v>15025695</v>
      </c>
      <c r="BA86" s="448">
        <f t="shared" si="2051"/>
        <v>15868899</v>
      </c>
      <c r="BB86" s="448">
        <f t="shared" si="2051"/>
        <v>15868899</v>
      </c>
      <c r="BC86" s="448">
        <f t="shared" si="2051"/>
        <v>15868899</v>
      </c>
      <c r="BD86" s="448">
        <f t="shared" si="2051"/>
        <v>15868899</v>
      </c>
      <c r="BE86" s="448">
        <f t="shared" si="2051"/>
        <v>16761011</v>
      </c>
      <c r="BF86" s="448">
        <f t="shared" si="2051"/>
        <v>16761011</v>
      </c>
      <c r="BG86" s="448">
        <f t="shared" si="2051"/>
        <v>16761011</v>
      </c>
      <c r="BH86" s="448">
        <f t="shared" si="2051"/>
        <v>16761011</v>
      </c>
      <c r="BI86" s="448">
        <f t="shared" si="2051"/>
        <v>17704867</v>
      </c>
      <c r="BJ86" s="448">
        <f t="shared" si="2051"/>
        <v>17704867</v>
      </c>
      <c r="BK86" s="448">
        <f t="shared" si="2051"/>
        <v>17704867</v>
      </c>
      <c r="BL86" s="448">
        <f t="shared" si="2051"/>
        <v>17704867</v>
      </c>
      <c r="BM86" s="448">
        <f t="shared" si="2051"/>
        <v>18703463</v>
      </c>
      <c r="BN86" s="448">
        <f t="shared" si="2051"/>
        <v>18703463</v>
      </c>
      <c r="BO86" s="448">
        <f t="shared" si="2051"/>
        <v>18703463</v>
      </c>
      <c r="BP86" s="448">
        <f t="shared" si="2051"/>
        <v>18703463</v>
      </c>
      <c r="BQ86" s="448">
        <f>BQ87+BQ88+BQ89</f>
        <v>19759980</v>
      </c>
      <c r="BR86" s="448">
        <f>BR87+BR88+BR89</f>
        <v>19759980</v>
      </c>
      <c r="BS86" s="448">
        <f>BS87+BS88+BS89</f>
        <v>19759980</v>
      </c>
      <c r="BT86" s="448">
        <f>BT87+BT88+BT89</f>
        <v>19759980</v>
      </c>
      <c r="BU86" s="448">
        <f t="shared" ref="BU86:CJ86" si="2052">BU87+BU88+BU89</f>
        <v>20877778</v>
      </c>
      <c r="BV86" s="448">
        <f t="shared" si="2052"/>
        <v>20877778</v>
      </c>
      <c r="BW86" s="448">
        <f t="shared" si="2052"/>
        <v>20877778</v>
      </c>
      <c r="BX86" s="448">
        <f t="shared" si="2052"/>
        <v>20877778</v>
      </c>
      <c r="BY86" s="448">
        <f t="shared" si="2052"/>
        <v>22060408</v>
      </c>
      <c r="BZ86" s="448">
        <f t="shared" si="2052"/>
        <v>22060408</v>
      </c>
      <c r="CA86" s="448">
        <f t="shared" si="2052"/>
        <v>22060408</v>
      </c>
      <c r="CB86" s="448">
        <f t="shared" si="2052"/>
        <v>22060408</v>
      </c>
      <c r="CC86" s="448">
        <f t="shared" si="2052"/>
        <v>23311627</v>
      </c>
      <c r="CD86" s="448">
        <f>CD87+CD88+CD89</f>
        <v>23311627</v>
      </c>
      <c r="CE86" s="448">
        <f t="shared" si="2052"/>
        <v>23311627</v>
      </c>
      <c r="CF86" s="448">
        <f t="shared" si="2052"/>
        <v>23311627</v>
      </c>
      <c r="CG86" s="448">
        <f t="shared" si="2052"/>
        <v>24635413</v>
      </c>
      <c r="CH86" s="448">
        <f t="shared" si="2052"/>
        <v>24635413</v>
      </c>
      <c r="CI86" s="448">
        <f t="shared" si="2052"/>
        <v>24635413</v>
      </c>
      <c r="CJ86" s="448">
        <f t="shared" si="2052"/>
        <v>24635413</v>
      </c>
      <c r="CK86" s="450">
        <f t="shared" ref="CK86:CK96" si="2053">SUM(E86:CJ86)</f>
        <v>1267540486</v>
      </c>
      <c r="CL86" s="451"/>
      <c r="CM86" s="451"/>
      <c r="CN86" s="451"/>
      <c r="CO86" s="451"/>
      <c r="CP86" s="451"/>
      <c r="CQ86" s="451"/>
      <c r="CR86" s="451"/>
      <c r="CS86" s="451"/>
      <c r="CT86" s="451"/>
      <c r="CU86" s="451"/>
      <c r="CV86" s="451"/>
      <c r="CW86" s="451"/>
      <c r="CX86" s="451"/>
      <c r="CY86" s="451"/>
      <c r="CZ86" s="451"/>
      <c r="DA86" s="451"/>
      <c r="DB86" s="451"/>
      <c r="DC86" s="451"/>
      <c r="DD86" s="451"/>
      <c r="DE86" s="451"/>
      <c r="DF86" s="451"/>
      <c r="DG86" s="451"/>
      <c r="DH86" s="451"/>
      <c r="DI86" s="451"/>
      <c r="DJ86" s="451"/>
      <c r="DK86" s="451"/>
      <c r="DL86" s="451"/>
      <c r="DM86" s="451"/>
      <c r="DN86" s="451"/>
      <c r="DO86" s="451"/>
      <c r="DP86" s="451"/>
      <c r="DQ86" s="451"/>
      <c r="DR86" s="451"/>
      <c r="DS86" s="451"/>
      <c r="DT86" s="451"/>
      <c r="DU86" s="451"/>
      <c r="DV86" s="451"/>
      <c r="DW86" s="451"/>
      <c r="DX86" s="451"/>
      <c r="DY86" s="451"/>
      <c r="DZ86" s="451"/>
      <c r="EA86" s="451"/>
      <c r="EB86" s="451"/>
      <c r="EC86" s="451"/>
      <c r="ED86" s="451"/>
      <c r="EE86" s="451"/>
      <c r="EF86" s="451"/>
      <c r="EG86" s="451"/>
      <c r="EH86" s="451"/>
      <c r="EI86" s="451"/>
      <c r="EJ86" s="451"/>
      <c r="EK86" s="451"/>
      <c r="EL86" s="451"/>
      <c r="EM86" s="451"/>
      <c r="EN86" s="451"/>
      <c r="EO86" s="451"/>
      <c r="EP86" s="451"/>
      <c r="EQ86" s="451"/>
      <c r="ER86" s="451"/>
      <c r="ES86" s="451"/>
      <c r="ET86" s="452"/>
    </row>
    <row r="87" spans="1:212" s="444" customFormat="1" ht="14.25">
      <c r="A87" s="437"/>
      <c r="B87" s="446" t="s">
        <v>786</v>
      </c>
      <c r="C87" s="446"/>
      <c r="D87" s="454"/>
      <c r="E87" s="465">
        <f>J82</f>
        <v>8356823</v>
      </c>
      <c r="F87" s="465">
        <f>K82</f>
        <v>8356823</v>
      </c>
      <c r="G87" s="465">
        <f>L82</f>
        <v>8390958</v>
      </c>
      <c r="H87" s="466">
        <f>M82</f>
        <v>8410882</v>
      </c>
      <c r="I87" s="466">
        <f t="shared" ref="I87:BT87" si="2054">N82</f>
        <v>8415903</v>
      </c>
      <c r="J87" s="466">
        <f t="shared" si="2054"/>
        <v>8415903</v>
      </c>
      <c r="K87" s="466">
        <f t="shared" si="2054"/>
        <v>8458441</v>
      </c>
      <c r="L87" s="466">
        <f t="shared" si="2054"/>
        <v>8458441</v>
      </c>
      <c r="M87" s="466">
        <f t="shared" si="2054"/>
        <v>8832970</v>
      </c>
      <c r="N87" s="466">
        <f t="shared" si="2054"/>
        <v>8832970</v>
      </c>
      <c r="O87" s="466">
        <f t="shared" si="2054"/>
        <v>8832970</v>
      </c>
      <c r="P87" s="466">
        <f t="shared" si="2054"/>
        <v>8832970</v>
      </c>
      <c r="Q87" s="466">
        <f t="shared" si="2054"/>
        <v>9292296</v>
      </c>
      <c r="R87" s="466">
        <f t="shared" si="2054"/>
        <v>9292296</v>
      </c>
      <c r="S87" s="466">
        <f t="shared" si="2054"/>
        <v>9292296</v>
      </c>
      <c r="T87" s="466">
        <f t="shared" si="2054"/>
        <v>9292296</v>
      </c>
      <c r="U87" s="466">
        <f t="shared" si="2054"/>
        <v>9786683</v>
      </c>
      <c r="V87" s="466">
        <f t="shared" si="2054"/>
        <v>9786683</v>
      </c>
      <c r="W87" s="466">
        <f t="shared" si="2054"/>
        <v>9786683</v>
      </c>
      <c r="X87" s="466">
        <f t="shared" si="2054"/>
        <v>9786683</v>
      </c>
      <c r="Y87" s="466">
        <f t="shared" si="2054"/>
        <v>10344509</v>
      </c>
      <c r="Z87" s="466">
        <f t="shared" si="2054"/>
        <v>10344509</v>
      </c>
      <c r="AA87" s="466">
        <f t="shared" si="2054"/>
        <v>10344509</v>
      </c>
      <c r="AB87" s="466">
        <f t="shared" si="2054"/>
        <v>10344509</v>
      </c>
      <c r="AC87" s="466">
        <f t="shared" si="2054"/>
        <v>10933945</v>
      </c>
      <c r="AD87" s="466">
        <f t="shared" si="2054"/>
        <v>10933945</v>
      </c>
      <c r="AE87" s="466">
        <f t="shared" si="2054"/>
        <v>10933945</v>
      </c>
      <c r="AF87" s="466">
        <f t="shared" si="2054"/>
        <v>10933945</v>
      </c>
      <c r="AG87" s="466">
        <f t="shared" si="2054"/>
        <v>11568115</v>
      </c>
      <c r="AH87" s="466">
        <f t="shared" si="2054"/>
        <v>11568115</v>
      </c>
      <c r="AI87" s="466">
        <f t="shared" si="2054"/>
        <v>11568115</v>
      </c>
      <c r="AJ87" s="466">
        <f t="shared" si="2054"/>
        <v>11568115</v>
      </c>
      <c r="AK87" s="466">
        <f t="shared" si="2054"/>
        <v>12239067</v>
      </c>
      <c r="AL87" s="466">
        <f t="shared" si="2054"/>
        <v>12239067</v>
      </c>
      <c r="AM87" s="466">
        <f t="shared" si="2054"/>
        <v>12239067</v>
      </c>
      <c r="AN87" s="466">
        <f t="shared" si="2054"/>
        <v>12239067</v>
      </c>
      <c r="AO87" s="466">
        <f t="shared" si="2054"/>
        <v>12948932</v>
      </c>
      <c r="AP87" s="466">
        <f t="shared" si="2054"/>
        <v>12948932</v>
      </c>
      <c r="AQ87" s="466">
        <f t="shared" si="2054"/>
        <v>12948932</v>
      </c>
      <c r="AR87" s="466">
        <f t="shared" si="2054"/>
        <v>12948932</v>
      </c>
      <c r="AS87" s="466">
        <f t="shared" si="2054"/>
        <v>13699969</v>
      </c>
      <c r="AT87" s="466">
        <f t="shared" si="2054"/>
        <v>13699969</v>
      </c>
      <c r="AU87" s="466">
        <f t="shared" si="2054"/>
        <v>13699969</v>
      </c>
      <c r="AV87" s="466">
        <f t="shared" si="2054"/>
        <v>13699969</v>
      </c>
      <c r="AW87" s="466">
        <f t="shared" si="2054"/>
        <v>14494569</v>
      </c>
      <c r="AX87" s="466">
        <f t="shared" si="2054"/>
        <v>14494569</v>
      </c>
      <c r="AY87" s="466">
        <f t="shared" si="2054"/>
        <v>14494569</v>
      </c>
      <c r="AZ87" s="466">
        <f t="shared" si="2054"/>
        <v>14494569</v>
      </c>
      <c r="BA87" s="466">
        <f t="shared" si="2054"/>
        <v>15335251</v>
      </c>
      <c r="BB87" s="466">
        <f t="shared" si="2054"/>
        <v>15335251</v>
      </c>
      <c r="BC87" s="466">
        <f t="shared" si="2054"/>
        <v>15335251</v>
      </c>
      <c r="BD87" s="466">
        <f t="shared" si="2054"/>
        <v>15335251</v>
      </c>
      <c r="BE87" s="466">
        <f t="shared" si="2054"/>
        <v>16224695</v>
      </c>
      <c r="BF87" s="466">
        <f t="shared" si="2054"/>
        <v>16224695</v>
      </c>
      <c r="BG87" s="466">
        <f t="shared" si="2054"/>
        <v>16224695</v>
      </c>
      <c r="BH87" s="466">
        <f t="shared" si="2054"/>
        <v>16224695</v>
      </c>
      <c r="BI87" s="466">
        <f t="shared" si="2054"/>
        <v>17165728</v>
      </c>
      <c r="BJ87" s="466">
        <f t="shared" si="2054"/>
        <v>17165728</v>
      </c>
      <c r="BK87" s="466">
        <f t="shared" si="2054"/>
        <v>17165728</v>
      </c>
      <c r="BL87" s="466">
        <f t="shared" si="2054"/>
        <v>17165728</v>
      </c>
      <c r="BM87" s="466">
        <f t="shared" si="2054"/>
        <v>18161337</v>
      </c>
      <c r="BN87" s="466">
        <f t="shared" si="2054"/>
        <v>18161337</v>
      </c>
      <c r="BO87" s="466">
        <f t="shared" si="2054"/>
        <v>18161337</v>
      </c>
      <c r="BP87" s="466">
        <f t="shared" si="2054"/>
        <v>18161337</v>
      </c>
      <c r="BQ87" s="466">
        <f t="shared" si="2054"/>
        <v>19214694</v>
      </c>
      <c r="BR87" s="466">
        <f t="shared" si="2054"/>
        <v>19214694</v>
      </c>
      <c r="BS87" s="466">
        <f t="shared" si="2054"/>
        <v>19214694</v>
      </c>
      <c r="BT87" s="466">
        <f t="shared" si="2054"/>
        <v>19214694</v>
      </c>
      <c r="BU87" s="466">
        <f t="shared" ref="BU87:CF87" si="2055">BZ82</f>
        <v>20329149</v>
      </c>
      <c r="BV87" s="466">
        <f t="shared" si="2055"/>
        <v>20329149</v>
      </c>
      <c r="BW87" s="466">
        <f t="shared" si="2055"/>
        <v>20329149</v>
      </c>
      <c r="BX87" s="466">
        <f t="shared" si="2055"/>
        <v>20329149</v>
      </c>
      <c r="BY87" s="466">
        <f t="shared" si="2055"/>
        <v>21508241</v>
      </c>
      <c r="BZ87" s="466">
        <f t="shared" si="2055"/>
        <v>21508241</v>
      </c>
      <c r="CA87" s="466">
        <f t="shared" si="2055"/>
        <v>21508241</v>
      </c>
      <c r="CB87" s="466">
        <f t="shared" si="2055"/>
        <v>21508241</v>
      </c>
      <c r="CC87" s="466">
        <f t="shared" si="2055"/>
        <v>22755718</v>
      </c>
      <c r="CD87" s="466">
        <f t="shared" si="2055"/>
        <v>22755718</v>
      </c>
      <c r="CE87" s="466">
        <f t="shared" si="2055"/>
        <v>22755718</v>
      </c>
      <c r="CF87" s="466">
        <f t="shared" si="2055"/>
        <v>22755718</v>
      </c>
      <c r="CG87" s="466">
        <f>CL82</f>
        <v>24075544</v>
      </c>
      <c r="CH87" s="466">
        <f>CM82</f>
        <v>24075544</v>
      </c>
      <c r="CI87" s="466">
        <f>CN82</f>
        <v>24075544</v>
      </c>
      <c r="CJ87" s="466">
        <f>CO82</f>
        <v>24075544</v>
      </c>
      <c r="CK87" s="450">
        <f t="shared" si="2053"/>
        <v>1222909822</v>
      </c>
      <c r="CL87" s="442"/>
      <c r="CM87" s="442"/>
      <c r="CN87" s="442"/>
      <c r="CO87" s="442"/>
      <c r="CP87" s="442"/>
      <c r="CQ87" s="442"/>
      <c r="CR87" s="442"/>
      <c r="CS87" s="442"/>
      <c r="CT87" s="442"/>
      <c r="CU87" s="442"/>
      <c r="CV87" s="442"/>
      <c r="CW87" s="442"/>
      <c r="CX87" s="442"/>
      <c r="CY87" s="442"/>
      <c r="CZ87" s="442"/>
      <c r="DA87" s="442"/>
      <c r="DB87" s="442"/>
      <c r="DC87" s="442"/>
      <c r="DD87" s="442"/>
      <c r="DE87" s="442"/>
      <c r="DF87" s="442"/>
      <c r="DG87" s="442"/>
      <c r="DH87" s="442"/>
      <c r="DI87" s="442"/>
      <c r="DJ87" s="442"/>
      <c r="DK87" s="442"/>
      <c r="DL87" s="442"/>
      <c r="DM87" s="442"/>
      <c r="DN87" s="442"/>
      <c r="DO87" s="442"/>
      <c r="DP87" s="442"/>
      <c r="DQ87" s="442"/>
      <c r="DR87" s="442"/>
      <c r="DS87" s="442"/>
      <c r="DT87" s="442"/>
      <c r="DU87" s="442"/>
      <c r="DV87" s="442"/>
      <c r="DW87" s="442"/>
      <c r="DX87" s="442"/>
      <c r="DY87" s="442"/>
      <c r="DZ87" s="442"/>
      <c r="EA87" s="442"/>
      <c r="EB87" s="442"/>
      <c r="EC87" s="442"/>
      <c r="ED87" s="442"/>
      <c r="EE87" s="442"/>
      <c r="EF87" s="442"/>
      <c r="EG87" s="442"/>
      <c r="EH87" s="442"/>
      <c r="EI87" s="442"/>
      <c r="EJ87" s="442"/>
      <c r="EK87" s="442"/>
      <c r="EL87" s="442"/>
      <c r="EM87" s="442"/>
      <c r="EN87" s="442"/>
      <c r="EO87" s="442"/>
      <c r="EP87" s="442"/>
      <c r="EQ87" s="442"/>
      <c r="ER87" s="442"/>
      <c r="ES87" s="442"/>
      <c r="ET87" s="443"/>
    </row>
    <row r="88" spans="1:212" s="444" customFormat="1" ht="14.25">
      <c r="A88" s="437"/>
      <c r="B88" s="446" t="s">
        <v>787</v>
      </c>
      <c r="C88" s="446"/>
      <c r="D88" s="454"/>
      <c r="E88" s="455">
        <f>ROUND(前3年整理!C38/4,0)</f>
        <v>487642</v>
      </c>
      <c r="F88" s="455">
        <f t="shared" ref="F88:H89" si="2056">E88</f>
        <v>487642</v>
      </c>
      <c r="G88" s="455">
        <f t="shared" si="2056"/>
        <v>487642</v>
      </c>
      <c r="H88" s="456">
        <f t="shared" si="2056"/>
        <v>487642</v>
      </c>
      <c r="I88" s="455">
        <f t="shared" ref="I88:BT88" si="2057">H88</f>
        <v>487642</v>
      </c>
      <c r="J88" s="455">
        <f t="shared" si="2057"/>
        <v>487642</v>
      </c>
      <c r="K88" s="455">
        <f t="shared" si="2057"/>
        <v>487642</v>
      </c>
      <c r="L88" s="455">
        <f t="shared" si="2057"/>
        <v>487642</v>
      </c>
      <c r="M88" s="455">
        <f t="shared" si="2057"/>
        <v>487642</v>
      </c>
      <c r="N88" s="455">
        <f t="shared" si="2057"/>
        <v>487642</v>
      </c>
      <c r="O88" s="455">
        <f t="shared" si="2057"/>
        <v>487642</v>
      </c>
      <c r="P88" s="455">
        <f t="shared" si="2057"/>
        <v>487642</v>
      </c>
      <c r="Q88" s="455">
        <f t="shared" si="2057"/>
        <v>487642</v>
      </c>
      <c r="R88" s="455">
        <f t="shared" si="2057"/>
        <v>487642</v>
      </c>
      <c r="S88" s="455">
        <f t="shared" si="2057"/>
        <v>487642</v>
      </c>
      <c r="T88" s="455">
        <f t="shared" si="2057"/>
        <v>487642</v>
      </c>
      <c r="U88" s="455">
        <f t="shared" si="2057"/>
        <v>487642</v>
      </c>
      <c r="V88" s="455">
        <f t="shared" si="2057"/>
        <v>487642</v>
      </c>
      <c r="W88" s="455">
        <f t="shared" si="2057"/>
        <v>487642</v>
      </c>
      <c r="X88" s="455">
        <f t="shared" si="2057"/>
        <v>487642</v>
      </c>
      <c r="Y88" s="455">
        <f t="shared" si="2057"/>
        <v>487642</v>
      </c>
      <c r="Z88" s="455">
        <f t="shared" si="2057"/>
        <v>487642</v>
      </c>
      <c r="AA88" s="455">
        <f t="shared" si="2057"/>
        <v>487642</v>
      </c>
      <c r="AB88" s="455">
        <f t="shared" si="2057"/>
        <v>487642</v>
      </c>
      <c r="AC88" s="455">
        <f t="shared" si="2057"/>
        <v>487642</v>
      </c>
      <c r="AD88" s="455">
        <f t="shared" si="2057"/>
        <v>487642</v>
      </c>
      <c r="AE88" s="455">
        <f t="shared" si="2057"/>
        <v>487642</v>
      </c>
      <c r="AF88" s="455">
        <f t="shared" si="2057"/>
        <v>487642</v>
      </c>
      <c r="AG88" s="455">
        <f t="shared" si="2057"/>
        <v>487642</v>
      </c>
      <c r="AH88" s="455">
        <f t="shared" si="2057"/>
        <v>487642</v>
      </c>
      <c r="AI88" s="455">
        <f t="shared" si="2057"/>
        <v>487642</v>
      </c>
      <c r="AJ88" s="455">
        <f t="shared" si="2057"/>
        <v>487642</v>
      </c>
      <c r="AK88" s="455">
        <f t="shared" si="2057"/>
        <v>487642</v>
      </c>
      <c r="AL88" s="455">
        <f t="shared" si="2057"/>
        <v>487642</v>
      </c>
      <c r="AM88" s="455">
        <f t="shared" si="2057"/>
        <v>487642</v>
      </c>
      <c r="AN88" s="455">
        <f t="shared" si="2057"/>
        <v>487642</v>
      </c>
      <c r="AO88" s="455">
        <f t="shared" si="2057"/>
        <v>487642</v>
      </c>
      <c r="AP88" s="455">
        <f t="shared" si="2057"/>
        <v>487642</v>
      </c>
      <c r="AQ88" s="455">
        <f t="shared" si="2057"/>
        <v>487642</v>
      </c>
      <c r="AR88" s="455">
        <f t="shared" si="2057"/>
        <v>487642</v>
      </c>
      <c r="AS88" s="455">
        <f t="shared" si="2057"/>
        <v>487642</v>
      </c>
      <c r="AT88" s="455">
        <f t="shared" si="2057"/>
        <v>487642</v>
      </c>
      <c r="AU88" s="455">
        <f t="shared" si="2057"/>
        <v>487642</v>
      </c>
      <c r="AV88" s="455">
        <f t="shared" si="2057"/>
        <v>487642</v>
      </c>
      <c r="AW88" s="455">
        <f t="shared" si="2057"/>
        <v>487642</v>
      </c>
      <c r="AX88" s="455">
        <f t="shared" si="2057"/>
        <v>487642</v>
      </c>
      <c r="AY88" s="455">
        <f t="shared" si="2057"/>
        <v>487642</v>
      </c>
      <c r="AZ88" s="455">
        <f t="shared" si="2057"/>
        <v>487642</v>
      </c>
      <c r="BA88" s="455">
        <f t="shared" si="2057"/>
        <v>487642</v>
      </c>
      <c r="BB88" s="455">
        <f t="shared" si="2057"/>
        <v>487642</v>
      </c>
      <c r="BC88" s="455">
        <f t="shared" si="2057"/>
        <v>487642</v>
      </c>
      <c r="BD88" s="455">
        <f t="shared" si="2057"/>
        <v>487642</v>
      </c>
      <c r="BE88" s="455">
        <f t="shared" si="2057"/>
        <v>487642</v>
      </c>
      <c r="BF88" s="455">
        <f t="shared" si="2057"/>
        <v>487642</v>
      </c>
      <c r="BG88" s="455">
        <f t="shared" si="2057"/>
        <v>487642</v>
      </c>
      <c r="BH88" s="455">
        <f t="shared" si="2057"/>
        <v>487642</v>
      </c>
      <c r="BI88" s="455">
        <f t="shared" si="2057"/>
        <v>487642</v>
      </c>
      <c r="BJ88" s="455">
        <f t="shared" si="2057"/>
        <v>487642</v>
      </c>
      <c r="BK88" s="455">
        <f t="shared" si="2057"/>
        <v>487642</v>
      </c>
      <c r="BL88" s="455">
        <f t="shared" si="2057"/>
        <v>487642</v>
      </c>
      <c r="BM88" s="455">
        <f t="shared" si="2057"/>
        <v>487642</v>
      </c>
      <c r="BN88" s="455">
        <f t="shared" si="2057"/>
        <v>487642</v>
      </c>
      <c r="BO88" s="455">
        <f t="shared" si="2057"/>
        <v>487642</v>
      </c>
      <c r="BP88" s="455">
        <f t="shared" si="2057"/>
        <v>487642</v>
      </c>
      <c r="BQ88" s="455">
        <f t="shared" si="2057"/>
        <v>487642</v>
      </c>
      <c r="BR88" s="455">
        <f t="shared" si="2057"/>
        <v>487642</v>
      </c>
      <c r="BS88" s="455">
        <f t="shared" si="2057"/>
        <v>487642</v>
      </c>
      <c r="BT88" s="455">
        <f t="shared" si="2057"/>
        <v>487642</v>
      </c>
      <c r="BU88" s="455">
        <f t="shared" ref="BU88:CI88" si="2058">BT88</f>
        <v>487642</v>
      </c>
      <c r="BV88" s="455">
        <f t="shared" si="2058"/>
        <v>487642</v>
      </c>
      <c r="BW88" s="455">
        <f t="shared" si="2058"/>
        <v>487642</v>
      </c>
      <c r="BX88" s="455">
        <f t="shared" si="2058"/>
        <v>487642</v>
      </c>
      <c r="BY88" s="455">
        <f t="shared" si="2058"/>
        <v>487642</v>
      </c>
      <c r="BZ88" s="455">
        <f t="shared" si="2058"/>
        <v>487642</v>
      </c>
      <c r="CA88" s="455">
        <f t="shared" si="2058"/>
        <v>487642</v>
      </c>
      <c r="CB88" s="455">
        <f t="shared" si="2058"/>
        <v>487642</v>
      </c>
      <c r="CC88" s="455">
        <f t="shared" si="2058"/>
        <v>487642</v>
      </c>
      <c r="CD88" s="455">
        <f t="shared" si="2058"/>
        <v>487642</v>
      </c>
      <c r="CE88" s="455">
        <f t="shared" si="2058"/>
        <v>487642</v>
      </c>
      <c r="CF88" s="455">
        <f t="shared" si="2058"/>
        <v>487642</v>
      </c>
      <c r="CG88" s="455">
        <f t="shared" si="2058"/>
        <v>487642</v>
      </c>
      <c r="CH88" s="455">
        <f t="shared" si="2058"/>
        <v>487642</v>
      </c>
      <c r="CI88" s="455">
        <f t="shared" si="2058"/>
        <v>487642</v>
      </c>
      <c r="CJ88" s="455">
        <f>CI88</f>
        <v>487642</v>
      </c>
      <c r="CK88" s="450">
        <f t="shared" si="2053"/>
        <v>40961928</v>
      </c>
      <c r="CL88" s="442"/>
      <c r="CM88" s="442"/>
      <c r="CN88" s="442"/>
      <c r="CO88" s="442"/>
      <c r="CP88" s="442"/>
      <c r="CQ88" s="442"/>
      <c r="CR88" s="442"/>
      <c r="CS88" s="442"/>
      <c r="CT88" s="442"/>
      <c r="CU88" s="442"/>
      <c r="CV88" s="442"/>
      <c r="CW88" s="442"/>
      <c r="CX88" s="442"/>
      <c r="CY88" s="442"/>
      <c r="CZ88" s="442"/>
      <c r="DA88" s="442"/>
      <c r="DB88" s="442"/>
      <c r="DC88" s="442"/>
      <c r="DD88" s="442"/>
      <c r="DE88" s="442"/>
      <c r="DF88" s="442"/>
      <c r="DG88" s="442"/>
      <c r="DH88" s="442"/>
      <c r="DI88" s="442"/>
      <c r="DJ88" s="442"/>
      <c r="DK88" s="442"/>
      <c r="DL88" s="442"/>
      <c r="DM88" s="442"/>
      <c r="DN88" s="442"/>
      <c r="DO88" s="442"/>
      <c r="DP88" s="442"/>
      <c r="DQ88" s="442"/>
      <c r="DR88" s="442"/>
      <c r="DS88" s="442"/>
      <c r="DT88" s="442"/>
      <c r="DU88" s="442"/>
      <c r="DV88" s="442"/>
      <c r="DW88" s="442"/>
      <c r="DX88" s="442"/>
      <c r="DY88" s="442"/>
      <c r="DZ88" s="442"/>
      <c r="EA88" s="442"/>
      <c r="EB88" s="442"/>
      <c r="EC88" s="442"/>
      <c r="ED88" s="442"/>
      <c r="EE88" s="442"/>
      <c r="EF88" s="442"/>
      <c r="EG88" s="442"/>
      <c r="EH88" s="442"/>
      <c r="EI88" s="442"/>
      <c r="EJ88" s="442"/>
      <c r="EK88" s="442"/>
      <c r="EL88" s="442"/>
      <c r="EM88" s="442"/>
      <c r="EN88" s="442"/>
      <c r="EO88" s="442"/>
      <c r="EP88" s="442"/>
      <c r="EQ88" s="442"/>
      <c r="ER88" s="442"/>
      <c r="ES88" s="442"/>
      <c r="ET88" s="443"/>
    </row>
    <row r="89" spans="1:212" s="444" customFormat="1" ht="14.25">
      <c r="A89" s="437"/>
      <c r="B89" s="446" t="s">
        <v>788</v>
      </c>
      <c r="C89" s="446"/>
      <c r="D89" s="447"/>
      <c r="E89" s="448">
        <f>ROUND(取值表!$K$6*(地下商业现金流!E87+地下商业现金流!F87+地下商业现金流!G87+地下商业现金流!H87)/4*1.5%,0)</f>
        <v>25137</v>
      </c>
      <c r="F89" s="448">
        <f t="shared" si="2056"/>
        <v>25137</v>
      </c>
      <c r="G89" s="448">
        <f t="shared" si="2056"/>
        <v>25137</v>
      </c>
      <c r="H89" s="449">
        <f t="shared" si="2056"/>
        <v>25137</v>
      </c>
      <c r="I89" s="448">
        <f>ROUND(取值表!$K$6*(地下商业现金流!I87+地下商业现金流!J87+地下商业现金流!K87+地下商业现金流!L87)/4*1.5%,0)</f>
        <v>25312</v>
      </c>
      <c r="J89" s="448">
        <f t="shared" ref="J89:L89" si="2059">I89</f>
        <v>25312</v>
      </c>
      <c r="K89" s="448">
        <f t="shared" si="2059"/>
        <v>25312</v>
      </c>
      <c r="L89" s="448">
        <f t="shared" si="2059"/>
        <v>25312</v>
      </c>
      <c r="M89" s="448">
        <f>ROUND(取值表!$K$6*(地下商业现金流!M87+地下商业现金流!N87+地下商业现金流!O87+地下商业现金流!P87)/4*1.5%,0)</f>
        <v>26499</v>
      </c>
      <c r="N89" s="448">
        <f t="shared" ref="N89:P89" si="2060">M89</f>
        <v>26499</v>
      </c>
      <c r="O89" s="448">
        <f t="shared" si="2060"/>
        <v>26499</v>
      </c>
      <c r="P89" s="448">
        <f t="shared" si="2060"/>
        <v>26499</v>
      </c>
      <c r="Q89" s="448">
        <f>ROUND(取值表!$K$6*(地下商业现金流!Q87+地下商业现金流!R87+地下商业现金流!S87+地下商业现金流!T87)/4*1.5%,0)</f>
        <v>27877</v>
      </c>
      <c r="R89" s="448">
        <f t="shared" ref="R89:T89" si="2061">Q89</f>
        <v>27877</v>
      </c>
      <c r="S89" s="448">
        <f t="shared" si="2061"/>
        <v>27877</v>
      </c>
      <c r="T89" s="448">
        <f t="shared" si="2061"/>
        <v>27877</v>
      </c>
      <c r="U89" s="448">
        <f>ROUND(取值表!$K$6*(地下商业现金流!U87+地下商业现金流!V87+地下商业现金流!W87+地下商业现金流!X87)/4*1.5%,0)</f>
        <v>29360</v>
      </c>
      <c r="V89" s="448">
        <f t="shared" ref="V89:X89" si="2062">U89</f>
        <v>29360</v>
      </c>
      <c r="W89" s="448">
        <f t="shared" si="2062"/>
        <v>29360</v>
      </c>
      <c r="X89" s="448">
        <f t="shared" si="2062"/>
        <v>29360</v>
      </c>
      <c r="Y89" s="448">
        <f>ROUND(取值表!$K$6*(地下商业现金流!Y87+地下商业现金流!Z87+地下商业现金流!AA87+地下商业现金流!AB87)/4*1.5%,0)</f>
        <v>31034</v>
      </c>
      <c r="Z89" s="448">
        <f>Y89</f>
        <v>31034</v>
      </c>
      <c r="AA89" s="448">
        <f>Z89</f>
        <v>31034</v>
      </c>
      <c r="AB89" s="448">
        <f>AA89</f>
        <v>31034</v>
      </c>
      <c r="AC89" s="448">
        <f>ROUND(取值表!$K$6*(地下商业现金流!AC87+地下商业现金流!AD87+地下商业现金流!AE87+地下商业现金流!AF87)/4*1.5%,0)</f>
        <v>32802</v>
      </c>
      <c r="AD89" s="448">
        <f t="shared" ref="AD89:AF89" si="2063">AC89</f>
        <v>32802</v>
      </c>
      <c r="AE89" s="448">
        <f t="shared" si="2063"/>
        <v>32802</v>
      </c>
      <c r="AF89" s="448">
        <f t="shared" si="2063"/>
        <v>32802</v>
      </c>
      <c r="AG89" s="448">
        <f>ROUND(取值表!$K$6*(地下商业现金流!AG87+地下商业现金流!AH87+地下商业现金流!AI87+地下商业现金流!AJ87)/4*1.5%,0)</f>
        <v>34704</v>
      </c>
      <c r="AH89" s="448">
        <f t="shared" ref="AH89:AJ89" si="2064">AG89</f>
        <v>34704</v>
      </c>
      <c r="AI89" s="448">
        <f t="shared" si="2064"/>
        <v>34704</v>
      </c>
      <c r="AJ89" s="448">
        <f t="shared" si="2064"/>
        <v>34704</v>
      </c>
      <c r="AK89" s="448">
        <f>ROUND(取值表!$K$6*(地下商业现金流!AK87+地下商业现金流!AL87+地下商业现金流!AM87+地下商业现金流!AN87)/4*1.5%,0)</f>
        <v>36717</v>
      </c>
      <c r="AL89" s="448">
        <f t="shared" ref="AL89:AN89" si="2065">AK89</f>
        <v>36717</v>
      </c>
      <c r="AM89" s="448">
        <f t="shared" si="2065"/>
        <v>36717</v>
      </c>
      <c r="AN89" s="448">
        <f t="shared" si="2065"/>
        <v>36717</v>
      </c>
      <c r="AO89" s="448">
        <f>ROUND(取值表!$K$6*(地下商业现金流!AO87+地下商业现金流!AP87+地下商业现金流!AQ87+地下商业现金流!AR87)/4*1.5%,0)</f>
        <v>38847</v>
      </c>
      <c r="AP89" s="448">
        <f t="shared" ref="AP89:AR89" si="2066">AO89</f>
        <v>38847</v>
      </c>
      <c r="AQ89" s="448">
        <f t="shared" si="2066"/>
        <v>38847</v>
      </c>
      <c r="AR89" s="448">
        <f t="shared" si="2066"/>
        <v>38847</v>
      </c>
      <c r="AS89" s="448">
        <f>ROUND(取值表!$K$6*(地下商业现金流!AS87+地下商业现金流!AT87+地下商业现金流!AU87+地下商业现金流!AV87)/4*1.5%,0)</f>
        <v>41100</v>
      </c>
      <c r="AT89" s="448">
        <f t="shared" ref="AT89:AV89" si="2067">AS89</f>
        <v>41100</v>
      </c>
      <c r="AU89" s="448">
        <f t="shared" si="2067"/>
        <v>41100</v>
      </c>
      <c r="AV89" s="448">
        <f t="shared" si="2067"/>
        <v>41100</v>
      </c>
      <c r="AW89" s="448">
        <f>ROUND(取值表!$K$6*(地下商业现金流!AW87+地下商业现金流!AX87+地下商业现金流!AY87+地下商业现金流!AZ87)/4*1.5%,0)</f>
        <v>43484</v>
      </c>
      <c r="AX89" s="448">
        <f t="shared" ref="AX89:AZ89" si="2068">AW89</f>
        <v>43484</v>
      </c>
      <c r="AY89" s="448">
        <f t="shared" si="2068"/>
        <v>43484</v>
      </c>
      <c r="AZ89" s="448">
        <f t="shared" si="2068"/>
        <v>43484</v>
      </c>
      <c r="BA89" s="448">
        <f>ROUND(取值表!$K$6*(地下商业现金流!BA87+地下商业现金流!BB87+地下商业现金流!BC87+地下商业现金流!BD87)/4*1.5%,0)</f>
        <v>46006</v>
      </c>
      <c r="BB89" s="448">
        <f t="shared" ref="BB89:BD89" si="2069">BA89</f>
        <v>46006</v>
      </c>
      <c r="BC89" s="448">
        <f t="shared" si="2069"/>
        <v>46006</v>
      </c>
      <c r="BD89" s="448">
        <f t="shared" si="2069"/>
        <v>46006</v>
      </c>
      <c r="BE89" s="448">
        <f>ROUND(取值表!$K$6*(地下商业现金流!BE87+地下商业现金流!BF87+地下商业现金流!BG87+地下商业现金流!BH87)/4*1.5%,0)</f>
        <v>48674</v>
      </c>
      <c r="BF89" s="448">
        <f t="shared" ref="BF89:BH89" si="2070">BE89</f>
        <v>48674</v>
      </c>
      <c r="BG89" s="448">
        <f t="shared" si="2070"/>
        <v>48674</v>
      </c>
      <c r="BH89" s="448">
        <f t="shared" si="2070"/>
        <v>48674</v>
      </c>
      <c r="BI89" s="448">
        <f>ROUND(取值表!$K$6*(地下商业现金流!BI87+地下商业现金流!BJ87+地下商业现金流!BK87+地下商业现金流!BL87)/4*1.5%,0)</f>
        <v>51497</v>
      </c>
      <c r="BJ89" s="448">
        <f t="shared" ref="BJ89:BL89" si="2071">BI89</f>
        <v>51497</v>
      </c>
      <c r="BK89" s="448">
        <f t="shared" si="2071"/>
        <v>51497</v>
      </c>
      <c r="BL89" s="448">
        <f t="shared" si="2071"/>
        <v>51497</v>
      </c>
      <c r="BM89" s="448">
        <f>ROUND(取值表!$K$6*(地下商业现金流!BM87+地下商业现金流!BN87+地下商业现金流!BO87+地下商业现金流!BP87)/4*1.5%,0)</f>
        <v>54484</v>
      </c>
      <c r="BN89" s="448">
        <f t="shared" ref="BN89:BP89" si="2072">BM89</f>
        <v>54484</v>
      </c>
      <c r="BO89" s="448">
        <f t="shared" si="2072"/>
        <v>54484</v>
      </c>
      <c r="BP89" s="448">
        <f t="shared" si="2072"/>
        <v>54484</v>
      </c>
      <c r="BQ89" s="448">
        <f>ROUND(取值表!$K$6*(地下商业现金流!BQ87+地下商业现金流!BR87+地下商业现金流!BS87+地下商业现金流!BT87)/4*1.5%,0)</f>
        <v>57644</v>
      </c>
      <c r="BR89" s="448">
        <f t="shared" ref="BR89:BT89" si="2073">BQ89</f>
        <v>57644</v>
      </c>
      <c r="BS89" s="448">
        <f t="shared" si="2073"/>
        <v>57644</v>
      </c>
      <c r="BT89" s="448">
        <f t="shared" si="2073"/>
        <v>57644</v>
      </c>
      <c r="BU89" s="448">
        <f>ROUND(取值表!$K$6*(地下商业现金流!BU87+地下商业现金流!BV87+地下商业现金流!BW87+地下商业现金流!BX87)/4*1.5%,0)</f>
        <v>60987</v>
      </c>
      <c r="BV89" s="448">
        <f t="shared" ref="BV89:BX89" si="2074">BU89</f>
        <v>60987</v>
      </c>
      <c r="BW89" s="448">
        <f t="shared" si="2074"/>
        <v>60987</v>
      </c>
      <c r="BX89" s="448">
        <f t="shared" si="2074"/>
        <v>60987</v>
      </c>
      <c r="BY89" s="448">
        <f>ROUND(取值表!$K$6*(地下商业现金流!BY87+地下商业现金流!BZ87+地下商业现金流!CA87+地下商业现金流!CB87)/4*1.5%,0)</f>
        <v>64525</v>
      </c>
      <c r="BZ89" s="448">
        <f t="shared" ref="BZ89:CB89" si="2075">BY89</f>
        <v>64525</v>
      </c>
      <c r="CA89" s="448">
        <f t="shared" si="2075"/>
        <v>64525</v>
      </c>
      <c r="CB89" s="448">
        <f t="shared" si="2075"/>
        <v>64525</v>
      </c>
      <c r="CC89" s="448">
        <f>ROUND(取值表!$K$6*(地下商业现金流!CC87+地下商业现金流!CD87+地下商业现金流!CE87+地下商业现金流!CF87)/4*1.5%,0)</f>
        <v>68267</v>
      </c>
      <c r="CD89" s="448">
        <f t="shared" ref="CD89:CF89" si="2076">CC89</f>
        <v>68267</v>
      </c>
      <c r="CE89" s="448">
        <f t="shared" si="2076"/>
        <v>68267</v>
      </c>
      <c r="CF89" s="448">
        <f t="shared" si="2076"/>
        <v>68267</v>
      </c>
      <c r="CG89" s="448">
        <f>ROUND(取值表!$K$6*(地下商业现金流!CG87+地下商业现金流!CH87+地下商业现金流!CI87+地下商业现金流!CJ87)/4*1.5%,0)</f>
        <v>72227</v>
      </c>
      <c r="CH89" s="448">
        <f t="shared" ref="CH89" si="2077">CG89</f>
        <v>72227</v>
      </c>
      <c r="CI89" s="448">
        <f>CH89</f>
        <v>72227</v>
      </c>
      <c r="CJ89" s="448">
        <f>CI89</f>
        <v>72227</v>
      </c>
      <c r="CK89" s="450">
        <f t="shared" si="2053"/>
        <v>3668736</v>
      </c>
      <c r="CL89" s="442"/>
      <c r="CM89" s="442"/>
      <c r="CN89" s="442"/>
      <c r="CO89" s="442"/>
      <c r="CP89" s="442"/>
      <c r="CQ89" s="442"/>
      <c r="CR89" s="442"/>
      <c r="CS89" s="442"/>
      <c r="CT89" s="442"/>
      <c r="CU89" s="442"/>
      <c r="CV89" s="442"/>
      <c r="CW89" s="442"/>
      <c r="CX89" s="442"/>
      <c r="CY89" s="442"/>
      <c r="CZ89" s="442"/>
      <c r="DA89" s="442"/>
      <c r="DB89" s="442"/>
      <c r="DC89" s="442"/>
      <c r="DD89" s="442"/>
      <c r="DE89" s="442"/>
      <c r="DF89" s="442"/>
      <c r="DG89" s="442"/>
      <c r="DH89" s="442"/>
      <c r="DI89" s="442"/>
      <c r="DJ89" s="442"/>
      <c r="DK89" s="442"/>
      <c r="DL89" s="442"/>
      <c r="DM89" s="442"/>
      <c r="DN89" s="442"/>
      <c r="DO89" s="442"/>
      <c r="DP89" s="442"/>
      <c r="DQ89" s="442"/>
      <c r="DR89" s="442"/>
      <c r="DS89" s="442"/>
      <c r="DT89" s="442"/>
      <c r="DU89" s="442"/>
      <c r="DV89" s="442"/>
      <c r="DW89" s="442"/>
      <c r="DX89" s="442"/>
      <c r="DY89" s="442"/>
      <c r="DZ89" s="442"/>
      <c r="EA89" s="442"/>
      <c r="EB89" s="442"/>
      <c r="EC89" s="442"/>
      <c r="ED89" s="442"/>
      <c r="EE89" s="442"/>
      <c r="EF89" s="442"/>
      <c r="EG89" s="442"/>
      <c r="EH89" s="442"/>
      <c r="EI89" s="442"/>
      <c r="EJ89" s="442"/>
      <c r="EK89" s="442"/>
      <c r="EL89" s="442"/>
      <c r="EM89" s="442"/>
      <c r="EN89" s="442"/>
      <c r="EO89" s="442"/>
      <c r="EP89" s="442"/>
      <c r="EQ89" s="442"/>
      <c r="ER89" s="442"/>
      <c r="ES89" s="442"/>
      <c r="ET89" s="443"/>
    </row>
    <row r="90" spans="1:212" s="453" customFormat="1" ht="21">
      <c r="A90" s="445"/>
      <c r="B90" s="457" t="s">
        <v>959</v>
      </c>
      <c r="C90" s="448"/>
      <c r="D90" s="447"/>
      <c r="E90" s="448">
        <f>E91+E92+E93+E94</f>
        <v>1902862</v>
      </c>
      <c r="F90" s="448">
        <f t="shared" ref="F90:BP90" si="2078">F91+F92+F93+F94</f>
        <v>1902862</v>
      </c>
      <c r="G90" s="448">
        <f t="shared" si="2078"/>
        <v>1910144</v>
      </c>
      <c r="H90" s="448">
        <f t="shared" si="2078"/>
        <v>1914395</v>
      </c>
      <c r="I90" s="448">
        <f t="shared" si="2078"/>
        <v>1915504</v>
      </c>
      <c r="J90" s="448">
        <f t="shared" si="2078"/>
        <v>1915504</v>
      </c>
      <c r="K90" s="448">
        <f t="shared" si="2078"/>
        <v>1924578</v>
      </c>
      <c r="L90" s="448">
        <f t="shared" si="2078"/>
        <v>1924578</v>
      </c>
      <c r="M90" s="448">
        <f t="shared" si="2078"/>
        <v>2004731</v>
      </c>
      <c r="N90" s="448">
        <f t="shared" si="2078"/>
        <v>2004731</v>
      </c>
      <c r="O90" s="448">
        <f t="shared" si="2078"/>
        <v>2004731</v>
      </c>
      <c r="P90" s="448">
        <f t="shared" si="2078"/>
        <v>2004731</v>
      </c>
      <c r="Q90" s="448">
        <f t="shared" si="2078"/>
        <v>2103015</v>
      </c>
      <c r="R90" s="448">
        <f t="shared" si="2078"/>
        <v>2103015</v>
      </c>
      <c r="S90" s="448">
        <f t="shared" si="2078"/>
        <v>2103015</v>
      </c>
      <c r="T90" s="448">
        <f t="shared" si="2078"/>
        <v>2103015</v>
      </c>
      <c r="U90" s="448">
        <f t="shared" si="2078"/>
        <v>2208800</v>
      </c>
      <c r="V90" s="448">
        <f t="shared" si="2078"/>
        <v>2208800</v>
      </c>
      <c r="W90" s="448">
        <f t="shared" si="2078"/>
        <v>2208800</v>
      </c>
      <c r="X90" s="448">
        <f t="shared" si="2078"/>
        <v>2208800</v>
      </c>
      <c r="Y90" s="448">
        <f t="shared" si="2078"/>
        <v>2328160</v>
      </c>
      <c r="Z90" s="448">
        <f t="shared" si="2078"/>
        <v>2328160</v>
      </c>
      <c r="AA90" s="448">
        <f t="shared" si="2078"/>
        <v>2328160</v>
      </c>
      <c r="AB90" s="448">
        <f t="shared" si="2078"/>
        <v>2328160</v>
      </c>
      <c r="AC90" s="448">
        <f t="shared" si="2078"/>
        <v>2454285</v>
      </c>
      <c r="AD90" s="448">
        <f t="shared" si="2078"/>
        <v>2454285</v>
      </c>
      <c r="AE90" s="448">
        <f t="shared" si="2078"/>
        <v>2454285</v>
      </c>
      <c r="AF90" s="448">
        <f t="shared" si="2078"/>
        <v>2454285</v>
      </c>
      <c r="AG90" s="448">
        <f t="shared" si="2078"/>
        <v>2589979</v>
      </c>
      <c r="AH90" s="448">
        <f t="shared" si="2078"/>
        <v>2589979</v>
      </c>
      <c r="AI90" s="448">
        <f t="shared" si="2078"/>
        <v>2589979</v>
      </c>
      <c r="AJ90" s="448">
        <f t="shared" si="2078"/>
        <v>2589979</v>
      </c>
      <c r="AK90" s="448">
        <f t="shared" si="2078"/>
        <v>2733545</v>
      </c>
      <c r="AL90" s="448">
        <f t="shared" si="2078"/>
        <v>2733545</v>
      </c>
      <c r="AM90" s="448">
        <f t="shared" si="2078"/>
        <v>2733545</v>
      </c>
      <c r="AN90" s="448">
        <f t="shared" si="2078"/>
        <v>2733545</v>
      </c>
      <c r="AO90" s="448">
        <f t="shared" si="2078"/>
        <v>2885438</v>
      </c>
      <c r="AP90" s="448">
        <f t="shared" si="2078"/>
        <v>2885438</v>
      </c>
      <c r="AQ90" s="448">
        <f t="shared" si="2078"/>
        <v>2885438</v>
      </c>
      <c r="AR90" s="448">
        <f t="shared" si="2078"/>
        <v>2885438</v>
      </c>
      <c r="AS90" s="448">
        <f t="shared" si="2078"/>
        <v>3046139</v>
      </c>
      <c r="AT90" s="448">
        <f t="shared" si="2078"/>
        <v>3046139</v>
      </c>
      <c r="AU90" s="448">
        <f t="shared" si="2078"/>
        <v>3046139</v>
      </c>
      <c r="AV90" s="448">
        <f t="shared" si="2078"/>
        <v>3046139</v>
      </c>
      <c r="AW90" s="448">
        <f t="shared" si="2078"/>
        <v>3216162</v>
      </c>
      <c r="AX90" s="448">
        <f t="shared" si="2078"/>
        <v>3216162</v>
      </c>
      <c r="AY90" s="448">
        <f t="shared" si="2078"/>
        <v>3216162</v>
      </c>
      <c r="AZ90" s="448">
        <f t="shared" si="2078"/>
        <v>3216162</v>
      </c>
      <c r="BA90" s="448">
        <f t="shared" si="2078"/>
        <v>3396046</v>
      </c>
      <c r="BB90" s="448">
        <f t="shared" si="2078"/>
        <v>3396046</v>
      </c>
      <c r="BC90" s="448">
        <f t="shared" si="2078"/>
        <v>3396046</v>
      </c>
      <c r="BD90" s="448">
        <f t="shared" si="2078"/>
        <v>3396046</v>
      </c>
      <c r="BE90" s="448">
        <f t="shared" si="2078"/>
        <v>3586363</v>
      </c>
      <c r="BF90" s="448">
        <f t="shared" si="2078"/>
        <v>3586363</v>
      </c>
      <c r="BG90" s="448">
        <f t="shared" si="2078"/>
        <v>3586363</v>
      </c>
      <c r="BH90" s="448">
        <f t="shared" si="2078"/>
        <v>3586363</v>
      </c>
      <c r="BI90" s="448">
        <f t="shared" si="2078"/>
        <v>3787720</v>
      </c>
      <c r="BJ90" s="448">
        <f t="shared" si="2078"/>
        <v>3787720</v>
      </c>
      <c r="BK90" s="448">
        <f t="shared" si="2078"/>
        <v>3787720</v>
      </c>
      <c r="BL90" s="448">
        <f t="shared" si="2078"/>
        <v>3787720</v>
      </c>
      <c r="BM90" s="448">
        <f t="shared" si="2078"/>
        <v>4000754</v>
      </c>
      <c r="BN90" s="448">
        <f t="shared" si="2078"/>
        <v>4000754</v>
      </c>
      <c r="BO90" s="448">
        <f t="shared" si="2078"/>
        <v>4000754</v>
      </c>
      <c r="BP90" s="448">
        <f t="shared" si="2078"/>
        <v>4000754</v>
      </c>
      <c r="BQ90" s="448">
        <f t="shared" ref="BQ90:CI90" si="2079">BQ91+BQ92+BQ93+BQ94</f>
        <v>4226144</v>
      </c>
      <c r="BR90" s="448">
        <f t="shared" si="2079"/>
        <v>4226144</v>
      </c>
      <c r="BS90" s="448">
        <f t="shared" si="2079"/>
        <v>4226144</v>
      </c>
      <c r="BT90" s="448">
        <f t="shared" si="2079"/>
        <v>4226144</v>
      </c>
      <c r="BU90" s="448">
        <f t="shared" si="2079"/>
        <v>4464606</v>
      </c>
      <c r="BV90" s="448">
        <f t="shared" si="2079"/>
        <v>4464606</v>
      </c>
      <c r="BW90" s="448">
        <f t="shared" si="2079"/>
        <v>4464606</v>
      </c>
      <c r="BX90" s="448">
        <f t="shared" si="2079"/>
        <v>4464606</v>
      </c>
      <c r="BY90" s="448">
        <f t="shared" si="2079"/>
        <v>4716901</v>
      </c>
      <c r="BZ90" s="448">
        <f t="shared" si="2079"/>
        <v>4716901</v>
      </c>
      <c r="CA90" s="448">
        <f t="shared" si="2079"/>
        <v>4716901</v>
      </c>
      <c r="CB90" s="448">
        <f t="shared" si="2079"/>
        <v>4716901</v>
      </c>
      <c r="CC90" s="448">
        <f t="shared" si="2079"/>
        <v>4983828</v>
      </c>
      <c r="CD90" s="448">
        <f t="shared" si="2079"/>
        <v>4983828</v>
      </c>
      <c r="CE90" s="448">
        <f t="shared" si="2079"/>
        <v>4983828</v>
      </c>
      <c r="CF90" s="448">
        <f t="shared" si="2079"/>
        <v>4983828</v>
      </c>
      <c r="CG90" s="448">
        <f t="shared" si="2079"/>
        <v>5266237</v>
      </c>
      <c r="CH90" s="448">
        <f t="shared" si="2079"/>
        <v>5266237</v>
      </c>
      <c r="CI90" s="448">
        <f t="shared" si="2079"/>
        <v>5266237</v>
      </c>
      <c r="CJ90" s="448">
        <f>CJ91+CJ92+CJ93+CJ94</f>
        <v>5266237</v>
      </c>
      <c r="CK90" s="450">
        <f t="shared" si="2053"/>
        <v>271305839</v>
      </c>
      <c r="CL90" s="451"/>
      <c r="CM90" s="451"/>
      <c r="CN90" s="451"/>
      <c r="CO90" s="451"/>
      <c r="CP90" s="451"/>
      <c r="CQ90" s="451"/>
      <c r="CR90" s="451"/>
      <c r="CS90" s="451"/>
      <c r="CT90" s="451"/>
      <c r="CU90" s="451"/>
      <c r="CV90" s="451"/>
      <c r="CW90" s="451"/>
      <c r="CX90" s="451"/>
      <c r="CY90" s="451"/>
      <c r="CZ90" s="451"/>
      <c r="DA90" s="451"/>
      <c r="DB90" s="451"/>
      <c r="DC90" s="451"/>
      <c r="DD90" s="451"/>
      <c r="DE90" s="451"/>
      <c r="DF90" s="451"/>
      <c r="DG90" s="451"/>
      <c r="DH90" s="451"/>
      <c r="DI90" s="451"/>
      <c r="DJ90" s="451"/>
      <c r="DK90" s="451"/>
      <c r="DL90" s="451"/>
      <c r="DM90" s="451"/>
      <c r="DN90" s="451"/>
      <c r="DO90" s="451"/>
      <c r="DP90" s="451"/>
      <c r="DQ90" s="451"/>
      <c r="DR90" s="451"/>
      <c r="DS90" s="451"/>
      <c r="DT90" s="451"/>
      <c r="DU90" s="451"/>
      <c r="DV90" s="451"/>
      <c r="DW90" s="451"/>
      <c r="DX90" s="451"/>
      <c r="DY90" s="451"/>
      <c r="DZ90" s="451"/>
      <c r="EA90" s="451"/>
      <c r="EB90" s="451"/>
      <c r="EC90" s="451"/>
      <c r="ED90" s="451"/>
      <c r="EE90" s="451"/>
      <c r="EF90" s="451"/>
      <c r="EG90" s="451"/>
      <c r="EH90" s="451"/>
      <c r="EI90" s="451"/>
      <c r="EJ90" s="451"/>
      <c r="EK90" s="451"/>
      <c r="EL90" s="451"/>
      <c r="EM90" s="451"/>
      <c r="EN90" s="451"/>
      <c r="EO90" s="451"/>
      <c r="EP90" s="451"/>
      <c r="EQ90" s="451"/>
      <c r="ER90" s="451"/>
      <c r="ES90" s="451"/>
      <c r="ET90" s="452"/>
    </row>
    <row r="91" spans="1:212" s="453" customFormat="1" ht="14.25">
      <c r="A91" s="445"/>
      <c r="B91" s="446" t="s">
        <v>789</v>
      </c>
      <c r="C91" s="446"/>
      <c r="D91" s="458">
        <v>0.12</v>
      </c>
      <c r="E91" s="459">
        <f>ROUND(E86*$D$91,0)</f>
        <v>1064352</v>
      </c>
      <c r="F91" s="459">
        <f t="shared" ref="F91:BQ91" si="2080">ROUND(F86*$D$91,0)</f>
        <v>1064352</v>
      </c>
      <c r="G91" s="459">
        <f t="shared" si="2080"/>
        <v>1068448</v>
      </c>
      <c r="H91" s="460">
        <f t="shared" si="2080"/>
        <v>1070839</v>
      </c>
      <c r="I91" s="459">
        <f t="shared" si="2080"/>
        <v>1071463</v>
      </c>
      <c r="J91" s="459">
        <f t="shared" si="2080"/>
        <v>1071463</v>
      </c>
      <c r="K91" s="459">
        <f t="shared" si="2080"/>
        <v>1076567</v>
      </c>
      <c r="L91" s="459">
        <f t="shared" si="2080"/>
        <v>1076567</v>
      </c>
      <c r="M91" s="459">
        <f t="shared" si="2080"/>
        <v>1121653</v>
      </c>
      <c r="N91" s="459">
        <f t="shared" si="2080"/>
        <v>1121653</v>
      </c>
      <c r="O91" s="459">
        <f t="shared" si="2080"/>
        <v>1121653</v>
      </c>
      <c r="P91" s="459">
        <f t="shared" si="2080"/>
        <v>1121653</v>
      </c>
      <c r="Q91" s="459">
        <f t="shared" si="2080"/>
        <v>1176938</v>
      </c>
      <c r="R91" s="459">
        <f t="shared" si="2080"/>
        <v>1176938</v>
      </c>
      <c r="S91" s="459">
        <f t="shared" si="2080"/>
        <v>1176938</v>
      </c>
      <c r="T91" s="459">
        <f t="shared" si="2080"/>
        <v>1176938</v>
      </c>
      <c r="U91" s="459">
        <f t="shared" si="2080"/>
        <v>1236442</v>
      </c>
      <c r="V91" s="459">
        <f t="shared" si="2080"/>
        <v>1236442</v>
      </c>
      <c r="W91" s="459">
        <f t="shared" si="2080"/>
        <v>1236442</v>
      </c>
      <c r="X91" s="459">
        <f t="shared" si="2080"/>
        <v>1236442</v>
      </c>
      <c r="Y91" s="459">
        <f t="shared" si="2080"/>
        <v>1303582</v>
      </c>
      <c r="Z91" s="459">
        <f t="shared" si="2080"/>
        <v>1303582</v>
      </c>
      <c r="AA91" s="459">
        <f t="shared" si="2080"/>
        <v>1303582</v>
      </c>
      <c r="AB91" s="459">
        <f t="shared" si="2080"/>
        <v>1303582</v>
      </c>
      <c r="AC91" s="459">
        <f t="shared" si="2080"/>
        <v>1374527</v>
      </c>
      <c r="AD91" s="459">
        <f t="shared" si="2080"/>
        <v>1374527</v>
      </c>
      <c r="AE91" s="459">
        <f t="shared" si="2080"/>
        <v>1374527</v>
      </c>
      <c r="AF91" s="459">
        <f t="shared" si="2080"/>
        <v>1374527</v>
      </c>
      <c r="AG91" s="459">
        <f t="shared" si="2080"/>
        <v>1450855</v>
      </c>
      <c r="AH91" s="459">
        <f t="shared" si="2080"/>
        <v>1450855</v>
      </c>
      <c r="AI91" s="459">
        <f t="shared" si="2080"/>
        <v>1450855</v>
      </c>
      <c r="AJ91" s="459">
        <f t="shared" si="2080"/>
        <v>1450855</v>
      </c>
      <c r="AK91" s="459">
        <f t="shared" si="2080"/>
        <v>1531611</v>
      </c>
      <c r="AL91" s="459">
        <f t="shared" si="2080"/>
        <v>1531611</v>
      </c>
      <c r="AM91" s="459">
        <f t="shared" si="2080"/>
        <v>1531611</v>
      </c>
      <c r="AN91" s="459">
        <f t="shared" si="2080"/>
        <v>1531611</v>
      </c>
      <c r="AO91" s="459">
        <f t="shared" si="2080"/>
        <v>1617051</v>
      </c>
      <c r="AP91" s="459">
        <f t="shared" si="2080"/>
        <v>1617051</v>
      </c>
      <c r="AQ91" s="459">
        <f t="shared" si="2080"/>
        <v>1617051</v>
      </c>
      <c r="AR91" s="459">
        <f t="shared" si="2080"/>
        <v>1617051</v>
      </c>
      <c r="AS91" s="459">
        <f t="shared" si="2080"/>
        <v>1707445</v>
      </c>
      <c r="AT91" s="459">
        <f t="shared" si="2080"/>
        <v>1707445</v>
      </c>
      <c r="AU91" s="459">
        <f t="shared" si="2080"/>
        <v>1707445</v>
      </c>
      <c r="AV91" s="459">
        <f t="shared" si="2080"/>
        <v>1707445</v>
      </c>
      <c r="AW91" s="459">
        <f t="shared" si="2080"/>
        <v>1803083</v>
      </c>
      <c r="AX91" s="459">
        <f t="shared" si="2080"/>
        <v>1803083</v>
      </c>
      <c r="AY91" s="459">
        <f t="shared" si="2080"/>
        <v>1803083</v>
      </c>
      <c r="AZ91" s="459">
        <f t="shared" si="2080"/>
        <v>1803083</v>
      </c>
      <c r="BA91" s="459">
        <f t="shared" si="2080"/>
        <v>1904268</v>
      </c>
      <c r="BB91" s="459">
        <f t="shared" si="2080"/>
        <v>1904268</v>
      </c>
      <c r="BC91" s="459">
        <f t="shared" si="2080"/>
        <v>1904268</v>
      </c>
      <c r="BD91" s="459">
        <f t="shared" si="2080"/>
        <v>1904268</v>
      </c>
      <c r="BE91" s="459">
        <f t="shared" si="2080"/>
        <v>2011321</v>
      </c>
      <c r="BF91" s="459">
        <f t="shared" si="2080"/>
        <v>2011321</v>
      </c>
      <c r="BG91" s="459">
        <f t="shared" si="2080"/>
        <v>2011321</v>
      </c>
      <c r="BH91" s="459">
        <f t="shared" si="2080"/>
        <v>2011321</v>
      </c>
      <c r="BI91" s="459">
        <f t="shared" si="2080"/>
        <v>2124584</v>
      </c>
      <c r="BJ91" s="459">
        <f t="shared" si="2080"/>
        <v>2124584</v>
      </c>
      <c r="BK91" s="459">
        <f t="shared" si="2080"/>
        <v>2124584</v>
      </c>
      <c r="BL91" s="459">
        <f t="shared" si="2080"/>
        <v>2124584</v>
      </c>
      <c r="BM91" s="459">
        <f t="shared" si="2080"/>
        <v>2244416</v>
      </c>
      <c r="BN91" s="459">
        <f t="shared" si="2080"/>
        <v>2244416</v>
      </c>
      <c r="BO91" s="459">
        <f t="shared" si="2080"/>
        <v>2244416</v>
      </c>
      <c r="BP91" s="459">
        <f t="shared" si="2080"/>
        <v>2244416</v>
      </c>
      <c r="BQ91" s="459">
        <f t="shared" si="2080"/>
        <v>2371198</v>
      </c>
      <c r="BR91" s="459">
        <f t="shared" ref="BR91:CI91" si="2081">ROUND(BR86*$D$91,0)</f>
        <v>2371198</v>
      </c>
      <c r="BS91" s="459">
        <f t="shared" si="2081"/>
        <v>2371198</v>
      </c>
      <c r="BT91" s="459">
        <f t="shared" si="2081"/>
        <v>2371198</v>
      </c>
      <c r="BU91" s="459">
        <f t="shared" si="2081"/>
        <v>2505333</v>
      </c>
      <c r="BV91" s="459">
        <f t="shared" si="2081"/>
        <v>2505333</v>
      </c>
      <c r="BW91" s="459">
        <f t="shared" si="2081"/>
        <v>2505333</v>
      </c>
      <c r="BX91" s="459">
        <f t="shared" si="2081"/>
        <v>2505333</v>
      </c>
      <c r="BY91" s="459">
        <f t="shared" si="2081"/>
        <v>2647249</v>
      </c>
      <c r="BZ91" s="459">
        <f t="shared" si="2081"/>
        <v>2647249</v>
      </c>
      <c r="CA91" s="459">
        <f t="shared" si="2081"/>
        <v>2647249</v>
      </c>
      <c r="CB91" s="459">
        <f t="shared" si="2081"/>
        <v>2647249</v>
      </c>
      <c r="CC91" s="459">
        <f t="shared" si="2081"/>
        <v>2797395</v>
      </c>
      <c r="CD91" s="459">
        <f t="shared" si="2081"/>
        <v>2797395</v>
      </c>
      <c r="CE91" s="459">
        <f t="shared" si="2081"/>
        <v>2797395</v>
      </c>
      <c r="CF91" s="459">
        <f t="shared" si="2081"/>
        <v>2797395</v>
      </c>
      <c r="CG91" s="459">
        <f t="shared" si="2081"/>
        <v>2956250</v>
      </c>
      <c r="CH91" s="459">
        <f t="shared" si="2081"/>
        <v>2956250</v>
      </c>
      <c r="CI91" s="459">
        <f t="shared" si="2081"/>
        <v>2956250</v>
      </c>
      <c r="CJ91" s="459">
        <f>ROUND(CJ86*$D$91,0)</f>
        <v>2956250</v>
      </c>
      <c r="CK91" s="450">
        <f t="shared" si="2053"/>
        <v>152104855</v>
      </c>
      <c r="CL91" s="451"/>
      <c r="CM91" s="451"/>
      <c r="CN91" s="451"/>
      <c r="CO91" s="451"/>
      <c r="CP91" s="451"/>
      <c r="CQ91" s="451"/>
      <c r="CR91" s="451"/>
      <c r="CS91" s="451"/>
      <c r="CT91" s="451"/>
      <c r="CU91" s="451"/>
      <c r="CV91" s="451"/>
      <c r="CW91" s="451"/>
      <c r="CX91" s="451"/>
      <c r="CY91" s="451"/>
      <c r="CZ91" s="451"/>
      <c r="DA91" s="451"/>
      <c r="DB91" s="451"/>
      <c r="DC91" s="451"/>
      <c r="DD91" s="451"/>
      <c r="DE91" s="451"/>
      <c r="DF91" s="451"/>
      <c r="DG91" s="451"/>
      <c r="DH91" s="451"/>
      <c r="DI91" s="451"/>
      <c r="DJ91" s="451"/>
      <c r="DK91" s="451"/>
      <c r="DL91" s="451"/>
      <c r="DM91" s="451"/>
      <c r="DN91" s="451"/>
      <c r="DO91" s="451"/>
      <c r="DP91" s="451"/>
      <c r="DQ91" s="451"/>
      <c r="DR91" s="451"/>
      <c r="DS91" s="451"/>
      <c r="DT91" s="451"/>
      <c r="DU91" s="451"/>
      <c r="DV91" s="451"/>
      <c r="DW91" s="451"/>
      <c r="DX91" s="451"/>
      <c r="DY91" s="451"/>
      <c r="DZ91" s="451"/>
      <c r="EA91" s="451"/>
      <c r="EB91" s="451"/>
      <c r="EC91" s="451"/>
      <c r="ED91" s="451"/>
      <c r="EE91" s="451"/>
      <c r="EF91" s="451"/>
      <c r="EG91" s="451"/>
      <c r="EH91" s="451"/>
      <c r="EI91" s="451"/>
      <c r="EJ91" s="451"/>
      <c r="EK91" s="451"/>
      <c r="EL91" s="451"/>
      <c r="EM91" s="451"/>
      <c r="EN91" s="451"/>
      <c r="EO91" s="451"/>
      <c r="EP91" s="451"/>
      <c r="EQ91" s="451"/>
      <c r="ER91" s="451"/>
      <c r="ES91" s="451"/>
      <c r="ET91" s="452"/>
    </row>
    <row r="92" spans="1:212" s="444" customFormat="1" ht="14.25">
      <c r="A92" s="437"/>
      <c r="B92" s="446" t="s">
        <v>960</v>
      </c>
      <c r="C92" s="446"/>
      <c r="D92" s="447">
        <v>5.6000000000000001E-2</v>
      </c>
      <c r="E92" s="448">
        <f>ROUND(E86*$D$92/(1+5%),0)</f>
        <v>473045</v>
      </c>
      <c r="F92" s="448">
        <f t="shared" ref="F92:BQ92" si="2082">ROUND(F86*$D$92/(1+5%),0)</f>
        <v>473045</v>
      </c>
      <c r="G92" s="448">
        <f t="shared" si="2082"/>
        <v>474866</v>
      </c>
      <c r="H92" s="449">
        <f t="shared" si="2082"/>
        <v>475929</v>
      </c>
      <c r="I92" s="448">
        <f t="shared" si="2082"/>
        <v>476206</v>
      </c>
      <c r="J92" s="448">
        <f>ROUND(J86*$D$92/(1+5%),0)</f>
        <v>476206</v>
      </c>
      <c r="K92" s="448">
        <f t="shared" si="2082"/>
        <v>478474</v>
      </c>
      <c r="L92" s="448">
        <f t="shared" si="2082"/>
        <v>478474</v>
      </c>
      <c r="M92" s="448">
        <f t="shared" si="2082"/>
        <v>498513</v>
      </c>
      <c r="N92" s="448">
        <f t="shared" si="2082"/>
        <v>498513</v>
      </c>
      <c r="O92" s="448">
        <f t="shared" si="2082"/>
        <v>498513</v>
      </c>
      <c r="P92" s="448">
        <f t="shared" si="2082"/>
        <v>498513</v>
      </c>
      <c r="Q92" s="448">
        <f t="shared" si="2082"/>
        <v>523083</v>
      </c>
      <c r="R92" s="448">
        <f t="shared" si="2082"/>
        <v>523083</v>
      </c>
      <c r="S92" s="448">
        <f t="shared" si="2082"/>
        <v>523083</v>
      </c>
      <c r="T92" s="448">
        <f t="shared" si="2082"/>
        <v>523083</v>
      </c>
      <c r="U92" s="448">
        <f t="shared" si="2082"/>
        <v>549530</v>
      </c>
      <c r="V92" s="448">
        <f t="shared" si="2082"/>
        <v>549530</v>
      </c>
      <c r="W92" s="448">
        <f t="shared" si="2082"/>
        <v>549530</v>
      </c>
      <c r="X92" s="448">
        <f t="shared" si="2082"/>
        <v>549530</v>
      </c>
      <c r="Y92" s="448">
        <f t="shared" si="2082"/>
        <v>579370</v>
      </c>
      <c r="Z92" s="448">
        <f t="shared" si="2082"/>
        <v>579370</v>
      </c>
      <c r="AA92" s="448">
        <f t="shared" si="2082"/>
        <v>579370</v>
      </c>
      <c r="AB92" s="448">
        <f t="shared" si="2082"/>
        <v>579370</v>
      </c>
      <c r="AC92" s="448">
        <f t="shared" si="2082"/>
        <v>610901</v>
      </c>
      <c r="AD92" s="448">
        <f t="shared" si="2082"/>
        <v>610901</v>
      </c>
      <c r="AE92" s="448">
        <f t="shared" si="2082"/>
        <v>610901</v>
      </c>
      <c r="AF92" s="448">
        <f t="shared" si="2082"/>
        <v>610901</v>
      </c>
      <c r="AG92" s="448">
        <f t="shared" si="2082"/>
        <v>644825</v>
      </c>
      <c r="AH92" s="448">
        <f t="shared" si="2082"/>
        <v>644825</v>
      </c>
      <c r="AI92" s="448">
        <f t="shared" si="2082"/>
        <v>644825</v>
      </c>
      <c r="AJ92" s="448">
        <f t="shared" si="2082"/>
        <v>644825</v>
      </c>
      <c r="AK92" s="448">
        <f t="shared" si="2082"/>
        <v>680716</v>
      </c>
      <c r="AL92" s="448">
        <f t="shared" si="2082"/>
        <v>680716</v>
      </c>
      <c r="AM92" s="448">
        <f t="shared" si="2082"/>
        <v>680716</v>
      </c>
      <c r="AN92" s="448">
        <f t="shared" si="2082"/>
        <v>680716</v>
      </c>
      <c r="AO92" s="448">
        <f t="shared" si="2082"/>
        <v>718689</v>
      </c>
      <c r="AP92" s="448">
        <f t="shared" si="2082"/>
        <v>718689</v>
      </c>
      <c r="AQ92" s="448">
        <f t="shared" si="2082"/>
        <v>718689</v>
      </c>
      <c r="AR92" s="448">
        <f t="shared" si="2082"/>
        <v>718689</v>
      </c>
      <c r="AS92" s="448">
        <f t="shared" si="2082"/>
        <v>758865</v>
      </c>
      <c r="AT92" s="448">
        <f t="shared" si="2082"/>
        <v>758865</v>
      </c>
      <c r="AU92" s="448">
        <f t="shared" si="2082"/>
        <v>758865</v>
      </c>
      <c r="AV92" s="448">
        <f t="shared" si="2082"/>
        <v>758865</v>
      </c>
      <c r="AW92" s="448">
        <f t="shared" si="2082"/>
        <v>801370</v>
      </c>
      <c r="AX92" s="448">
        <f t="shared" si="2082"/>
        <v>801370</v>
      </c>
      <c r="AY92" s="448">
        <f t="shared" si="2082"/>
        <v>801370</v>
      </c>
      <c r="AZ92" s="448">
        <f t="shared" si="2082"/>
        <v>801370</v>
      </c>
      <c r="BA92" s="448">
        <f t="shared" si="2082"/>
        <v>846341</v>
      </c>
      <c r="BB92" s="448">
        <f t="shared" si="2082"/>
        <v>846341</v>
      </c>
      <c r="BC92" s="448">
        <f t="shared" si="2082"/>
        <v>846341</v>
      </c>
      <c r="BD92" s="448">
        <f t="shared" si="2082"/>
        <v>846341</v>
      </c>
      <c r="BE92" s="448">
        <f t="shared" si="2082"/>
        <v>893921</v>
      </c>
      <c r="BF92" s="448">
        <f t="shared" si="2082"/>
        <v>893921</v>
      </c>
      <c r="BG92" s="448">
        <f t="shared" si="2082"/>
        <v>893921</v>
      </c>
      <c r="BH92" s="448">
        <f t="shared" si="2082"/>
        <v>893921</v>
      </c>
      <c r="BI92" s="448">
        <f t="shared" si="2082"/>
        <v>944260</v>
      </c>
      <c r="BJ92" s="448">
        <f t="shared" si="2082"/>
        <v>944260</v>
      </c>
      <c r="BK92" s="448">
        <f t="shared" si="2082"/>
        <v>944260</v>
      </c>
      <c r="BL92" s="448">
        <f t="shared" si="2082"/>
        <v>944260</v>
      </c>
      <c r="BM92" s="448">
        <f t="shared" si="2082"/>
        <v>997518</v>
      </c>
      <c r="BN92" s="448">
        <f t="shared" si="2082"/>
        <v>997518</v>
      </c>
      <c r="BO92" s="448">
        <f t="shared" si="2082"/>
        <v>997518</v>
      </c>
      <c r="BP92" s="448">
        <f t="shared" si="2082"/>
        <v>997518</v>
      </c>
      <c r="BQ92" s="448">
        <f t="shared" si="2082"/>
        <v>1053866</v>
      </c>
      <c r="BR92" s="448">
        <f t="shared" ref="BR92:CJ92" si="2083">ROUND(BR86*$D$92/(1+5%),0)</f>
        <v>1053866</v>
      </c>
      <c r="BS92" s="448">
        <f t="shared" si="2083"/>
        <v>1053866</v>
      </c>
      <c r="BT92" s="448">
        <f t="shared" si="2083"/>
        <v>1053866</v>
      </c>
      <c r="BU92" s="448">
        <f t="shared" si="2083"/>
        <v>1113481</v>
      </c>
      <c r="BV92" s="448">
        <f t="shared" si="2083"/>
        <v>1113481</v>
      </c>
      <c r="BW92" s="448">
        <f t="shared" si="2083"/>
        <v>1113481</v>
      </c>
      <c r="BX92" s="448">
        <f t="shared" si="2083"/>
        <v>1113481</v>
      </c>
      <c r="BY92" s="448">
        <f t="shared" si="2083"/>
        <v>1176555</v>
      </c>
      <c r="BZ92" s="448">
        <f t="shared" si="2083"/>
        <v>1176555</v>
      </c>
      <c r="CA92" s="448">
        <f t="shared" si="2083"/>
        <v>1176555</v>
      </c>
      <c r="CB92" s="448">
        <f t="shared" si="2083"/>
        <v>1176555</v>
      </c>
      <c r="CC92" s="448">
        <f t="shared" si="2083"/>
        <v>1243287</v>
      </c>
      <c r="CD92" s="448">
        <f t="shared" si="2083"/>
        <v>1243287</v>
      </c>
      <c r="CE92" s="448">
        <f t="shared" si="2083"/>
        <v>1243287</v>
      </c>
      <c r="CF92" s="448">
        <f t="shared" si="2083"/>
        <v>1243287</v>
      </c>
      <c r="CG92" s="448">
        <f t="shared" si="2083"/>
        <v>1313889</v>
      </c>
      <c r="CH92" s="448">
        <f t="shared" si="2083"/>
        <v>1313889</v>
      </c>
      <c r="CI92" s="448">
        <f t="shared" si="2083"/>
        <v>1313889</v>
      </c>
      <c r="CJ92" s="448">
        <f t="shared" si="2083"/>
        <v>1313889</v>
      </c>
      <c r="CK92" s="450">
        <f t="shared" si="2053"/>
        <v>67602165</v>
      </c>
      <c r="CL92" s="442"/>
      <c r="CM92" s="442"/>
      <c r="CN92" s="442"/>
      <c r="CO92" s="442"/>
      <c r="CP92" s="442"/>
      <c r="CQ92" s="442"/>
      <c r="CR92" s="442"/>
      <c r="CS92" s="442"/>
      <c r="CT92" s="442"/>
      <c r="CU92" s="442"/>
      <c r="CV92" s="442"/>
      <c r="CW92" s="442"/>
      <c r="CX92" s="442"/>
      <c r="CY92" s="442"/>
      <c r="CZ92" s="442"/>
      <c r="DA92" s="442"/>
      <c r="DB92" s="442"/>
      <c r="DC92" s="442"/>
      <c r="DD92" s="442"/>
      <c r="DE92" s="442"/>
      <c r="DF92" s="442"/>
      <c r="DG92" s="442"/>
      <c r="DH92" s="442"/>
      <c r="DI92" s="442"/>
      <c r="DJ92" s="442"/>
      <c r="DK92" s="442"/>
      <c r="DL92" s="442"/>
      <c r="DM92" s="442"/>
      <c r="DN92" s="442"/>
      <c r="DO92" s="442"/>
      <c r="DP92" s="442"/>
      <c r="DQ92" s="442"/>
      <c r="DR92" s="442"/>
      <c r="DS92" s="442"/>
      <c r="DT92" s="442"/>
      <c r="DU92" s="442"/>
      <c r="DV92" s="442"/>
      <c r="DW92" s="442"/>
      <c r="DX92" s="442"/>
      <c r="DY92" s="442"/>
      <c r="DZ92" s="442"/>
      <c r="EA92" s="442"/>
      <c r="EB92" s="442"/>
      <c r="EC92" s="442"/>
      <c r="ED92" s="442"/>
      <c r="EE92" s="442"/>
      <c r="EF92" s="442"/>
      <c r="EG92" s="442"/>
      <c r="EH92" s="442"/>
      <c r="EI92" s="442"/>
      <c r="EJ92" s="442"/>
      <c r="EK92" s="442"/>
      <c r="EL92" s="442"/>
      <c r="EM92" s="442"/>
      <c r="EN92" s="442"/>
      <c r="EO92" s="442"/>
      <c r="EP92" s="442"/>
      <c r="EQ92" s="442"/>
      <c r="ER92" s="442"/>
      <c r="ES92" s="442"/>
      <c r="ET92" s="443"/>
    </row>
    <row r="93" spans="1:212" s="444" customFormat="1" ht="14.25">
      <c r="A93" s="437"/>
      <c r="B93" s="446" t="s">
        <v>790</v>
      </c>
      <c r="C93" s="446"/>
      <c r="D93" s="395">
        <f>仓储现金流!D85</f>
        <v>0.04</v>
      </c>
      <c r="E93" s="448">
        <f>ROUND(E86*$D$93,0)</f>
        <v>354784</v>
      </c>
      <c r="F93" s="448">
        <f t="shared" ref="F93:BQ93" si="2084">ROUND(F86*$D$93,0)</f>
        <v>354784</v>
      </c>
      <c r="G93" s="448">
        <f t="shared" si="2084"/>
        <v>356149</v>
      </c>
      <c r="H93" s="449">
        <f t="shared" si="2084"/>
        <v>356946</v>
      </c>
      <c r="I93" s="448">
        <f t="shared" si="2084"/>
        <v>357154</v>
      </c>
      <c r="J93" s="448">
        <f>ROUND(J86*$D$93,0)</f>
        <v>357154</v>
      </c>
      <c r="K93" s="448">
        <f t="shared" si="2084"/>
        <v>358856</v>
      </c>
      <c r="L93" s="448">
        <f t="shared" si="2084"/>
        <v>358856</v>
      </c>
      <c r="M93" s="448">
        <f t="shared" si="2084"/>
        <v>373884</v>
      </c>
      <c r="N93" s="448">
        <f t="shared" si="2084"/>
        <v>373884</v>
      </c>
      <c r="O93" s="448">
        <f t="shared" si="2084"/>
        <v>373884</v>
      </c>
      <c r="P93" s="448">
        <f t="shared" si="2084"/>
        <v>373884</v>
      </c>
      <c r="Q93" s="448">
        <f t="shared" si="2084"/>
        <v>392313</v>
      </c>
      <c r="R93" s="448">
        <f t="shared" si="2084"/>
        <v>392313</v>
      </c>
      <c r="S93" s="448">
        <f t="shared" si="2084"/>
        <v>392313</v>
      </c>
      <c r="T93" s="448">
        <f t="shared" si="2084"/>
        <v>392313</v>
      </c>
      <c r="U93" s="448">
        <f t="shared" si="2084"/>
        <v>412147</v>
      </c>
      <c r="V93" s="448">
        <f t="shared" si="2084"/>
        <v>412147</v>
      </c>
      <c r="W93" s="448">
        <f t="shared" si="2084"/>
        <v>412147</v>
      </c>
      <c r="X93" s="448">
        <f t="shared" si="2084"/>
        <v>412147</v>
      </c>
      <c r="Y93" s="448">
        <f t="shared" si="2084"/>
        <v>434527</v>
      </c>
      <c r="Z93" s="448">
        <f t="shared" si="2084"/>
        <v>434527</v>
      </c>
      <c r="AA93" s="448">
        <f t="shared" si="2084"/>
        <v>434527</v>
      </c>
      <c r="AB93" s="448">
        <f t="shared" si="2084"/>
        <v>434527</v>
      </c>
      <c r="AC93" s="448">
        <f t="shared" si="2084"/>
        <v>458176</v>
      </c>
      <c r="AD93" s="448">
        <f t="shared" si="2084"/>
        <v>458176</v>
      </c>
      <c r="AE93" s="448">
        <f t="shared" si="2084"/>
        <v>458176</v>
      </c>
      <c r="AF93" s="448">
        <f t="shared" si="2084"/>
        <v>458176</v>
      </c>
      <c r="AG93" s="448">
        <f t="shared" si="2084"/>
        <v>483618</v>
      </c>
      <c r="AH93" s="448">
        <f t="shared" si="2084"/>
        <v>483618</v>
      </c>
      <c r="AI93" s="448">
        <f t="shared" si="2084"/>
        <v>483618</v>
      </c>
      <c r="AJ93" s="448">
        <f t="shared" si="2084"/>
        <v>483618</v>
      </c>
      <c r="AK93" s="448">
        <f t="shared" si="2084"/>
        <v>510537</v>
      </c>
      <c r="AL93" s="448">
        <f t="shared" si="2084"/>
        <v>510537</v>
      </c>
      <c r="AM93" s="448">
        <f t="shared" si="2084"/>
        <v>510537</v>
      </c>
      <c r="AN93" s="448">
        <f t="shared" si="2084"/>
        <v>510537</v>
      </c>
      <c r="AO93" s="448">
        <f t="shared" si="2084"/>
        <v>539017</v>
      </c>
      <c r="AP93" s="448">
        <f t="shared" si="2084"/>
        <v>539017</v>
      </c>
      <c r="AQ93" s="448">
        <f t="shared" si="2084"/>
        <v>539017</v>
      </c>
      <c r="AR93" s="448">
        <f t="shared" si="2084"/>
        <v>539017</v>
      </c>
      <c r="AS93" s="448">
        <f t="shared" si="2084"/>
        <v>569148</v>
      </c>
      <c r="AT93" s="448">
        <f t="shared" si="2084"/>
        <v>569148</v>
      </c>
      <c r="AU93" s="448">
        <f t="shared" si="2084"/>
        <v>569148</v>
      </c>
      <c r="AV93" s="448">
        <f t="shared" si="2084"/>
        <v>569148</v>
      </c>
      <c r="AW93" s="448">
        <f t="shared" si="2084"/>
        <v>601028</v>
      </c>
      <c r="AX93" s="448">
        <f t="shared" si="2084"/>
        <v>601028</v>
      </c>
      <c r="AY93" s="448">
        <f t="shared" si="2084"/>
        <v>601028</v>
      </c>
      <c r="AZ93" s="448">
        <f t="shared" si="2084"/>
        <v>601028</v>
      </c>
      <c r="BA93" s="448">
        <f t="shared" si="2084"/>
        <v>634756</v>
      </c>
      <c r="BB93" s="448">
        <f t="shared" si="2084"/>
        <v>634756</v>
      </c>
      <c r="BC93" s="448">
        <f t="shared" si="2084"/>
        <v>634756</v>
      </c>
      <c r="BD93" s="448">
        <f t="shared" si="2084"/>
        <v>634756</v>
      </c>
      <c r="BE93" s="448">
        <f t="shared" si="2084"/>
        <v>670440</v>
      </c>
      <c r="BF93" s="448">
        <f t="shared" si="2084"/>
        <v>670440</v>
      </c>
      <c r="BG93" s="448">
        <f t="shared" si="2084"/>
        <v>670440</v>
      </c>
      <c r="BH93" s="448">
        <f t="shared" si="2084"/>
        <v>670440</v>
      </c>
      <c r="BI93" s="448">
        <f t="shared" si="2084"/>
        <v>708195</v>
      </c>
      <c r="BJ93" s="448">
        <f t="shared" si="2084"/>
        <v>708195</v>
      </c>
      <c r="BK93" s="448">
        <f t="shared" si="2084"/>
        <v>708195</v>
      </c>
      <c r="BL93" s="448">
        <f t="shared" si="2084"/>
        <v>708195</v>
      </c>
      <c r="BM93" s="448">
        <f t="shared" si="2084"/>
        <v>748139</v>
      </c>
      <c r="BN93" s="448">
        <f t="shared" si="2084"/>
        <v>748139</v>
      </c>
      <c r="BO93" s="448">
        <f t="shared" si="2084"/>
        <v>748139</v>
      </c>
      <c r="BP93" s="448">
        <f t="shared" si="2084"/>
        <v>748139</v>
      </c>
      <c r="BQ93" s="448">
        <f t="shared" si="2084"/>
        <v>790399</v>
      </c>
      <c r="BR93" s="448">
        <f t="shared" ref="BR93:CJ93" si="2085">ROUND(BR86*$D$93,0)</f>
        <v>790399</v>
      </c>
      <c r="BS93" s="448">
        <f t="shared" si="2085"/>
        <v>790399</v>
      </c>
      <c r="BT93" s="448">
        <f t="shared" si="2085"/>
        <v>790399</v>
      </c>
      <c r="BU93" s="448">
        <f t="shared" si="2085"/>
        <v>835111</v>
      </c>
      <c r="BV93" s="448">
        <f t="shared" si="2085"/>
        <v>835111</v>
      </c>
      <c r="BW93" s="448">
        <f t="shared" si="2085"/>
        <v>835111</v>
      </c>
      <c r="BX93" s="448">
        <f t="shared" si="2085"/>
        <v>835111</v>
      </c>
      <c r="BY93" s="448">
        <f t="shared" si="2085"/>
        <v>882416</v>
      </c>
      <c r="BZ93" s="448">
        <f t="shared" si="2085"/>
        <v>882416</v>
      </c>
      <c r="CA93" s="448">
        <f t="shared" si="2085"/>
        <v>882416</v>
      </c>
      <c r="CB93" s="448">
        <f t="shared" si="2085"/>
        <v>882416</v>
      </c>
      <c r="CC93" s="448">
        <f t="shared" si="2085"/>
        <v>932465</v>
      </c>
      <c r="CD93" s="448">
        <f t="shared" si="2085"/>
        <v>932465</v>
      </c>
      <c r="CE93" s="448">
        <f t="shared" si="2085"/>
        <v>932465</v>
      </c>
      <c r="CF93" s="448">
        <f t="shared" si="2085"/>
        <v>932465</v>
      </c>
      <c r="CG93" s="448">
        <f t="shared" si="2085"/>
        <v>985417</v>
      </c>
      <c r="CH93" s="448">
        <f t="shared" si="2085"/>
        <v>985417</v>
      </c>
      <c r="CI93" s="448">
        <f t="shared" si="2085"/>
        <v>985417</v>
      </c>
      <c r="CJ93" s="448">
        <f t="shared" si="2085"/>
        <v>985417</v>
      </c>
      <c r="CK93" s="450">
        <f t="shared" si="2053"/>
        <v>50701615</v>
      </c>
      <c r="CL93" s="442"/>
      <c r="CM93" s="442"/>
      <c r="CN93" s="442"/>
      <c r="CO93" s="442"/>
      <c r="CP93" s="442"/>
      <c r="CQ93" s="442"/>
      <c r="CR93" s="442"/>
      <c r="CS93" s="442"/>
      <c r="CT93" s="442"/>
      <c r="CU93" s="442"/>
      <c r="CV93" s="442"/>
      <c r="CW93" s="442"/>
      <c r="CX93" s="442"/>
      <c r="CY93" s="442"/>
      <c r="CZ93" s="442"/>
      <c r="DA93" s="442"/>
      <c r="DB93" s="442"/>
      <c r="DC93" s="442"/>
      <c r="DD93" s="442"/>
      <c r="DE93" s="442"/>
      <c r="DF93" s="442"/>
      <c r="DG93" s="442"/>
      <c r="DH93" s="442"/>
      <c r="DI93" s="442"/>
      <c r="DJ93" s="442"/>
      <c r="DK93" s="442"/>
      <c r="DL93" s="442"/>
      <c r="DM93" s="442"/>
      <c r="DN93" s="442"/>
      <c r="DO93" s="442"/>
      <c r="DP93" s="442"/>
      <c r="DQ93" s="442"/>
      <c r="DR93" s="442"/>
      <c r="DS93" s="442"/>
      <c r="DT93" s="442"/>
      <c r="DU93" s="442"/>
      <c r="DV93" s="442"/>
      <c r="DW93" s="442"/>
      <c r="DX93" s="442"/>
      <c r="DY93" s="442"/>
      <c r="DZ93" s="442"/>
      <c r="EA93" s="442"/>
      <c r="EB93" s="442"/>
      <c r="EC93" s="442"/>
      <c r="ED93" s="442"/>
      <c r="EE93" s="442"/>
      <c r="EF93" s="442"/>
      <c r="EG93" s="442"/>
      <c r="EH93" s="442"/>
      <c r="EI93" s="442"/>
      <c r="EJ93" s="442"/>
      <c r="EK93" s="442"/>
      <c r="EL93" s="442"/>
      <c r="EM93" s="442"/>
      <c r="EN93" s="442"/>
      <c r="EO93" s="442"/>
      <c r="EP93" s="442"/>
      <c r="EQ93" s="442"/>
      <c r="ER93" s="442"/>
      <c r="ES93" s="442"/>
      <c r="ET93" s="443"/>
    </row>
    <row r="94" spans="1:212" s="444" customFormat="1" ht="14.25">
      <c r="A94" s="437"/>
      <c r="B94" s="446" t="s">
        <v>1315</v>
      </c>
      <c r="C94" s="446"/>
      <c r="D94" s="395">
        <v>24</v>
      </c>
      <c r="E94" s="448">
        <f>ROUND(D94*基础资料!E40/4,0)</f>
        <v>10681</v>
      </c>
      <c r="F94" s="448">
        <f>E94</f>
        <v>10681</v>
      </c>
      <c r="G94" s="448">
        <f>F94</f>
        <v>10681</v>
      </c>
      <c r="H94" s="449">
        <f>G94</f>
        <v>10681</v>
      </c>
      <c r="I94" s="448">
        <f>H94</f>
        <v>10681</v>
      </c>
      <c r="J94" s="448">
        <f t="shared" ref="J94:BU94" si="2086">I94</f>
        <v>10681</v>
      </c>
      <c r="K94" s="448">
        <f t="shared" si="2086"/>
        <v>10681</v>
      </c>
      <c r="L94" s="448">
        <f t="shared" si="2086"/>
        <v>10681</v>
      </c>
      <c r="M94" s="448">
        <f t="shared" si="2086"/>
        <v>10681</v>
      </c>
      <c r="N94" s="448">
        <f t="shared" si="2086"/>
        <v>10681</v>
      </c>
      <c r="O94" s="448">
        <f t="shared" si="2086"/>
        <v>10681</v>
      </c>
      <c r="P94" s="448">
        <f t="shared" si="2086"/>
        <v>10681</v>
      </c>
      <c r="Q94" s="448">
        <f t="shared" si="2086"/>
        <v>10681</v>
      </c>
      <c r="R94" s="448">
        <f t="shared" si="2086"/>
        <v>10681</v>
      </c>
      <c r="S94" s="448">
        <f t="shared" si="2086"/>
        <v>10681</v>
      </c>
      <c r="T94" s="448">
        <f t="shared" si="2086"/>
        <v>10681</v>
      </c>
      <c r="U94" s="448">
        <f t="shared" si="2086"/>
        <v>10681</v>
      </c>
      <c r="V94" s="448">
        <f t="shared" si="2086"/>
        <v>10681</v>
      </c>
      <c r="W94" s="448">
        <f t="shared" si="2086"/>
        <v>10681</v>
      </c>
      <c r="X94" s="448">
        <f t="shared" si="2086"/>
        <v>10681</v>
      </c>
      <c r="Y94" s="448">
        <f t="shared" si="2086"/>
        <v>10681</v>
      </c>
      <c r="Z94" s="448">
        <f t="shared" si="2086"/>
        <v>10681</v>
      </c>
      <c r="AA94" s="448">
        <f t="shared" si="2086"/>
        <v>10681</v>
      </c>
      <c r="AB94" s="448">
        <f t="shared" si="2086"/>
        <v>10681</v>
      </c>
      <c r="AC94" s="448">
        <f t="shared" si="2086"/>
        <v>10681</v>
      </c>
      <c r="AD94" s="448">
        <f t="shared" si="2086"/>
        <v>10681</v>
      </c>
      <c r="AE94" s="448">
        <f t="shared" si="2086"/>
        <v>10681</v>
      </c>
      <c r="AF94" s="448">
        <f t="shared" si="2086"/>
        <v>10681</v>
      </c>
      <c r="AG94" s="448">
        <f t="shared" si="2086"/>
        <v>10681</v>
      </c>
      <c r="AH94" s="448">
        <f t="shared" si="2086"/>
        <v>10681</v>
      </c>
      <c r="AI94" s="448">
        <f t="shared" si="2086"/>
        <v>10681</v>
      </c>
      <c r="AJ94" s="448">
        <f t="shared" si="2086"/>
        <v>10681</v>
      </c>
      <c r="AK94" s="448">
        <f t="shared" si="2086"/>
        <v>10681</v>
      </c>
      <c r="AL94" s="448">
        <f t="shared" si="2086"/>
        <v>10681</v>
      </c>
      <c r="AM94" s="448">
        <f t="shared" si="2086"/>
        <v>10681</v>
      </c>
      <c r="AN94" s="448">
        <f t="shared" si="2086"/>
        <v>10681</v>
      </c>
      <c r="AO94" s="448">
        <f t="shared" si="2086"/>
        <v>10681</v>
      </c>
      <c r="AP94" s="448">
        <f t="shared" si="2086"/>
        <v>10681</v>
      </c>
      <c r="AQ94" s="448">
        <f t="shared" si="2086"/>
        <v>10681</v>
      </c>
      <c r="AR94" s="448">
        <f t="shared" si="2086"/>
        <v>10681</v>
      </c>
      <c r="AS94" s="448">
        <f t="shared" si="2086"/>
        <v>10681</v>
      </c>
      <c r="AT94" s="448">
        <f t="shared" si="2086"/>
        <v>10681</v>
      </c>
      <c r="AU94" s="448">
        <f t="shared" si="2086"/>
        <v>10681</v>
      </c>
      <c r="AV94" s="448">
        <f t="shared" si="2086"/>
        <v>10681</v>
      </c>
      <c r="AW94" s="448">
        <f t="shared" si="2086"/>
        <v>10681</v>
      </c>
      <c r="AX94" s="448">
        <f t="shared" si="2086"/>
        <v>10681</v>
      </c>
      <c r="AY94" s="448">
        <f t="shared" si="2086"/>
        <v>10681</v>
      </c>
      <c r="AZ94" s="448">
        <f t="shared" si="2086"/>
        <v>10681</v>
      </c>
      <c r="BA94" s="448">
        <f t="shared" si="2086"/>
        <v>10681</v>
      </c>
      <c r="BB94" s="448">
        <f t="shared" si="2086"/>
        <v>10681</v>
      </c>
      <c r="BC94" s="448">
        <f t="shared" si="2086"/>
        <v>10681</v>
      </c>
      <c r="BD94" s="448">
        <f t="shared" si="2086"/>
        <v>10681</v>
      </c>
      <c r="BE94" s="448">
        <f t="shared" si="2086"/>
        <v>10681</v>
      </c>
      <c r="BF94" s="448">
        <f t="shared" si="2086"/>
        <v>10681</v>
      </c>
      <c r="BG94" s="448">
        <f t="shared" si="2086"/>
        <v>10681</v>
      </c>
      <c r="BH94" s="448">
        <f t="shared" si="2086"/>
        <v>10681</v>
      </c>
      <c r="BI94" s="448">
        <f t="shared" si="2086"/>
        <v>10681</v>
      </c>
      <c r="BJ94" s="448">
        <f t="shared" si="2086"/>
        <v>10681</v>
      </c>
      <c r="BK94" s="448">
        <f t="shared" si="2086"/>
        <v>10681</v>
      </c>
      <c r="BL94" s="448">
        <f t="shared" si="2086"/>
        <v>10681</v>
      </c>
      <c r="BM94" s="448">
        <f t="shared" si="2086"/>
        <v>10681</v>
      </c>
      <c r="BN94" s="448">
        <f t="shared" si="2086"/>
        <v>10681</v>
      </c>
      <c r="BO94" s="448">
        <f t="shared" si="2086"/>
        <v>10681</v>
      </c>
      <c r="BP94" s="448">
        <f t="shared" si="2086"/>
        <v>10681</v>
      </c>
      <c r="BQ94" s="448">
        <f t="shared" si="2086"/>
        <v>10681</v>
      </c>
      <c r="BR94" s="448">
        <f t="shared" si="2086"/>
        <v>10681</v>
      </c>
      <c r="BS94" s="448">
        <f t="shared" si="2086"/>
        <v>10681</v>
      </c>
      <c r="BT94" s="448">
        <f t="shared" si="2086"/>
        <v>10681</v>
      </c>
      <c r="BU94" s="448">
        <f t="shared" si="2086"/>
        <v>10681</v>
      </c>
      <c r="BV94" s="448">
        <f t="shared" ref="BV94:CJ94" si="2087">BU94</f>
        <v>10681</v>
      </c>
      <c r="BW94" s="448">
        <f t="shared" si="2087"/>
        <v>10681</v>
      </c>
      <c r="BX94" s="448">
        <f t="shared" si="2087"/>
        <v>10681</v>
      </c>
      <c r="BY94" s="448">
        <f t="shared" si="2087"/>
        <v>10681</v>
      </c>
      <c r="BZ94" s="448">
        <f t="shared" si="2087"/>
        <v>10681</v>
      </c>
      <c r="CA94" s="448">
        <f t="shared" si="2087"/>
        <v>10681</v>
      </c>
      <c r="CB94" s="448">
        <f t="shared" si="2087"/>
        <v>10681</v>
      </c>
      <c r="CC94" s="448">
        <f t="shared" si="2087"/>
        <v>10681</v>
      </c>
      <c r="CD94" s="448">
        <f t="shared" si="2087"/>
        <v>10681</v>
      </c>
      <c r="CE94" s="448">
        <f t="shared" si="2087"/>
        <v>10681</v>
      </c>
      <c r="CF94" s="448">
        <f t="shared" si="2087"/>
        <v>10681</v>
      </c>
      <c r="CG94" s="448">
        <f t="shared" si="2087"/>
        <v>10681</v>
      </c>
      <c r="CH94" s="448">
        <f t="shared" si="2087"/>
        <v>10681</v>
      </c>
      <c r="CI94" s="448">
        <f t="shared" si="2087"/>
        <v>10681</v>
      </c>
      <c r="CJ94" s="448">
        <f t="shared" si="2087"/>
        <v>10681</v>
      </c>
      <c r="CK94" s="450">
        <f t="shared" si="2053"/>
        <v>897204</v>
      </c>
      <c r="CL94" s="442"/>
      <c r="CM94" s="442"/>
      <c r="CN94" s="442"/>
      <c r="CO94" s="442"/>
      <c r="CP94" s="442"/>
      <c r="CQ94" s="442"/>
      <c r="CR94" s="442"/>
      <c r="CS94" s="442"/>
      <c r="CT94" s="442"/>
      <c r="CU94" s="442"/>
      <c r="CV94" s="442"/>
      <c r="CW94" s="442"/>
      <c r="CX94" s="442"/>
      <c r="CY94" s="442"/>
      <c r="CZ94" s="442"/>
      <c r="DA94" s="442"/>
      <c r="DB94" s="442"/>
      <c r="DC94" s="442"/>
      <c r="DD94" s="442"/>
      <c r="DE94" s="442"/>
      <c r="DF94" s="442"/>
      <c r="DG94" s="442"/>
      <c r="DH94" s="442"/>
      <c r="DI94" s="442"/>
      <c r="DJ94" s="442"/>
      <c r="DK94" s="442"/>
      <c r="DL94" s="442"/>
      <c r="DM94" s="442"/>
      <c r="DN94" s="442"/>
      <c r="DO94" s="442"/>
      <c r="DP94" s="442"/>
      <c r="DQ94" s="442"/>
      <c r="DR94" s="442"/>
      <c r="DS94" s="442"/>
      <c r="DT94" s="442"/>
      <c r="DU94" s="442"/>
      <c r="DV94" s="442"/>
      <c r="DW94" s="442"/>
      <c r="DX94" s="442"/>
      <c r="DY94" s="442"/>
      <c r="DZ94" s="442"/>
      <c r="EA94" s="442"/>
      <c r="EB94" s="442"/>
      <c r="EC94" s="442"/>
      <c r="ED94" s="442"/>
      <c r="EE94" s="442"/>
      <c r="EF94" s="442"/>
      <c r="EG94" s="442"/>
      <c r="EH94" s="442"/>
      <c r="EI94" s="442"/>
      <c r="EJ94" s="442"/>
      <c r="EK94" s="442"/>
      <c r="EL94" s="442"/>
      <c r="EM94" s="442"/>
      <c r="EN94" s="442"/>
      <c r="EO94" s="442"/>
      <c r="EP94" s="442"/>
      <c r="EQ94" s="442"/>
      <c r="ER94" s="442"/>
      <c r="ES94" s="442"/>
      <c r="ET94" s="443"/>
    </row>
    <row r="95" spans="1:212" s="453" customFormat="1" ht="21">
      <c r="A95" s="445"/>
      <c r="B95" s="446" t="s">
        <v>961</v>
      </c>
      <c r="C95" s="461"/>
      <c r="D95" s="447"/>
      <c r="E95" s="462">
        <f>E86-E90</f>
        <v>6966740</v>
      </c>
      <c r="F95" s="462">
        <f t="shared" ref="F95:BQ95" si="2088">F86-F90</f>
        <v>6966740</v>
      </c>
      <c r="G95" s="462">
        <f t="shared" si="2088"/>
        <v>6993593</v>
      </c>
      <c r="H95" s="463">
        <f t="shared" si="2088"/>
        <v>7009266</v>
      </c>
      <c r="I95" s="462">
        <f t="shared" si="2088"/>
        <v>7013353</v>
      </c>
      <c r="J95" s="462">
        <f t="shared" si="2088"/>
        <v>7013353</v>
      </c>
      <c r="K95" s="462">
        <f t="shared" si="2088"/>
        <v>7046817</v>
      </c>
      <c r="L95" s="462">
        <f t="shared" si="2088"/>
        <v>7046817</v>
      </c>
      <c r="M95" s="462">
        <f t="shared" si="2088"/>
        <v>7342380</v>
      </c>
      <c r="N95" s="462">
        <f t="shared" si="2088"/>
        <v>7342380</v>
      </c>
      <c r="O95" s="462">
        <f t="shared" si="2088"/>
        <v>7342380</v>
      </c>
      <c r="P95" s="462">
        <f t="shared" si="2088"/>
        <v>7342380</v>
      </c>
      <c r="Q95" s="462">
        <f t="shared" si="2088"/>
        <v>7704800</v>
      </c>
      <c r="R95" s="462">
        <f t="shared" si="2088"/>
        <v>7704800</v>
      </c>
      <c r="S95" s="462">
        <f t="shared" si="2088"/>
        <v>7704800</v>
      </c>
      <c r="T95" s="462">
        <f t="shared" si="2088"/>
        <v>7704800</v>
      </c>
      <c r="U95" s="462">
        <f t="shared" si="2088"/>
        <v>8094885</v>
      </c>
      <c r="V95" s="462">
        <f t="shared" si="2088"/>
        <v>8094885</v>
      </c>
      <c r="W95" s="462">
        <f t="shared" si="2088"/>
        <v>8094885</v>
      </c>
      <c r="X95" s="462">
        <f t="shared" si="2088"/>
        <v>8094885</v>
      </c>
      <c r="Y95" s="462">
        <f t="shared" si="2088"/>
        <v>8535025</v>
      </c>
      <c r="Z95" s="462">
        <f t="shared" si="2088"/>
        <v>8535025</v>
      </c>
      <c r="AA95" s="462">
        <f t="shared" si="2088"/>
        <v>8535025</v>
      </c>
      <c r="AB95" s="462">
        <f t="shared" si="2088"/>
        <v>8535025</v>
      </c>
      <c r="AC95" s="462">
        <f t="shared" si="2088"/>
        <v>9000104</v>
      </c>
      <c r="AD95" s="462">
        <f t="shared" si="2088"/>
        <v>9000104</v>
      </c>
      <c r="AE95" s="462">
        <f t="shared" si="2088"/>
        <v>9000104</v>
      </c>
      <c r="AF95" s="462">
        <f t="shared" si="2088"/>
        <v>9000104</v>
      </c>
      <c r="AG95" s="462">
        <f t="shared" si="2088"/>
        <v>9500482</v>
      </c>
      <c r="AH95" s="462">
        <f t="shared" si="2088"/>
        <v>9500482</v>
      </c>
      <c r="AI95" s="462">
        <f t="shared" si="2088"/>
        <v>9500482</v>
      </c>
      <c r="AJ95" s="462">
        <f t="shared" si="2088"/>
        <v>9500482</v>
      </c>
      <c r="AK95" s="462">
        <f t="shared" si="2088"/>
        <v>10029881</v>
      </c>
      <c r="AL95" s="462">
        <f t="shared" si="2088"/>
        <v>10029881</v>
      </c>
      <c r="AM95" s="462">
        <f t="shared" si="2088"/>
        <v>10029881</v>
      </c>
      <c r="AN95" s="462">
        <f t="shared" si="2088"/>
        <v>10029881</v>
      </c>
      <c r="AO95" s="462">
        <f t="shared" si="2088"/>
        <v>10589983</v>
      </c>
      <c r="AP95" s="462">
        <f t="shared" si="2088"/>
        <v>10589983</v>
      </c>
      <c r="AQ95" s="462">
        <f t="shared" si="2088"/>
        <v>10589983</v>
      </c>
      <c r="AR95" s="462">
        <f t="shared" si="2088"/>
        <v>10589983</v>
      </c>
      <c r="AS95" s="462">
        <f t="shared" si="2088"/>
        <v>11182572</v>
      </c>
      <c r="AT95" s="462">
        <f t="shared" si="2088"/>
        <v>11182572</v>
      </c>
      <c r="AU95" s="462">
        <f t="shared" si="2088"/>
        <v>11182572</v>
      </c>
      <c r="AV95" s="462">
        <f t="shared" si="2088"/>
        <v>11182572</v>
      </c>
      <c r="AW95" s="462">
        <f t="shared" si="2088"/>
        <v>11809533</v>
      </c>
      <c r="AX95" s="462">
        <f t="shared" si="2088"/>
        <v>11809533</v>
      </c>
      <c r="AY95" s="462">
        <f t="shared" si="2088"/>
        <v>11809533</v>
      </c>
      <c r="AZ95" s="462">
        <f t="shared" si="2088"/>
        <v>11809533</v>
      </c>
      <c r="BA95" s="462">
        <f t="shared" si="2088"/>
        <v>12472853</v>
      </c>
      <c r="BB95" s="462">
        <f t="shared" si="2088"/>
        <v>12472853</v>
      </c>
      <c r="BC95" s="462">
        <f t="shared" si="2088"/>
        <v>12472853</v>
      </c>
      <c r="BD95" s="462">
        <f t="shared" si="2088"/>
        <v>12472853</v>
      </c>
      <c r="BE95" s="462">
        <f t="shared" si="2088"/>
        <v>13174648</v>
      </c>
      <c r="BF95" s="462">
        <f t="shared" si="2088"/>
        <v>13174648</v>
      </c>
      <c r="BG95" s="462">
        <f t="shared" si="2088"/>
        <v>13174648</v>
      </c>
      <c r="BH95" s="462">
        <f t="shared" si="2088"/>
        <v>13174648</v>
      </c>
      <c r="BI95" s="462">
        <f t="shared" si="2088"/>
        <v>13917147</v>
      </c>
      <c r="BJ95" s="462">
        <f t="shared" si="2088"/>
        <v>13917147</v>
      </c>
      <c r="BK95" s="462">
        <f t="shared" si="2088"/>
        <v>13917147</v>
      </c>
      <c r="BL95" s="462">
        <f t="shared" si="2088"/>
        <v>13917147</v>
      </c>
      <c r="BM95" s="462">
        <f t="shared" si="2088"/>
        <v>14702709</v>
      </c>
      <c r="BN95" s="462">
        <f t="shared" si="2088"/>
        <v>14702709</v>
      </c>
      <c r="BO95" s="462">
        <f t="shared" si="2088"/>
        <v>14702709</v>
      </c>
      <c r="BP95" s="462">
        <f t="shared" si="2088"/>
        <v>14702709</v>
      </c>
      <c r="BQ95" s="462">
        <f t="shared" si="2088"/>
        <v>15533836</v>
      </c>
      <c r="BR95" s="462">
        <f t="shared" ref="BR95:CJ95" si="2089">BR86-BR90</f>
        <v>15533836</v>
      </c>
      <c r="BS95" s="462">
        <f t="shared" si="2089"/>
        <v>15533836</v>
      </c>
      <c r="BT95" s="462">
        <f t="shared" si="2089"/>
        <v>15533836</v>
      </c>
      <c r="BU95" s="462">
        <f t="shared" si="2089"/>
        <v>16413172</v>
      </c>
      <c r="BV95" s="462">
        <f t="shared" si="2089"/>
        <v>16413172</v>
      </c>
      <c r="BW95" s="462">
        <f t="shared" si="2089"/>
        <v>16413172</v>
      </c>
      <c r="BX95" s="462">
        <f t="shared" si="2089"/>
        <v>16413172</v>
      </c>
      <c r="BY95" s="462">
        <f t="shared" si="2089"/>
        <v>17343507</v>
      </c>
      <c r="BZ95" s="462">
        <f t="shared" si="2089"/>
        <v>17343507</v>
      </c>
      <c r="CA95" s="462">
        <f t="shared" si="2089"/>
        <v>17343507</v>
      </c>
      <c r="CB95" s="462">
        <f t="shared" si="2089"/>
        <v>17343507</v>
      </c>
      <c r="CC95" s="462">
        <f t="shared" si="2089"/>
        <v>18327799</v>
      </c>
      <c r="CD95" s="462">
        <f t="shared" si="2089"/>
        <v>18327799</v>
      </c>
      <c r="CE95" s="462">
        <f t="shared" si="2089"/>
        <v>18327799</v>
      </c>
      <c r="CF95" s="462">
        <f t="shared" si="2089"/>
        <v>18327799</v>
      </c>
      <c r="CG95" s="462">
        <f t="shared" si="2089"/>
        <v>19369176</v>
      </c>
      <c r="CH95" s="462">
        <f t="shared" si="2089"/>
        <v>19369176</v>
      </c>
      <c r="CI95" s="462">
        <f t="shared" si="2089"/>
        <v>19369176</v>
      </c>
      <c r="CJ95" s="462">
        <f t="shared" si="2089"/>
        <v>19369176</v>
      </c>
      <c r="CK95" s="450">
        <f t="shared" si="2053"/>
        <v>996234647</v>
      </c>
      <c r="CL95" s="451"/>
      <c r="CM95" s="451"/>
      <c r="CN95" s="451"/>
      <c r="CO95" s="451"/>
      <c r="CP95" s="451"/>
      <c r="CQ95" s="451"/>
      <c r="CR95" s="451"/>
      <c r="CS95" s="451"/>
      <c r="CT95" s="451"/>
      <c r="CU95" s="451"/>
      <c r="CV95" s="451"/>
      <c r="CW95" s="451"/>
      <c r="CX95" s="451"/>
      <c r="CY95" s="451"/>
      <c r="CZ95" s="451"/>
      <c r="DA95" s="451"/>
      <c r="DB95" s="451"/>
      <c r="DC95" s="451"/>
      <c r="DD95" s="451"/>
      <c r="DE95" s="451"/>
      <c r="DF95" s="451"/>
      <c r="DG95" s="451"/>
      <c r="DH95" s="451"/>
      <c r="DI95" s="451"/>
      <c r="DJ95" s="451"/>
      <c r="DK95" s="451"/>
      <c r="DL95" s="451"/>
      <c r="DM95" s="451"/>
      <c r="DN95" s="451"/>
      <c r="DO95" s="451"/>
      <c r="DP95" s="451"/>
      <c r="DQ95" s="451"/>
      <c r="DR95" s="451"/>
      <c r="DS95" s="451"/>
      <c r="DT95" s="451"/>
      <c r="DU95" s="451"/>
      <c r="DV95" s="451"/>
      <c r="DW95" s="451"/>
      <c r="DX95" s="451"/>
      <c r="DY95" s="451"/>
      <c r="DZ95" s="451"/>
      <c r="EA95" s="451"/>
      <c r="EB95" s="451"/>
      <c r="EC95" s="451"/>
      <c r="ED95" s="451"/>
      <c r="EE95" s="451"/>
      <c r="EF95" s="451"/>
      <c r="EG95" s="451"/>
      <c r="EH95" s="451"/>
      <c r="EI95" s="451"/>
      <c r="EJ95" s="451"/>
      <c r="EK95" s="451"/>
      <c r="EL95" s="451"/>
      <c r="EM95" s="451"/>
      <c r="EN95" s="451"/>
      <c r="EO95" s="451"/>
      <c r="EP95" s="451"/>
      <c r="EQ95" s="451"/>
      <c r="ER95" s="451"/>
      <c r="ES95" s="451"/>
      <c r="ET95" s="452"/>
    </row>
    <row r="96" spans="1:212" s="453" customFormat="1" ht="15" customHeight="1">
      <c r="A96" s="445"/>
      <c r="B96" s="446" t="s">
        <v>962</v>
      </c>
      <c r="C96" s="461"/>
      <c r="D96" s="464"/>
      <c r="E96" s="630">
        <f>E95+F95+G95+H95</f>
        <v>27936339</v>
      </c>
      <c r="F96" s="631"/>
      <c r="G96" s="631"/>
      <c r="H96" s="632"/>
      <c r="I96" s="630">
        <f>I95+J95+K95+L95</f>
        <v>28120340</v>
      </c>
      <c r="J96" s="631"/>
      <c r="K96" s="631"/>
      <c r="L96" s="632"/>
      <c r="M96" s="630">
        <f>M95+N95+O95+P95</f>
        <v>29369520</v>
      </c>
      <c r="N96" s="631"/>
      <c r="O96" s="631"/>
      <c r="P96" s="632"/>
      <c r="Q96" s="630">
        <f>Q95+R95+S95+T95</f>
        <v>30819200</v>
      </c>
      <c r="R96" s="631"/>
      <c r="S96" s="631"/>
      <c r="T96" s="632"/>
      <c r="U96" s="630">
        <f>U95+V95+W95+X95</f>
        <v>32379540</v>
      </c>
      <c r="V96" s="631"/>
      <c r="W96" s="631"/>
      <c r="X96" s="632"/>
      <c r="Y96" s="630">
        <f>Y95+Z95+AA95+AB95</f>
        <v>34140100</v>
      </c>
      <c r="Z96" s="631"/>
      <c r="AA96" s="631"/>
      <c r="AB96" s="632"/>
      <c r="AC96" s="630">
        <f>AC95+AD95+AE95+AF95</f>
        <v>36000416</v>
      </c>
      <c r="AD96" s="631"/>
      <c r="AE96" s="631"/>
      <c r="AF96" s="632"/>
      <c r="AG96" s="630">
        <f>AG95+AH95+AI95+AJ95</f>
        <v>38001928</v>
      </c>
      <c r="AH96" s="631"/>
      <c r="AI96" s="631"/>
      <c r="AJ96" s="632"/>
      <c r="AK96" s="630">
        <f>AK95+AL95+AM95+AN95</f>
        <v>40119524</v>
      </c>
      <c r="AL96" s="631"/>
      <c r="AM96" s="631"/>
      <c r="AN96" s="632"/>
      <c r="AO96" s="630">
        <f>AO95+AP95+AQ95+AR95</f>
        <v>42359932</v>
      </c>
      <c r="AP96" s="631"/>
      <c r="AQ96" s="631"/>
      <c r="AR96" s="632"/>
      <c r="AS96" s="630">
        <f>AS95+AT95+AU95+AV95</f>
        <v>44730288</v>
      </c>
      <c r="AT96" s="631"/>
      <c r="AU96" s="631"/>
      <c r="AV96" s="632"/>
      <c r="AW96" s="630">
        <f>AW95+AX95+AY95+AZ95</f>
        <v>47238132</v>
      </c>
      <c r="AX96" s="631"/>
      <c r="AY96" s="631"/>
      <c r="AZ96" s="632"/>
      <c r="BA96" s="630">
        <f>BA95+BB95+BC95+BD95</f>
        <v>49891412</v>
      </c>
      <c r="BB96" s="631"/>
      <c r="BC96" s="631"/>
      <c r="BD96" s="632"/>
      <c r="BE96" s="630">
        <f>BE95+BF95+BG95+BH95</f>
        <v>52698592</v>
      </c>
      <c r="BF96" s="631"/>
      <c r="BG96" s="631"/>
      <c r="BH96" s="632"/>
      <c r="BI96" s="630">
        <f t="shared" ref="BI96" si="2090">BI95+BJ95+BK95+BL95</f>
        <v>55668588</v>
      </c>
      <c r="BJ96" s="631"/>
      <c r="BK96" s="631"/>
      <c r="BL96" s="632"/>
      <c r="BM96" s="630">
        <f>BM95+BN95+BO95+BP95</f>
        <v>58810836</v>
      </c>
      <c r="BN96" s="631"/>
      <c r="BO96" s="631"/>
      <c r="BP96" s="632"/>
      <c r="BQ96" s="630">
        <f t="shared" ref="BQ96" si="2091">BQ95+BR95+BS95+BT95</f>
        <v>62135344</v>
      </c>
      <c r="BR96" s="631"/>
      <c r="BS96" s="631"/>
      <c r="BT96" s="632"/>
      <c r="BU96" s="630">
        <f t="shared" ref="BU96" si="2092">BU95+BV95+BW95+BX95</f>
        <v>65652688</v>
      </c>
      <c r="BV96" s="631"/>
      <c r="BW96" s="631"/>
      <c r="BX96" s="632"/>
      <c r="BY96" s="630">
        <f t="shared" ref="BY96" si="2093">BY95+BZ95+CA95+CB95</f>
        <v>69374028</v>
      </c>
      <c r="BZ96" s="631"/>
      <c r="CA96" s="631"/>
      <c r="CB96" s="632"/>
      <c r="CC96" s="630">
        <f t="shared" ref="CC96" si="2094">CC95+CD95+CE95+CF95</f>
        <v>73311196</v>
      </c>
      <c r="CD96" s="631"/>
      <c r="CE96" s="631"/>
      <c r="CF96" s="632"/>
      <c r="CG96" s="630">
        <f>CG95+CH95+CI95+CJ95</f>
        <v>77476704</v>
      </c>
      <c r="CH96" s="631"/>
      <c r="CI96" s="631"/>
      <c r="CJ96" s="632"/>
      <c r="CK96" s="450">
        <f t="shared" si="2053"/>
        <v>996234647</v>
      </c>
      <c r="CL96" s="451"/>
      <c r="CM96" s="451"/>
      <c r="CN96" s="451"/>
      <c r="CO96" s="451"/>
      <c r="CP96" s="451"/>
      <c r="CQ96" s="451"/>
      <c r="CR96" s="451"/>
      <c r="CS96" s="451"/>
      <c r="CT96" s="451"/>
      <c r="CU96" s="451"/>
      <c r="CV96" s="451"/>
      <c r="CW96" s="451"/>
      <c r="CX96" s="451"/>
      <c r="CY96" s="451"/>
      <c r="CZ96" s="451"/>
      <c r="DA96" s="451"/>
      <c r="DB96" s="451"/>
      <c r="DC96" s="451"/>
      <c r="DD96" s="451"/>
      <c r="DE96" s="451"/>
      <c r="DF96" s="451"/>
      <c r="DG96" s="451"/>
      <c r="DH96" s="451"/>
      <c r="DI96" s="451"/>
      <c r="DJ96" s="451"/>
      <c r="DK96" s="451"/>
      <c r="DL96" s="451"/>
      <c r="DM96" s="451"/>
      <c r="DN96" s="451"/>
      <c r="DO96" s="451"/>
      <c r="DP96" s="451"/>
      <c r="DQ96" s="451"/>
      <c r="DR96" s="451"/>
      <c r="DS96" s="451"/>
      <c r="DT96" s="451"/>
      <c r="DU96" s="451"/>
      <c r="DV96" s="451"/>
      <c r="DW96" s="451"/>
      <c r="DX96" s="451"/>
      <c r="DY96" s="451"/>
      <c r="DZ96" s="451"/>
      <c r="EA96" s="451"/>
      <c r="EB96" s="451"/>
      <c r="EC96" s="451"/>
      <c r="ED96" s="451"/>
      <c r="EE96" s="451"/>
      <c r="EF96" s="451"/>
      <c r="EG96" s="451"/>
      <c r="EH96" s="451"/>
      <c r="EI96" s="451"/>
      <c r="EJ96" s="451"/>
      <c r="EK96" s="451"/>
      <c r="EL96" s="451"/>
      <c r="EM96" s="451"/>
      <c r="EN96" s="451"/>
      <c r="EO96" s="451"/>
      <c r="EP96" s="451"/>
      <c r="EQ96" s="451"/>
      <c r="ER96" s="451"/>
      <c r="ES96" s="451"/>
      <c r="ET96" s="452"/>
    </row>
    <row r="97" spans="1:150" s="60" customFormat="1" ht="15">
      <c r="A97" s="54"/>
      <c r="B97" s="15"/>
      <c r="C97" s="15"/>
      <c r="D97" s="74"/>
      <c r="E97" s="551"/>
      <c r="F97" s="552"/>
      <c r="G97" s="552"/>
      <c r="H97" s="553"/>
      <c r="I97" s="551"/>
      <c r="J97" s="552"/>
      <c r="K97" s="552"/>
      <c r="L97" s="553"/>
      <c r="M97" s="551"/>
      <c r="N97" s="552"/>
      <c r="O97" s="552"/>
      <c r="P97" s="553"/>
      <c r="Q97" s="551"/>
      <c r="R97" s="552"/>
      <c r="S97" s="552"/>
      <c r="T97" s="553"/>
      <c r="U97" s="551"/>
      <c r="V97" s="552"/>
      <c r="W97" s="552"/>
      <c r="X97" s="553"/>
      <c r="Y97" s="551"/>
      <c r="Z97" s="552"/>
      <c r="AA97" s="552"/>
      <c r="AB97" s="553"/>
      <c r="AC97" s="551"/>
      <c r="AD97" s="552"/>
      <c r="AE97" s="552"/>
      <c r="AF97" s="553"/>
      <c r="AG97" s="551"/>
      <c r="AH97" s="552"/>
      <c r="AI97" s="552"/>
      <c r="AJ97" s="553"/>
      <c r="AK97" s="551"/>
      <c r="AL97" s="552"/>
      <c r="AM97" s="552"/>
      <c r="AN97" s="553"/>
      <c r="AO97" s="551"/>
      <c r="AP97" s="552"/>
      <c r="AQ97" s="552"/>
      <c r="AR97" s="553"/>
      <c r="AS97" s="551"/>
      <c r="AT97" s="552"/>
      <c r="AU97" s="552"/>
      <c r="AV97" s="553"/>
      <c r="AW97" s="551"/>
      <c r="AX97" s="552"/>
      <c r="AY97" s="552"/>
      <c r="AZ97" s="553"/>
      <c r="BA97" s="551"/>
      <c r="BB97" s="552"/>
      <c r="BC97" s="552"/>
      <c r="BD97" s="553"/>
      <c r="BE97" s="551"/>
      <c r="BF97" s="552"/>
      <c r="BG97" s="552"/>
      <c r="BH97" s="553"/>
      <c r="BI97" s="551"/>
      <c r="BJ97" s="552"/>
      <c r="BK97" s="552"/>
      <c r="BL97" s="553"/>
      <c r="BM97" s="551"/>
      <c r="BN97" s="552"/>
      <c r="BO97" s="552"/>
      <c r="BP97" s="553"/>
      <c r="BQ97" s="551"/>
      <c r="BR97" s="552"/>
      <c r="BS97" s="552"/>
      <c r="BT97" s="553"/>
      <c r="BU97" s="551"/>
      <c r="BV97" s="552"/>
      <c r="BW97" s="552"/>
      <c r="BX97" s="553"/>
      <c r="BY97" s="551"/>
      <c r="BZ97" s="552"/>
      <c r="CA97" s="552"/>
      <c r="CB97" s="553"/>
      <c r="CC97" s="551"/>
      <c r="CD97" s="552"/>
      <c r="CE97" s="552"/>
      <c r="CF97" s="553"/>
      <c r="CG97" s="551"/>
      <c r="CH97" s="552"/>
      <c r="CI97" s="552"/>
      <c r="CJ97" s="553"/>
      <c r="CK97" s="57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  <c r="DB97" s="58"/>
      <c r="DC97" s="58"/>
      <c r="DD97" s="58"/>
      <c r="DE97" s="58"/>
      <c r="DF97" s="58"/>
      <c r="DG97" s="58"/>
      <c r="DH97" s="58"/>
      <c r="DI97" s="58"/>
      <c r="DJ97" s="58"/>
      <c r="DK97" s="58"/>
      <c r="DL97" s="58"/>
      <c r="DM97" s="58"/>
      <c r="DN97" s="58"/>
      <c r="DO97" s="58"/>
      <c r="DP97" s="58"/>
      <c r="DQ97" s="58"/>
      <c r="DR97" s="58"/>
      <c r="DS97" s="58"/>
      <c r="DT97" s="58"/>
      <c r="DU97" s="58"/>
      <c r="DV97" s="58"/>
      <c r="DW97" s="58"/>
      <c r="DX97" s="58"/>
      <c r="DY97" s="58"/>
      <c r="DZ97" s="58"/>
      <c r="EA97" s="58"/>
      <c r="EB97" s="58"/>
      <c r="EC97" s="58"/>
      <c r="ED97" s="58"/>
      <c r="EE97" s="58"/>
      <c r="EF97" s="58"/>
      <c r="EG97" s="58"/>
      <c r="EH97" s="58"/>
      <c r="EI97" s="58"/>
      <c r="EJ97" s="58"/>
      <c r="EK97" s="58"/>
      <c r="EL97" s="58"/>
      <c r="EM97" s="58"/>
      <c r="EN97" s="58"/>
      <c r="EO97" s="58"/>
      <c r="EP97" s="58"/>
      <c r="EQ97" s="58"/>
      <c r="ER97" s="58"/>
      <c r="ES97" s="58"/>
      <c r="ET97" s="59"/>
    </row>
    <row r="98" spans="1:150" s="60" customFormat="1" ht="14.25">
      <c r="A98" s="54"/>
      <c r="B98" s="15"/>
      <c r="C98" s="239"/>
      <c r="D98" s="240"/>
      <c r="E98" s="241"/>
      <c r="F98" s="239"/>
      <c r="G98" s="239"/>
      <c r="H98" s="242"/>
      <c r="I98" s="239"/>
      <c r="J98" s="239"/>
      <c r="K98" s="239"/>
      <c r="L98" s="239"/>
      <c r="M98" s="239"/>
      <c r="N98" s="239"/>
      <c r="O98" s="239"/>
      <c r="P98" s="239"/>
      <c r="Q98" s="239"/>
      <c r="R98" s="239"/>
      <c r="S98" s="239"/>
      <c r="T98" s="239"/>
      <c r="U98" s="239"/>
      <c r="V98" s="239"/>
      <c r="W98" s="239"/>
      <c r="X98" s="239"/>
      <c r="Y98" s="239"/>
      <c r="Z98" s="239"/>
      <c r="AA98" s="239"/>
      <c r="AB98" s="239"/>
      <c r="AC98" s="239"/>
      <c r="AD98" s="239"/>
      <c r="AE98" s="241"/>
      <c r="AF98" s="239"/>
      <c r="AG98" s="239"/>
      <c r="AH98" s="239"/>
      <c r="AI98" s="239"/>
      <c r="AJ98" s="239"/>
      <c r="AK98" s="239"/>
      <c r="AL98" s="239"/>
      <c r="AM98" s="239"/>
      <c r="AN98" s="239"/>
      <c r="AO98" s="239"/>
      <c r="AP98" s="239"/>
      <c r="AQ98" s="239"/>
      <c r="AR98" s="239"/>
      <c r="AS98" s="239"/>
      <c r="AT98" s="239"/>
      <c r="AU98" s="239"/>
      <c r="AV98" s="239"/>
      <c r="AW98" s="239"/>
      <c r="AX98" s="241"/>
      <c r="AY98" s="243"/>
      <c r="AZ98" s="243"/>
      <c r="BA98" s="243"/>
      <c r="BB98" s="243"/>
      <c r="BC98" s="243"/>
      <c r="BD98" s="243"/>
      <c r="BE98" s="243"/>
      <c r="BF98" s="243"/>
      <c r="BG98" s="243"/>
      <c r="BH98" s="243"/>
      <c r="BI98" s="243"/>
      <c r="BJ98" s="243"/>
      <c r="BK98" s="243"/>
      <c r="BL98" s="243"/>
      <c r="BM98" s="243"/>
      <c r="BN98" s="243"/>
      <c r="BO98" s="243"/>
      <c r="BP98" s="243"/>
      <c r="BQ98" s="243"/>
      <c r="BR98" s="243"/>
      <c r="BS98" s="243"/>
      <c r="BT98" s="243"/>
      <c r="BU98" s="243"/>
      <c r="BV98" s="243"/>
      <c r="BW98" s="243"/>
      <c r="BX98" s="243"/>
      <c r="BY98" s="243"/>
      <c r="BZ98" s="243"/>
      <c r="CA98" s="243"/>
      <c r="CB98" s="243"/>
      <c r="CC98" s="243"/>
      <c r="CD98" s="243"/>
      <c r="CE98" s="243"/>
      <c r="CF98" s="243"/>
      <c r="CG98" s="243"/>
      <c r="CH98" s="243"/>
      <c r="CI98" s="243"/>
      <c r="CJ98" s="243"/>
      <c r="CK98" s="58"/>
      <c r="CL98" s="58"/>
      <c r="CM98" s="58"/>
      <c r="CN98" s="58"/>
      <c r="CO98" s="58"/>
      <c r="CP98" s="59"/>
    </row>
    <row r="99" spans="1:150" s="60" customFormat="1" ht="14.25" hidden="1">
      <c r="A99" s="54"/>
      <c r="B99" s="239"/>
      <c r="C99" s="239"/>
      <c r="D99" s="476"/>
      <c r="E99" s="633">
        <f>E87+F87+G87+H87</f>
        <v>33515486</v>
      </c>
      <c r="F99" s="633"/>
      <c r="G99" s="633"/>
      <c r="H99" s="633"/>
      <c r="I99" s="633">
        <f t="shared" ref="I99" si="2095">I87+J87+K87+L87</f>
        <v>33748688</v>
      </c>
      <c r="J99" s="633"/>
      <c r="K99" s="633"/>
      <c r="L99" s="633"/>
      <c r="M99" s="633">
        <f t="shared" ref="M99" si="2096">M87+N87+O87+P87</f>
        <v>35331880</v>
      </c>
      <c r="N99" s="633"/>
      <c r="O99" s="633"/>
      <c r="P99" s="633"/>
      <c r="Q99" s="633">
        <f t="shared" ref="Q99" si="2097">Q87+R87+S87+T87</f>
        <v>37169184</v>
      </c>
      <c r="R99" s="633"/>
      <c r="S99" s="633"/>
      <c r="T99" s="633"/>
      <c r="U99" s="633">
        <f t="shared" ref="U99" si="2098">U87+V87+W87+X87</f>
        <v>39146732</v>
      </c>
      <c r="V99" s="633"/>
      <c r="W99" s="633"/>
      <c r="X99" s="633"/>
      <c r="Y99" s="633">
        <f t="shared" ref="Y99" si="2099">Y87+Z87+AA87+AB87</f>
        <v>41378036</v>
      </c>
      <c r="Z99" s="633"/>
      <c r="AA99" s="633"/>
      <c r="AB99" s="633"/>
      <c r="AC99" s="633">
        <f t="shared" ref="AC99" si="2100">AC87+AD87+AE87+AF87</f>
        <v>43735780</v>
      </c>
      <c r="AD99" s="633"/>
      <c r="AE99" s="633"/>
      <c r="AF99" s="633"/>
      <c r="AG99" s="633">
        <f t="shared" ref="AG99" si="2101">AG87+AH87+AI87+AJ87</f>
        <v>46272460</v>
      </c>
      <c r="AH99" s="633"/>
      <c r="AI99" s="633"/>
      <c r="AJ99" s="633"/>
      <c r="AK99" s="633">
        <f t="shared" ref="AK99" si="2102">AK87+AL87+AM87+AN87</f>
        <v>48956268</v>
      </c>
      <c r="AL99" s="633"/>
      <c r="AM99" s="633"/>
      <c r="AN99" s="633"/>
      <c r="AO99" s="633">
        <f t="shared" ref="AO99" si="2103">AO87+AP87+AQ87+AR87</f>
        <v>51795728</v>
      </c>
      <c r="AP99" s="633"/>
      <c r="AQ99" s="633"/>
      <c r="AR99" s="633"/>
      <c r="AS99" s="633">
        <f t="shared" ref="AS99" si="2104">AS87+AT87+AU87+AV87</f>
        <v>54799876</v>
      </c>
      <c r="AT99" s="633"/>
      <c r="AU99" s="633"/>
      <c r="AV99" s="633"/>
      <c r="AW99" s="633">
        <f t="shared" ref="AW99" si="2105">AW87+AX87+AY87+AZ87</f>
        <v>57978276</v>
      </c>
      <c r="AX99" s="633"/>
      <c r="AY99" s="633"/>
      <c r="AZ99" s="633"/>
      <c r="BA99" s="633">
        <f t="shared" ref="BA99" si="2106">BA87+BB87+BC87+BD87</f>
        <v>61341004</v>
      </c>
      <c r="BB99" s="633"/>
      <c r="BC99" s="633"/>
      <c r="BD99" s="633"/>
      <c r="BE99" s="633">
        <f t="shared" ref="BE99" si="2107">BE87+BF87+BG87+BH87</f>
        <v>64898780</v>
      </c>
      <c r="BF99" s="633"/>
      <c r="BG99" s="633"/>
      <c r="BH99" s="633"/>
      <c r="BI99" s="633">
        <f t="shared" ref="BI99" si="2108">BI87+BJ87+BK87+BL87</f>
        <v>68662912</v>
      </c>
      <c r="BJ99" s="633"/>
      <c r="BK99" s="633"/>
      <c r="BL99" s="633"/>
      <c r="BM99" s="633">
        <f t="shared" ref="BM99" si="2109">BM87+BN87+BO87+BP87</f>
        <v>72645348</v>
      </c>
      <c r="BN99" s="633"/>
      <c r="BO99" s="633"/>
      <c r="BP99" s="633"/>
      <c r="BQ99" s="633">
        <f t="shared" ref="BQ99" si="2110">BQ87+BR87+BS87+BT87</f>
        <v>76858776</v>
      </c>
      <c r="BR99" s="633"/>
      <c r="BS99" s="633"/>
      <c r="BT99" s="633"/>
      <c r="BU99" s="633">
        <f t="shared" ref="BU99" si="2111">BU87+BV87+BW87+BX87</f>
        <v>81316596</v>
      </c>
      <c r="BV99" s="633"/>
      <c r="BW99" s="633"/>
      <c r="BX99" s="633"/>
      <c r="BY99" s="633">
        <f t="shared" ref="BY99" si="2112">BY87+BZ87+CA87+CB87</f>
        <v>86032964</v>
      </c>
      <c r="BZ99" s="633"/>
      <c r="CA99" s="633"/>
      <c r="CB99" s="633"/>
      <c r="CC99" s="633">
        <f t="shared" ref="CC99" si="2113">CC87+CD87+CE87+CF87</f>
        <v>91022872</v>
      </c>
      <c r="CD99" s="633"/>
      <c r="CE99" s="633"/>
      <c r="CF99" s="633"/>
      <c r="CG99" s="633">
        <f>CG87+CH87+CI87+CJ87</f>
        <v>96302176</v>
      </c>
      <c r="CH99" s="633"/>
      <c r="CI99" s="633"/>
      <c r="CJ99" s="633"/>
      <c r="CK99" s="477"/>
      <c r="CL99" s="58"/>
      <c r="CM99" s="58"/>
      <c r="CN99" s="58"/>
      <c r="CO99" s="58"/>
      <c r="CP99" s="59"/>
    </row>
    <row r="100" spans="1:150" s="54" customFormat="1" ht="14.25" hidden="1">
      <c r="B100" s="473"/>
      <c r="C100" s="473"/>
      <c r="D100" s="474"/>
      <c r="E100" s="611">
        <f>I99/E99-1</f>
        <v>6.9580372488109443E-3</v>
      </c>
      <c r="F100" s="611"/>
      <c r="G100" s="611"/>
      <c r="H100" s="611"/>
      <c r="I100" s="611">
        <f t="shared" ref="I100" si="2114">M99/I99-1</f>
        <v>4.6911216222687013E-2</v>
      </c>
      <c r="J100" s="611"/>
      <c r="K100" s="611"/>
      <c r="L100" s="611"/>
      <c r="M100" s="611">
        <f t="shared" ref="M100" si="2115">Q99/M99-1</f>
        <v>5.2001308733076179E-2</v>
      </c>
      <c r="N100" s="611"/>
      <c r="O100" s="611"/>
      <c r="P100" s="611"/>
      <c r="Q100" s="611">
        <f t="shared" ref="Q100" si="2116">U99/Q99-1</f>
        <v>5.3203965952010046E-2</v>
      </c>
      <c r="R100" s="611"/>
      <c r="S100" s="611"/>
      <c r="T100" s="611"/>
      <c r="U100" s="611">
        <f t="shared" ref="U100" si="2117">Y99/U99-1</f>
        <v>5.699847435540728E-2</v>
      </c>
      <c r="V100" s="611"/>
      <c r="W100" s="611"/>
      <c r="X100" s="611"/>
      <c r="Y100" s="611">
        <f t="shared" ref="Y100" si="2118">AC99/Y99-1</f>
        <v>5.6980568144896937E-2</v>
      </c>
      <c r="Z100" s="611"/>
      <c r="AA100" s="611"/>
      <c r="AB100" s="611"/>
      <c r="AC100" s="611">
        <f>AG99/AC99-1</f>
        <v>5.8000108835374542E-2</v>
      </c>
      <c r="AD100" s="611"/>
      <c r="AE100" s="611"/>
      <c r="AF100" s="611"/>
      <c r="AG100" s="611">
        <f t="shared" ref="AG100" si="2119">AK99/AG99-1</f>
        <v>5.8000114971194616E-2</v>
      </c>
      <c r="AH100" s="611"/>
      <c r="AI100" s="611"/>
      <c r="AJ100" s="611"/>
      <c r="AK100" s="611">
        <f t="shared" ref="AK100" si="2120">AO99/AK99-1</f>
        <v>5.7999927608860968E-2</v>
      </c>
      <c r="AL100" s="611"/>
      <c r="AM100" s="611"/>
      <c r="AN100" s="611"/>
      <c r="AO100" s="611">
        <f t="shared" ref="AO100" si="2121">AS99/AO99-1</f>
        <v>5.7999918448872867E-2</v>
      </c>
      <c r="AP100" s="611"/>
      <c r="AQ100" s="611"/>
      <c r="AR100" s="611"/>
      <c r="AS100" s="611">
        <f t="shared" ref="AS100" si="2122">AW99/AS99-1</f>
        <v>5.800013124117287E-2</v>
      </c>
      <c r="AT100" s="611"/>
      <c r="AU100" s="611"/>
      <c r="AV100" s="611"/>
      <c r="AW100" s="611">
        <f t="shared" ref="AW100" si="2123">BA99/AW99-1</f>
        <v>5.7999792887942991E-2</v>
      </c>
      <c r="AX100" s="611"/>
      <c r="AY100" s="611"/>
      <c r="AZ100" s="611"/>
      <c r="BA100" s="611">
        <f t="shared" ref="BA100" si="2124">BE99/BA99-1</f>
        <v>5.7999963613246441E-2</v>
      </c>
      <c r="BB100" s="611"/>
      <c r="BC100" s="611"/>
      <c r="BD100" s="611"/>
      <c r="BE100" s="611">
        <f t="shared" ref="BE100" si="2125">BI99/BE99-1</f>
        <v>5.8000042527764029E-2</v>
      </c>
      <c r="BF100" s="611"/>
      <c r="BG100" s="611"/>
      <c r="BH100" s="611"/>
      <c r="BI100" s="611">
        <f t="shared" ref="BI100" si="2126">BM99/BI99-1</f>
        <v>5.7999812183905153E-2</v>
      </c>
      <c r="BJ100" s="611"/>
      <c r="BK100" s="611"/>
      <c r="BL100" s="611"/>
      <c r="BM100" s="611">
        <f t="shared" ref="BM100" si="2127">BQ99/BM99-1</f>
        <v>5.799996993613421E-2</v>
      </c>
      <c r="BN100" s="611"/>
      <c r="BO100" s="611"/>
      <c r="BP100" s="611"/>
      <c r="BQ100" s="611">
        <f t="shared" ref="BQ100" si="2128">BU99/BQ99-1</f>
        <v>5.8000143015548344E-2</v>
      </c>
      <c r="BR100" s="611"/>
      <c r="BS100" s="611"/>
      <c r="BT100" s="611"/>
      <c r="BU100" s="611">
        <f t="shared" ref="BU100" si="2129">BY99/BU99-1</f>
        <v>5.8000066800631966E-2</v>
      </c>
      <c r="BV100" s="611"/>
      <c r="BW100" s="611"/>
      <c r="BX100" s="611"/>
      <c r="BY100" s="611">
        <f t="shared" ref="BY100" si="2130">CC99/BY99-1</f>
        <v>5.7999954529057041E-2</v>
      </c>
      <c r="BZ100" s="611"/>
      <c r="CA100" s="611"/>
      <c r="CB100" s="611"/>
      <c r="CC100" s="611">
        <f t="shared" ref="CC100" si="2131">CG99/CC99-1</f>
        <v>5.7999751974426861E-2</v>
      </c>
      <c r="CD100" s="611"/>
      <c r="CE100" s="611"/>
      <c r="CF100" s="611"/>
      <c r="CG100" s="611"/>
      <c r="CH100" s="611"/>
      <c r="CI100" s="611"/>
      <c r="CJ100" s="611"/>
      <c r="CK100" s="475"/>
      <c r="CL100" s="142"/>
      <c r="CM100" s="142"/>
      <c r="CN100" s="142"/>
      <c r="CO100" s="142"/>
      <c r="CP100" s="478"/>
    </row>
    <row r="101" spans="1:150" s="54" customFormat="1" ht="14.25">
      <c r="B101" s="473"/>
      <c r="C101" s="473"/>
      <c r="D101" s="474"/>
      <c r="E101" s="473"/>
      <c r="F101" s="473"/>
      <c r="G101" s="473"/>
      <c r="H101" s="473"/>
      <c r="I101" s="473"/>
      <c r="J101" s="473"/>
      <c r="K101" s="473"/>
      <c r="L101" s="473"/>
      <c r="M101" s="473"/>
      <c r="N101" s="473"/>
      <c r="O101" s="473"/>
      <c r="P101" s="473"/>
      <c r="Q101" s="473"/>
      <c r="R101" s="473"/>
      <c r="S101" s="473"/>
      <c r="T101" s="473"/>
      <c r="U101" s="473"/>
      <c r="V101" s="473"/>
      <c r="W101" s="473"/>
      <c r="X101" s="473"/>
      <c r="Y101" s="473"/>
      <c r="Z101" s="473"/>
      <c r="AA101" s="473"/>
      <c r="AB101" s="473"/>
      <c r="AC101" s="473"/>
      <c r="AD101" s="473"/>
      <c r="AE101" s="473"/>
      <c r="AF101" s="473"/>
      <c r="AG101" s="473"/>
      <c r="AH101" s="473"/>
      <c r="AI101" s="473"/>
      <c r="AJ101" s="473"/>
      <c r="AK101" s="473"/>
      <c r="AL101" s="473"/>
      <c r="AM101" s="473"/>
      <c r="AN101" s="473"/>
      <c r="AO101" s="473"/>
      <c r="AP101" s="473"/>
      <c r="AQ101" s="473"/>
      <c r="AR101" s="473"/>
      <c r="AS101" s="473"/>
      <c r="AT101" s="473"/>
      <c r="AU101" s="473"/>
      <c r="AV101" s="473"/>
      <c r="AW101" s="473"/>
      <c r="AX101" s="473"/>
      <c r="AY101" s="473"/>
      <c r="AZ101" s="473"/>
      <c r="BA101" s="473"/>
      <c r="BB101" s="473"/>
      <c r="BC101" s="473"/>
      <c r="BD101" s="473"/>
      <c r="BE101" s="473"/>
      <c r="BF101" s="473"/>
      <c r="BG101" s="473"/>
      <c r="BH101" s="473"/>
      <c r="BI101" s="473"/>
      <c r="BJ101" s="473"/>
      <c r="BK101" s="473"/>
      <c r="BL101" s="473"/>
      <c r="BM101" s="473"/>
      <c r="BN101" s="473"/>
      <c r="BO101" s="473"/>
      <c r="BP101" s="473"/>
      <c r="BQ101" s="473"/>
      <c r="BR101" s="473"/>
      <c r="BS101" s="473"/>
      <c r="BT101" s="473"/>
      <c r="BU101" s="473"/>
      <c r="BV101" s="473"/>
      <c r="BW101" s="473"/>
      <c r="BX101" s="473"/>
      <c r="BY101" s="473"/>
      <c r="BZ101" s="473"/>
      <c r="CA101" s="473"/>
      <c r="CB101" s="473"/>
      <c r="CC101" s="473"/>
      <c r="CD101" s="473"/>
      <c r="CE101" s="473"/>
      <c r="CF101" s="473"/>
      <c r="CG101" s="473"/>
      <c r="CH101" s="473"/>
      <c r="CI101" s="473"/>
      <c r="CJ101" s="473"/>
      <c r="CK101" s="475"/>
      <c r="CL101" s="142"/>
      <c r="CM101" s="142"/>
      <c r="CN101" s="142"/>
      <c r="CO101" s="142"/>
      <c r="CP101" s="478"/>
    </row>
    <row r="102" spans="1:150" s="54" customFormat="1" ht="14.25">
      <c r="B102" s="473"/>
      <c r="C102" s="473"/>
      <c r="D102" s="474"/>
      <c r="E102" s="473"/>
      <c r="F102" s="473"/>
      <c r="G102" s="473"/>
      <c r="H102" s="473"/>
      <c r="I102" s="473"/>
      <c r="J102" s="473"/>
      <c r="K102" s="473"/>
      <c r="L102" s="473"/>
      <c r="M102" s="473"/>
      <c r="N102" s="473"/>
      <c r="O102" s="473"/>
      <c r="P102" s="473"/>
      <c r="Q102" s="473"/>
      <c r="R102" s="473"/>
      <c r="S102" s="473"/>
      <c r="T102" s="473"/>
      <c r="U102" s="473"/>
      <c r="V102" s="473"/>
      <c r="W102" s="473"/>
      <c r="X102" s="473"/>
      <c r="Y102" s="473"/>
      <c r="Z102" s="473"/>
      <c r="AA102" s="473"/>
      <c r="AB102" s="473"/>
      <c r="AC102" s="473"/>
      <c r="AD102" s="473"/>
      <c r="AE102" s="473"/>
      <c r="AF102" s="473"/>
      <c r="AG102" s="473"/>
      <c r="AH102" s="473"/>
      <c r="AI102" s="473"/>
      <c r="AJ102" s="473"/>
      <c r="AK102" s="473"/>
      <c r="AL102" s="473"/>
      <c r="AM102" s="473"/>
      <c r="AN102" s="473"/>
      <c r="AO102" s="473"/>
      <c r="AP102" s="473"/>
      <c r="AQ102" s="473"/>
      <c r="AR102" s="473"/>
      <c r="AS102" s="473"/>
      <c r="AT102" s="473"/>
      <c r="AU102" s="473"/>
      <c r="AV102" s="473"/>
      <c r="AW102" s="473"/>
      <c r="AX102" s="473"/>
      <c r="AY102" s="473"/>
      <c r="AZ102" s="473"/>
      <c r="BA102" s="473"/>
      <c r="BB102" s="473"/>
      <c r="BC102" s="473"/>
      <c r="BD102" s="473"/>
      <c r="BE102" s="473"/>
      <c r="BF102" s="473"/>
      <c r="BG102" s="473"/>
      <c r="BH102" s="473"/>
      <c r="BI102" s="473"/>
      <c r="BJ102" s="473"/>
      <c r="BK102" s="473"/>
      <c r="BL102" s="473"/>
      <c r="BM102" s="473"/>
      <c r="BN102" s="473"/>
      <c r="BO102" s="473"/>
      <c r="BP102" s="473"/>
      <c r="BQ102" s="473"/>
      <c r="BR102" s="473"/>
      <c r="BS102" s="473"/>
      <c r="BT102" s="473"/>
      <c r="BU102" s="473"/>
      <c r="BV102" s="473"/>
      <c r="BW102" s="473"/>
      <c r="BX102" s="473"/>
      <c r="BY102" s="473"/>
      <c r="BZ102" s="473"/>
      <c r="CA102" s="473"/>
      <c r="CB102" s="473"/>
      <c r="CC102" s="473"/>
      <c r="CD102" s="473"/>
      <c r="CE102" s="473"/>
      <c r="CF102" s="473"/>
      <c r="CG102" s="473"/>
      <c r="CH102" s="473"/>
      <c r="CI102" s="473"/>
      <c r="CJ102" s="473"/>
      <c r="CK102" s="475"/>
      <c r="CL102" s="142"/>
      <c r="CM102" s="142"/>
      <c r="CN102" s="142"/>
      <c r="CO102" s="142"/>
      <c r="CP102" s="478"/>
    </row>
    <row r="103" spans="1:150" s="60" customFormat="1" ht="14.25">
      <c r="A103" s="54"/>
      <c r="B103" s="473"/>
      <c r="C103" s="473"/>
      <c r="D103" s="474"/>
      <c r="E103" s="473"/>
      <c r="F103" s="473"/>
      <c r="G103" s="473"/>
      <c r="H103" s="473"/>
      <c r="I103" s="473"/>
      <c r="J103" s="473"/>
      <c r="K103" s="473"/>
      <c r="L103" s="473"/>
      <c r="M103" s="473"/>
      <c r="N103" s="473"/>
      <c r="O103" s="473"/>
      <c r="P103" s="473"/>
      <c r="Q103" s="473"/>
      <c r="R103" s="473"/>
      <c r="S103" s="473"/>
      <c r="T103" s="473"/>
      <c r="U103" s="473"/>
      <c r="V103" s="473"/>
      <c r="W103" s="473"/>
      <c r="X103" s="473"/>
      <c r="Y103" s="473"/>
      <c r="Z103" s="473"/>
      <c r="AA103" s="473"/>
      <c r="AB103" s="473"/>
      <c r="AC103" s="473"/>
      <c r="AD103" s="473"/>
      <c r="AE103" s="473"/>
      <c r="AF103" s="473"/>
      <c r="AG103" s="473"/>
      <c r="AH103" s="473"/>
      <c r="AI103" s="473"/>
      <c r="AJ103" s="473"/>
      <c r="AK103" s="473"/>
      <c r="AL103" s="473"/>
      <c r="AM103" s="473"/>
      <c r="AN103" s="473"/>
      <c r="AO103" s="473"/>
      <c r="AP103" s="473"/>
      <c r="AQ103" s="473"/>
      <c r="AR103" s="473"/>
      <c r="AS103" s="473"/>
      <c r="AT103" s="473"/>
      <c r="AU103" s="473"/>
      <c r="AV103" s="473"/>
      <c r="AW103" s="473"/>
      <c r="AX103" s="473"/>
      <c r="AY103" s="473"/>
      <c r="AZ103" s="473"/>
      <c r="BA103" s="473"/>
      <c r="BB103" s="473"/>
      <c r="BC103" s="473"/>
      <c r="BD103" s="473"/>
      <c r="BE103" s="473"/>
      <c r="BF103" s="473"/>
      <c r="BG103" s="473"/>
      <c r="BH103" s="473"/>
      <c r="BI103" s="473"/>
      <c r="BJ103" s="473"/>
      <c r="BK103" s="473"/>
      <c r="BL103" s="473"/>
      <c r="BM103" s="473"/>
      <c r="BN103" s="473"/>
      <c r="BO103" s="473"/>
      <c r="BP103" s="473"/>
      <c r="BQ103" s="473"/>
      <c r="BR103" s="473"/>
      <c r="BS103" s="473"/>
      <c r="BT103" s="473"/>
      <c r="BU103" s="473"/>
      <c r="BV103" s="473"/>
      <c r="BW103" s="473"/>
      <c r="BX103" s="473"/>
      <c r="BY103" s="473"/>
      <c r="BZ103" s="473"/>
      <c r="CA103" s="473"/>
      <c r="CB103" s="473"/>
      <c r="CC103" s="473"/>
      <c r="CD103" s="473"/>
      <c r="CE103" s="473"/>
      <c r="CF103" s="473"/>
      <c r="CG103" s="473"/>
      <c r="CH103" s="473"/>
      <c r="CI103" s="473"/>
      <c r="CJ103" s="473"/>
      <c r="CK103" s="475"/>
      <c r="CL103" s="58"/>
      <c r="CM103" s="58"/>
      <c r="CN103" s="58"/>
      <c r="CO103" s="58"/>
      <c r="CP103" s="59"/>
    </row>
    <row r="104" spans="1:150" ht="21" customHeight="1">
      <c r="A104" s="142"/>
      <c r="B104" s="132"/>
      <c r="C104" s="245"/>
      <c r="D104" s="133"/>
      <c r="E104" s="434">
        <f>E86+F86+G86+H86</f>
        <v>35566602</v>
      </c>
      <c r="F104" s="434">
        <f>I86+J86+K86+L86</f>
        <v>35800504</v>
      </c>
      <c r="G104" s="435">
        <f>M86+N86+O86+P86</f>
        <v>37388444</v>
      </c>
      <c r="H104" s="234"/>
      <c r="I104" s="136"/>
    </row>
    <row r="105" spans="1:150" ht="21" customHeight="1">
      <c r="A105" s="142"/>
      <c r="B105" s="132"/>
      <c r="C105" s="245"/>
      <c r="D105" s="244">
        <f>F82</f>
        <v>6440.47</v>
      </c>
      <c r="E105" s="369">
        <f>ROUND(E104/D105/365,2)</f>
        <v>15.13</v>
      </c>
      <c r="F105" s="368">
        <f>ROUND(F104/D105/365,2)</f>
        <v>15.23</v>
      </c>
      <c r="G105" s="368">
        <f>ROUND(G104/D105/365,2)</f>
        <v>15.9</v>
      </c>
      <c r="H105" s="234"/>
      <c r="I105" s="136"/>
    </row>
    <row r="106" spans="1:150" ht="21" customHeight="1">
      <c r="A106" s="142"/>
      <c r="B106" s="132"/>
      <c r="C106" s="133"/>
      <c r="D106" s="134"/>
      <c r="E106" s="420">
        <f>ROUND(F105/E105-1,3)</f>
        <v>7.0000000000000001E-3</v>
      </c>
      <c r="F106" s="420">
        <f>ROUND(G105/F105-1,3)</f>
        <v>4.3999999999999997E-2</v>
      </c>
      <c r="G106" s="414"/>
      <c r="H106" s="234"/>
      <c r="I106" s="136"/>
    </row>
    <row r="107" spans="1:150" s="283" customFormat="1" ht="21" customHeight="1">
      <c r="A107" s="279"/>
      <c r="B107" s="280"/>
      <c r="C107" s="281"/>
      <c r="D107" s="282"/>
      <c r="E107" s="612">
        <f>I96/E96-1</f>
        <v>6.5864392610641698E-3</v>
      </c>
      <c r="F107" s="612"/>
      <c r="G107" s="612"/>
      <c r="H107" s="612"/>
      <c r="I107" s="612">
        <f t="shared" ref="I107" si="2132">M96/I96-1</f>
        <v>4.4422649228281097E-2</v>
      </c>
      <c r="J107" s="612"/>
      <c r="K107" s="612"/>
      <c r="L107" s="612"/>
      <c r="M107" s="612">
        <f t="shared" ref="M107" si="2133">Q96/M96-1</f>
        <v>4.9360016779300464E-2</v>
      </c>
      <c r="N107" s="612"/>
      <c r="O107" s="612"/>
      <c r="P107" s="612"/>
      <c r="Q107" s="612">
        <f t="shared" ref="Q107" si="2134">U96/Q96-1</f>
        <v>5.0628828782057989E-2</v>
      </c>
      <c r="R107" s="612"/>
      <c r="S107" s="612"/>
      <c r="T107" s="612"/>
      <c r="U107" s="612">
        <f t="shared" ref="U107" si="2135">Y96/U96-1</f>
        <v>5.4372606899295128E-2</v>
      </c>
      <c r="V107" s="612"/>
      <c r="W107" s="612"/>
      <c r="X107" s="612"/>
      <c r="Y107" s="612">
        <f t="shared" ref="Y107" si="2136">AC96/Y96-1</f>
        <v>5.4490642968239689E-2</v>
      </c>
      <c r="Z107" s="612"/>
      <c r="AA107" s="612"/>
      <c r="AB107" s="612"/>
      <c r="AC107" s="612">
        <f t="shared" ref="AC107" si="2137">AG96/AC96-1</f>
        <v>5.5596913102337497E-2</v>
      </c>
      <c r="AD107" s="612"/>
      <c r="AE107" s="612"/>
      <c r="AF107" s="612"/>
      <c r="AG107" s="612">
        <f t="shared" ref="AG107" si="2138">AK96/AG96-1</f>
        <v>5.5723383297815898E-2</v>
      </c>
      <c r="AH107" s="612"/>
      <c r="AI107" s="612"/>
      <c r="AJ107" s="612"/>
      <c r="AK107" s="612">
        <f t="shared" ref="AK107" si="2139">AO96/AK96-1</f>
        <v>5.5843334532084787E-2</v>
      </c>
      <c r="AL107" s="612"/>
      <c r="AM107" s="612"/>
      <c r="AN107" s="612"/>
      <c r="AO107" s="612">
        <f t="shared" ref="AO107" si="2140">AS96/AO96-1</f>
        <v>5.5957502481354338E-2</v>
      </c>
      <c r="AP107" s="612"/>
      <c r="AQ107" s="612"/>
      <c r="AR107" s="612"/>
      <c r="AS107" s="612">
        <f t="shared" ref="AS107" si="2141">AW96/AS96-1</f>
        <v>5.6065903264472583E-2</v>
      </c>
      <c r="AT107" s="612"/>
      <c r="AU107" s="612"/>
      <c r="AV107" s="612"/>
      <c r="AW107" s="612">
        <f t="shared" ref="AW107" si="2142">BA96/AW96-1</f>
        <v>5.6168182094922914E-2</v>
      </c>
      <c r="AX107" s="612"/>
      <c r="AY107" s="612"/>
      <c r="AZ107" s="612"/>
      <c r="BA107" s="612">
        <f t="shared" ref="BA107" si="2143">BE96/BA96-1</f>
        <v>5.6265795804696817E-2</v>
      </c>
      <c r="BB107" s="612"/>
      <c r="BC107" s="612"/>
      <c r="BD107" s="612"/>
      <c r="BE107" s="612">
        <f t="shared" ref="BE107" si="2144">BI96/BE96-1</f>
        <v>5.6358166077757899E-2</v>
      </c>
      <c r="BF107" s="612"/>
      <c r="BG107" s="612"/>
      <c r="BH107" s="612"/>
      <c r="BI107" s="612">
        <f t="shared" ref="BI107" si="2145">BM96/BI96-1</f>
        <v>5.6445620643368999E-2</v>
      </c>
      <c r="BJ107" s="612"/>
      <c r="BK107" s="612"/>
      <c r="BL107" s="612"/>
      <c r="BM107" s="612">
        <f t="shared" ref="BM107" si="2146">BQ96/BM96-1</f>
        <v>5.6528834244083948E-2</v>
      </c>
      <c r="BN107" s="612"/>
      <c r="BO107" s="612"/>
      <c r="BP107" s="612"/>
      <c r="BQ107" s="612">
        <f t="shared" ref="BQ107" si="2147">BU96/BQ96-1</f>
        <v>5.6607781876929719E-2</v>
      </c>
      <c r="BR107" s="612"/>
      <c r="BS107" s="612"/>
      <c r="BT107" s="612"/>
      <c r="BU107" s="612">
        <f t="shared" ref="BU107" si="2148">BY96/BU96-1</f>
        <v>5.6682218403609097E-2</v>
      </c>
      <c r="BV107" s="612"/>
      <c r="BW107" s="612"/>
      <c r="BX107" s="612"/>
      <c r="BY107" s="612">
        <f t="shared" ref="BY107" si="2149">CC96/BY96-1</f>
        <v>5.675276632344306E-2</v>
      </c>
      <c r="BZ107" s="612"/>
      <c r="CA107" s="612"/>
      <c r="CB107" s="612"/>
      <c r="CC107" s="612">
        <f t="shared" ref="CC107" si="2150">CG96/CC96-1</f>
        <v>5.6819534085898793E-2</v>
      </c>
      <c r="CD107" s="612"/>
      <c r="CE107" s="612"/>
      <c r="CF107" s="612"/>
      <c r="CG107" s="612" t="e">
        <f>#REF!/CG96-1</f>
        <v>#REF!</v>
      </c>
      <c r="CH107" s="612"/>
      <c r="CI107" s="612"/>
      <c r="CJ107" s="612"/>
      <c r="CK107" s="612" t="e">
        <f>#REF!/#REF!-1</f>
        <v>#REF!</v>
      </c>
      <c r="CL107" s="612"/>
      <c r="CM107" s="612"/>
      <c r="CN107" s="612"/>
      <c r="CO107" s="612" t="e">
        <f>#REF!/#REF!-1</f>
        <v>#REF!</v>
      </c>
      <c r="CP107" s="612"/>
      <c r="CQ107" s="612"/>
      <c r="CR107" s="612"/>
      <c r="CS107" s="612" t="e">
        <f>#REF!/#REF!-1</f>
        <v>#REF!</v>
      </c>
      <c r="CT107" s="612"/>
      <c r="CU107" s="612"/>
      <c r="CV107" s="612"/>
      <c r="CW107" s="612" t="e">
        <f>#REF!/#REF!-1</f>
        <v>#REF!</v>
      </c>
      <c r="CX107" s="612"/>
      <c r="CY107" s="612"/>
      <c r="CZ107" s="612"/>
      <c r="DA107" s="612" t="e">
        <f>#REF!/#REF!-1</f>
        <v>#REF!</v>
      </c>
      <c r="DB107" s="612"/>
      <c r="DC107" s="612"/>
      <c r="DD107" s="612"/>
      <c r="DE107" s="612" t="e">
        <f>#REF!/#REF!-1</f>
        <v>#REF!</v>
      </c>
      <c r="DF107" s="612"/>
      <c r="DG107" s="612"/>
      <c r="DH107" s="612"/>
      <c r="DI107" s="612" t="e">
        <f>#REF!/#REF!-1</f>
        <v>#REF!</v>
      </c>
      <c r="DJ107" s="612"/>
      <c r="DK107" s="612"/>
      <c r="DL107" s="612"/>
      <c r="DM107" s="612" t="e">
        <f>#REF!/#REF!-1</f>
        <v>#REF!</v>
      </c>
      <c r="DN107" s="612"/>
      <c r="DO107" s="612"/>
      <c r="DP107" s="612"/>
      <c r="DQ107" s="612" t="e">
        <f>#REF!/#REF!-1</f>
        <v>#REF!</v>
      </c>
      <c r="DR107" s="612"/>
      <c r="DS107" s="612"/>
      <c r="DT107" s="612"/>
      <c r="DU107" s="612" t="e">
        <f>#REF!/#REF!-1</f>
        <v>#REF!</v>
      </c>
      <c r="DV107" s="612"/>
      <c r="DW107" s="612"/>
      <c r="DX107" s="612"/>
    </row>
    <row r="108" spans="1:150" ht="21" customHeight="1">
      <c r="A108" s="142"/>
      <c r="B108" s="132"/>
      <c r="C108" s="133"/>
      <c r="D108" s="134"/>
      <c r="E108" s="135"/>
      <c r="F108" s="136"/>
      <c r="G108" s="137"/>
      <c r="H108" s="234"/>
      <c r="I108" s="136"/>
    </row>
    <row r="109" spans="1:150" ht="21" customHeight="1">
      <c r="A109" s="142"/>
      <c r="B109" s="132"/>
      <c r="C109" s="133"/>
      <c r="D109" s="134"/>
      <c r="E109" s="135"/>
      <c r="F109" s="136"/>
      <c r="G109" s="137"/>
      <c r="H109" s="234"/>
      <c r="I109" s="136"/>
    </row>
    <row r="110" spans="1:150" ht="21" customHeight="1">
      <c r="A110" s="142"/>
      <c r="B110" s="132"/>
      <c r="C110" s="133"/>
      <c r="D110" s="134"/>
      <c r="E110" s="135"/>
      <c r="F110" s="136"/>
      <c r="G110" s="137"/>
      <c r="H110" s="234"/>
      <c r="I110" s="136"/>
    </row>
    <row r="111" spans="1:150" ht="21" customHeight="1">
      <c r="A111" s="142"/>
      <c r="B111" s="132"/>
      <c r="C111" s="133"/>
      <c r="D111" s="134"/>
      <c r="E111" s="135"/>
      <c r="F111" s="136"/>
      <c r="G111" s="137"/>
      <c r="H111" s="234"/>
      <c r="I111" s="136"/>
    </row>
    <row r="112" spans="1:150" ht="21" customHeight="1">
      <c r="A112" s="142"/>
      <c r="B112" s="132"/>
      <c r="C112" s="133"/>
      <c r="D112" s="134"/>
      <c r="E112" s="135"/>
      <c r="F112" s="136"/>
      <c r="G112" s="137"/>
      <c r="H112" s="234"/>
      <c r="I112" s="136"/>
    </row>
    <row r="113" spans="1:9" ht="21" customHeight="1">
      <c r="A113" s="142"/>
      <c r="B113" s="132"/>
      <c r="C113" s="133"/>
      <c r="D113" s="134"/>
      <c r="E113" s="135"/>
      <c r="F113" s="136"/>
      <c r="G113" s="137"/>
      <c r="H113" s="234"/>
      <c r="I113" s="136"/>
    </row>
    <row r="114" spans="1:9" ht="21" customHeight="1">
      <c r="A114" s="142"/>
      <c r="B114" s="132"/>
      <c r="C114" s="133"/>
      <c r="D114" s="134"/>
      <c r="E114" s="135"/>
      <c r="F114" s="136"/>
      <c r="G114" s="137"/>
      <c r="H114" s="234"/>
      <c r="I114" s="136"/>
    </row>
    <row r="115" spans="1:9" ht="21" customHeight="1">
      <c r="A115" s="142"/>
      <c r="B115" s="132"/>
      <c r="C115" s="133"/>
      <c r="D115" s="134"/>
      <c r="E115" s="135"/>
      <c r="F115" s="136"/>
      <c r="G115" s="137"/>
      <c r="H115" s="234"/>
      <c r="I115" s="136"/>
    </row>
    <row r="116" spans="1:9" ht="21" customHeight="1">
      <c r="A116" s="142"/>
      <c r="B116" s="132"/>
      <c r="C116" s="133"/>
      <c r="D116" s="134"/>
      <c r="E116" s="135"/>
      <c r="F116" s="136"/>
      <c r="G116" s="137"/>
      <c r="H116" s="234"/>
      <c r="I116" s="136"/>
    </row>
    <row r="117" spans="1:9" ht="21" customHeight="1">
      <c r="A117" s="142"/>
      <c r="B117" s="132"/>
      <c r="C117" s="133"/>
      <c r="D117" s="134"/>
      <c r="E117" s="135"/>
      <c r="F117" s="136"/>
      <c r="G117" s="137"/>
      <c r="H117" s="234"/>
      <c r="I117" s="136"/>
    </row>
    <row r="118" spans="1:9" ht="21" customHeight="1">
      <c r="A118" s="142"/>
      <c r="B118" s="132"/>
      <c r="C118" s="133"/>
      <c r="D118" s="134"/>
      <c r="E118" s="135"/>
      <c r="F118" s="136"/>
      <c r="G118" s="137"/>
      <c r="H118" s="234"/>
      <c r="I118" s="136"/>
    </row>
    <row r="119" spans="1:9" ht="21" customHeight="1">
      <c r="A119" s="142"/>
      <c r="B119" s="132"/>
      <c r="C119" s="133"/>
      <c r="D119" s="134"/>
      <c r="E119" s="135"/>
      <c r="F119" s="136"/>
      <c r="G119" s="137"/>
      <c r="H119" s="234"/>
      <c r="I119" s="136"/>
    </row>
    <row r="120" spans="1:9" ht="21" customHeight="1">
      <c r="A120" s="142"/>
      <c r="B120" s="168"/>
      <c r="C120" s="28"/>
      <c r="D120" s="141"/>
      <c r="E120" s="135"/>
      <c r="F120" s="136"/>
      <c r="G120" s="137"/>
      <c r="H120" s="234"/>
      <c r="I120" s="136"/>
    </row>
    <row r="121" spans="1:9" ht="21" customHeight="1">
      <c r="A121" s="142"/>
      <c r="B121" s="168"/>
      <c r="C121" s="28"/>
      <c r="D121" s="141"/>
      <c r="E121" s="135"/>
      <c r="F121" s="136"/>
      <c r="G121" s="137"/>
      <c r="H121" s="234"/>
      <c r="I121" s="136"/>
    </row>
    <row r="122" spans="1:9" ht="21" customHeight="1">
      <c r="A122" s="142"/>
      <c r="B122" s="168"/>
      <c r="C122" s="28"/>
      <c r="D122" s="141"/>
      <c r="E122" s="135"/>
      <c r="F122" s="136"/>
      <c r="G122" s="137"/>
      <c r="H122" s="234"/>
      <c r="I122" s="136"/>
    </row>
    <row r="123" spans="1:9" ht="21" customHeight="1">
      <c r="A123" s="142"/>
      <c r="B123" s="168"/>
      <c r="C123" s="28"/>
      <c r="D123" s="141"/>
      <c r="E123" s="135"/>
      <c r="F123" s="136"/>
      <c r="G123" s="137"/>
      <c r="H123" s="234"/>
      <c r="I123" s="136"/>
    </row>
    <row r="124" spans="1:9" ht="21" customHeight="1">
      <c r="A124" s="142"/>
      <c r="B124" s="168"/>
      <c r="C124" s="28"/>
      <c r="D124" s="141"/>
      <c r="E124" s="135"/>
      <c r="F124" s="136"/>
      <c r="G124" s="137"/>
      <c r="H124" s="234"/>
      <c r="I124" s="136"/>
    </row>
    <row r="125" spans="1:9" ht="21" customHeight="1">
      <c r="A125" s="142"/>
      <c r="B125" s="168"/>
      <c r="C125" s="28"/>
      <c r="D125" s="141"/>
      <c r="E125" s="135"/>
      <c r="F125" s="136"/>
      <c r="G125" s="137"/>
      <c r="H125" s="234"/>
      <c r="I125" s="136"/>
    </row>
    <row r="126" spans="1:9" ht="21" customHeight="1">
      <c r="A126" s="142"/>
      <c r="B126" s="168"/>
      <c r="C126" s="28"/>
      <c r="D126" s="141"/>
      <c r="E126" s="135"/>
      <c r="F126" s="136"/>
      <c r="G126" s="137"/>
      <c r="H126" s="234"/>
      <c r="I126" s="136"/>
    </row>
    <row r="127" spans="1:9" ht="21" customHeight="1">
      <c r="A127" s="142"/>
      <c r="B127" s="168"/>
      <c r="C127" s="28"/>
      <c r="D127" s="141"/>
      <c r="E127" s="135"/>
      <c r="F127" s="136"/>
      <c r="G127" s="137"/>
      <c r="H127" s="234"/>
      <c r="I127" s="136"/>
    </row>
    <row r="128" spans="1:9" ht="21" customHeight="1">
      <c r="A128" s="142"/>
      <c r="B128" s="168"/>
      <c r="C128" s="28"/>
      <c r="D128" s="141"/>
      <c r="E128" s="135"/>
      <c r="F128" s="136"/>
      <c r="G128" s="137"/>
      <c r="H128" s="234"/>
      <c r="I128" s="136"/>
    </row>
    <row r="129" spans="1:9" ht="21" customHeight="1">
      <c r="A129" s="142"/>
      <c r="B129" s="168"/>
      <c r="C129" s="28"/>
      <c r="D129" s="141"/>
      <c r="E129" s="135"/>
      <c r="F129" s="136"/>
      <c r="G129" s="137"/>
      <c r="H129" s="234"/>
      <c r="I129" s="136"/>
    </row>
    <row r="130" spans="1:9" ht="21" customHeight="1">
      <c r="A130" s="142"/>
      <c r="B130" s="168"/>
      <c r="C130" s="28"/>
      <c r="D130" s="141"/>
      <c r="E130" s="135"/>
      <c r="F130" s="136"/>
      <c r="G130" s="137"/>
      <c r="H130" s="234"/>
      <c r="I130" s="136"/>
    </row>
    <row r="131" spans="1:9" ht="21" customHeight="1">
      <c r="A131" s="142"/>
      <c r="B131" s="168"/>
      <c r="C131" s="28"/>
      <c r="D131" s="141"/>
      <c r="E131" s="135"/>
      <c r="F131" s="136"/>
      <c r="G131" s="137"/>
      <c r="H131" s="234"/>
      <c r="I131" s="136"/>
    </row>
    <row r="132" spans="1:9" ht="21" customHeight="1">
      <c r="A132" s="142"/>
      <c r="B132" s="168"/>
      <c r="C132" s="28"/>
      <c r="D132" s="141"/>
      <c r="E132" s="135"/>
      <c r="F132" s="136"/>
      <c r="G132" s="137"/>
      <c r="H132" s="234"/>
      <c r="I132" s="136"/>
    </row>
    <row r="133" spans="1:9" ht="21" customHeight="1">
      <c r="A133" s="142"/>
      <c r="B133" s="168"/>
      <c r="C133" s="28"/>
      <c r="D133" s="141"/>
      <c r="E133" s="135"/>
      <c r="F133" s="136"/>
      <c r="G133" s="137"/>
      <c r="H133" s="234"/>
      <c r="I133" s="136"/>
    </row>
    <row r="134" spans="1:9" ht="21" customHeight="1">
      <c r="A134" s="142"/>
      <c r="B134" s="168"/>
      <c r="C134" s="28"/>
      <c r="D134" s="141"/>
      <c r="E134" s="135"/>
      <c r="F134" s="136"/>
      <c r="G134" s="137"/>
      <c r="H134" s="234"/>
      <c r="I134" s="136"/>
    </row>
    <row r="135" spans="1:9" ht="21" customHeight="1">
      <c r="A135" s="142"/>
      <c r="B135" s="168"/>
      <c r="C135" s="28"/>
      <c r="D135" s="141"/>
      <c r="E135" s="135"/>
      <c r="F135" s="136"/>
      <c r="G135" s="137"/>
      <c r="H135" s="234"/>
      <c r="I135" s="136"/>
    </row>
    <row r="136" spans="1:9" ht="21" customHeight="1">
      <c r="A136" s="142"/>
      <c r="B136" s="168"/>
      <c r="C136" s="28"/>
      <c r="D136" s="141"/>
      <c r="E136" s="135"/>
      <c r="F136" s="136"/>
      <c r="G136" s="137"/>
      <c r="H136" s="234"/>
      <c r="I136" s="136"/>
    </row>
    <row r="137" spans="1:9" ht="21" customHeight="1">
      <c r="A137" s="142"/>
      <c r="B137" s="168"/>
      <c r="C137" s="28"/>
      <c r="D137" s="141"/>
      <c r="E137" s="135"/>
      <c r="F137" s="136"/>
      <c r="G137" s="137"/>
      <c r="H137" s="234"/>
      <c r="I137" s="136"/>
    </row>
    <row r="138" spans="1:9" ht="21" customHeight="1">
      <c r="A138" s="142"/>
      <c r="B138" s="168"/>
      <c r="C138" s="28"/>
      <c r="D138" s="141"/>
      <c r="E138" s="135"/>
      <c r="F138" s="136"/>
      <c r="G138" s="137"/>
      <c r="H138" s="234"/>
      <c r="I138" s="136"/>
    </row>
    <row r="139" spans="1:9" ht="21" customHeight="1">
      <c r="A139" s="142"/>
      <c r="B139" s="168"/>
      <c r="C139" s="28"/>
      <c r="D139" s="141"/>
      <c r="E139" s="135"/>
      <c r="F139" s="136"/>
      <c r="G139" s="137"/>
      <c r="H139" s="234"/>
      <c r="I139" s="136"/>
    </row>
    <row r="140" spans="1:9" ht="21" customHeight="1">
      <c r="A140" s="142"/>
      <c r="B140" s="168"/>
      <c r="C140" s="28"/>
      <c r="D140" s="141"/>
      <c r="E140" s="135"/>
      <c r="F140" s="136"/>
      <c r="G140" s="137"/>
      <c r="H140" s="234"/>
      <c r="I140" s="136"/>
    </row>
    <row r="141" spans="1:9" ht="21" customHeight="1">
      <c r="A141" s="142"/>
      <c r="B141" s="168"/>
      <c r="C141" s="28"/>
      <c r="D141" s="141"/>
      <c r="E141" s="135"/>
      <c r="F141" s="136"/>
      <c r="G141" s="137"/>
      <c r="H141" s="234"/>
      <c r="I141" s="136"/>
    </row>
    <row r="142" spans="1:9" ht="21" customHeight="1">
      <c r="A142" s="142"/>
      <c r="B142" s="168"/>
      <c r="C142" s="28"/>
      <c r="D142" s="141"/>
      <c r="E142" s="135"/>
      <c r="F142" s="136"/>
      <c r="G142" s="137"/>
      <c r="H142" s="234"/>
      <c r="I142" s="136"/>
    </row>
    <row r="143" spans="1:9" ht="21" customHeight="1">
      <c r="A143" s="142"/>
      <c r="B143" s="168"/>
      <c r="C143" s="28"/>
      <c r="D143" s="141"/>
      <c r="E143" s="135"/>
      <c r="F143" s="136"/>
      <c r="G143" s="137"/>
      <c r="H143" s="234"/>
      <c r="I143" s="136"/>
    </row>
    <row r="144" spans="1:9" ht="21" customHeight="1">
      <c r="A144" s="142"/>
      <c r="B144" s="168"/>
      <c r="C144" s="28"/>
      <c r="D144" s="141"/>
      <c r="E144" s="135"/>
      <c r="F144" s="136"/>
      <c r="G144" s="137"/>
      <c r="H144" s="234"/>
      <c r="I144" s="136"/>
    </row>
    <row r="145" spans="1:9" ht="21" customHeight="1">
      <c r="A145" s="142"/>
      <c r="B145" s="168"/>
      <c r="C145" s="28"/>
      <c r="D145" s="141"/>
      <c r="E145" s="135"/>
      <c r="F145" s="136"/>
      <c r="G145" s="137"/>
      <c r="H145" s="234"/>
      <c r="I145" s="136"/>
    </row>
    <row r="146" spans="1:9" ht="21" customHeight="1">
      <c r="A146" s="142"/>
      <c r="B146" s="168"/>
      <c r="C146" s="28"/>
      <c r="D146" s="141"/>
      <c r="E146" s="135"/>
      <c r="F146" s="136"/>
      <c r="G146" s="137"/>
      <c r="H146" s="234"/>
      <c r="I146" s="136"/>
    </row>
    <row r="147" spans="1:9" ht="21" customHeight="1">
      <c r="A147" s="142"/>
      <c r="B147" s="168"/>
      <c r="C147" s="28"/>
      <c r="D147" s="141"/>
      <c r="E147" s="135"/>
      <c r="F147" s="136"/>
      <c r="G147" s="137"/>
      <c r="H147" s="234"/>
      <c r="I147" s="136"/>
    </row>
    <row r="148" spans="1:9">
      <c r="A148" s="142"/>
      <c r="B148" s="168"/>
      <c r="C148" s="28"/>
      <c r="D148" s="141"/>
      <c r="E148" s="135"/>
      <c r="F148" s="136"/>
      <c r="G148" s="137"/>
      <c r="H148" s="234"/>
      <c r="I148" s="136"/>
    </row>
    <row r="149" spans="1:9">
      <c r="A149" s="142"/>
      <c r="B149" s="168"/>
      <c r="C149" s="28"/>
      <c r="D149" s="141"/>
      <c r="E149" s="135"/>
      <c r="F149" s="136"/>
      <c r="G149" s="137"/>
      <c r="H149" s="234"/>
      <c r="I149" s="136"/>
    </row>
    <row r="150" spans="1:9">
      <c r="A150" s="142"/>
      <c r="B150" s="168"/>
      <c r="C150" s="28"/>
      <c r="D150" s="141"/>
      <c r="E150" s="135"/>
      <c r="F150" s="136"/>
      <c r="G150" s="137"/>
      <c r="H150" s="234"/>
      <c r="I150" s="136"/>
    </row>
    <row r="151" spans="1:9">
      <c r="A151" s="142"/>
      <c r="B151" s="168"/>
      <c r="C151" s="28"/>
      <c r="D151" s="141"/>
      <c r="E151" s="135"/>
      <c r="F151" s="136"/>
      <c r="G151" s="137"/>
      <c r="H151" s="234"/>
      <c r="I151" s="136"/>
    </row>
    <row r="152" spans="1:9">
      <c r="A152" s="142"/>
      <c r="B152" s="168"/>
      <c r="C152" s="28"/>
      <c r="D152" s="141"/>
      <c r="E152" s="135"/>
      <c r="F152" s="136"/>
      <c r="G152" s="137"/>
      <c r="H152" s="234"/>
      <c r="I152" s="136"/>
    </row>
    <row r="153" spans="1:9">
      <c r="A153" s="142"/>
      <c r="B153" s="168"/>
      <c r="C153" s="28"/>
      <c r="D153" s="141"/>
      <c r="E153" s="135"/>
      <c r="F153" s="136"/>
      <c r="G153" s="137"/>
      <c r="H153" s="234"/>
      <c r="I153" s="136"/>
    </row>
    <row r="154" spans="1:9">
      <c r="A154" s="142"/>
      <c r="B154" s="168"/>
      <c r="C154" s="28"/>
      <c r="D154" s="141"/>
      <c r="E154" s="135"/>
      <c r="F154" s="136"/>
      <c r="G154" s="137"/>
      <c r="H154" s="234"/>
      <c r="I154" s="136"/>
    </row>
    <row r="155" spans="1:9">
      <c r="A155" s="142"/>
      <c r="B155" s="168"/>
      <c r="C155" s="28"/>
      <c r="D155" s="141"/>
      <c r="E155" s="135"/>
      <c r="F155" s="136"/>
      <c r="G155" s="137"/>
      <c r="H155" s="234"/>
      <c r="I155" s="136"/>
    </row>
    <row r="156" spans="1:9">
      <c r="A156" s="142"/>
      <c r="B156" s="168"/>
      <c r="C156" s="28"/>
      <c r="D156" s="141"/>
      <c r="E156" s="135"/>
      <c r="F156" s="136"/>
      <c r="G156" s="137"/>
      <c r="H156" s="234"/>
      <c r="I156" s="136"/>
    </row>
    <row r="157" spans="1:9">
      <c r="A157" s="142"/>
      <c r="B157" s="168"/>
      <c r="C157" s="28"/>
      <c r="D157" s="141"/>
      <c r="E157" s="135"/>
      <c r="F157" s="136"/>
      <c r="G157" s="137"/>
      <c r="H157" s="234"/>
      <c r="I157" s="136"/>
    </row>
    <row r="158" spans="1:9">
      <c r="A158" s="142"/>
      <c r="B158" s="168"/>
      <c r="C158" s="28"/>
      <c r="D158" s="141"/>
      <c r="E158" s="135"/>
      <c r="F158" s="136"/>
      <c r="G158" s="137"/>
      <c r="H158" s="234"/>
      <c r="I158" s="136"/>
    </row>
    <row r="159" spans="1:9">
      <c r="A159" s="142"/>
      <c r="B159" s="168"/>
      <c r="C159" s="28"/>
      <c r="D159" s="141"/>
      <c r="E159" s="135"/>
      <c r="F159" s="136"/>
      <c r="G159" s="137"/>
      <c r="H159" s="234"/>
      <c r="I159" s="136"/>
    </row>
    <row r="160" spans="1:9">
      <c r="A160" s="142"/>
      <c r="B160" s="168"/>
      <c r="C160" s="28"/>
      <c r="D160" s="141"/>
      <c r="E160" s="135"/>
      <c r="F160" s="136"/>
      <c r="G160" s="137"/>
      <c r="H160" s="234"/>
      <c r="I160" s="136"/>
    </row>
    <row r="161" spans="1:9">
      <c r="A161" s="142"/>
      <c r="B161" s="168"/>
      <c r="C161" s="28"/>
      <c r="D161" s="141"/>
      <c r="E161" s="135"/>
      <c r="F161" s="136"/>
      <c r="G161" s="137"/>
      <c r="H161" s="234"/>
      <c r="I161" s="136"/>
    </row>
    <row r="162" spans="1:9">
      <c r="A162" s="142"/>
      <c r="B162" s="168"/>
      <c r="C162" s="28"/>
      <c r="D162" s="141"/>
      <c r="E162" s="135"/>
      <c r="F162" s="136"/>
      <c r="G162" s="137"/>
      <c r="H162" s="234"/>
      <c r="I162" s="136"/>
    </row>
    <row r="163" spans="1:9">
      <c r="A163" s="142"/>
      <c r="B163" s="168"/>
      <c r="C163" s="28"/>
      <c r="D163" s="141"/>
      <c r="E163" s="135"/>
      <c r="F163" s="136"/>
      <c r="G163" s="137"/>
      <c r="H163" s="234"/>
      <c r="I163" s="136"/>
    </row>
    <row r="164" spans="1:9">
      <c r="A164" s="142"/>
      <c r="B164" s="168"/>
      <c r="C164" s="28"/>
      <c r="D164" s="141"/>
      <c r="E164" s="135"/>
      <c r="F164" s="136"/>
      <c r="G164" s="137"/>
      <c r="H164" s="234"/>
      <c r="I164" s="136"/>
    </row>
    <row r="165" spans="1:9">
      <c r="A165" s="142"/>
      <c r="B165" s="168"/>
      <c r="C165" s="28"/>
      <c r="D165" s="141"/>
      <c r="E165" s="135"/>
      <c r="F165" s="136"/>
      <c r="G165" s="137"/>
      <c r="H165" s="234"/>
      <c r="I165" s="136"/>
    </row>
    <row r="166" spans="1:9">
      <c r="A166" s="142"/>
      <c r="B166" s="168"/>
      <c r="C166" s="28"/>
      <c r="D166" s="141"/>
      <c r="E166" s="135"/>
      <c r="F166" s="136"/>
      <c r="G166" s="137"/>
      <c r="H166" s="234"/>
      <c r="I166" s="136"/>
    </row>
    <row r="167" spans="1:9">
      <c r="A167" s="142"/>
      <c r="B167" s="168"/>
      <c r="C167" s="28"/>
      <c r="D167" s="141"/>
      <c r="E167" s="135"/>
      <c r="F167" s="136"/>
      <c r="G167" s="137"/>
      <c r="H167" s="234"/>
      <c r="I167" s="136"/>
    </row>
    <row r="168" spans="1:9">
      <c r="A168" s="142"/>
      <c r="B168" s="168"/>
      <c r="C168" s="28"/>
      <c r="D168" s="141"/>
      <c r="E168" s="135"/>
      <c r="F168" s="136"/>
      <c r="G168" s="137"/>
      <c r="H168" s="234"/>
      <c r="I168" s="136"/>
    </row>
    <row r="169" spans="1:9">
      <c r="A169" s="142"/>
      <c r="B169" s="168"/>
      <c r="C169" s="28"/>
      <c r="D169" s="141"/>
      <c r="E169" s="135"/>
      <c r="F169" s="136"/>
      <c r="G169" s="137"/>
      <c r="H169" s="234"/>
      <c r="I169" s="136"/>
    </row>
    <row r="170" spans="1:9">
      <c r="A170" s="142"/>
      <c r="B170" s="168"/>
      <c r="C170" s="28"/>
      <c r="D170" s="141"/>
      <c r="E170" s="135"/>
      <c r="F170" s="136"/>
      <c r="G170" s="137"/>
      <c r="H170" s="234"/>
      <c r="I170" s="136"/>
    </row>
    <row r="171" spans="1:9">
      <c r="A171" s="142"/>
      <c r="B171" s="168"/>
      <c r="C171" s="28"/>
      <c r="D171" s="141"/>
      <c r="E171" s="135"/>
      <c r="F171" s="136"/>
      <c r="G171" s="137"/>
      <c r="H171" s="234"/>
      <c r="I171" s="136"/>
    </row>
    <row r="172" spans="1:9">
      <c r="A172" s="142"/>
      <c r="B172" s="168"/>
      <c r="C172" s="28"/>
      <c r="D172" s="141"/>
      <c r="E172" s="135"/>
      <c r="F172" s="136"/>
      <c r="G172" s="137"/>
      <c r="H172" s="234"/>
      <c r="I172" s="136"/>
    </row>
    <row r="173" spans="1:9">
      <c r="A173" s="142"/>
      <c r="B173" s="168"/>
      <c r="C173" s="28"/>
      <c r="D173" s="141"/>
      <c r="E173" s="135"/>
      <c r="F173" s="136"/>
      <c r="G173" s="137"/>
      <c r="H173" s="234"/>
      <c r="I173" s="136"/>
    </row>
    <row r="174" spans="1:9">
      <c r="A174" s="142"/>
      <c r="B174" s="168"/>
      <c r="C174" s="28"/>
      <c r="D174" s="141"/>
      <c r="E174" s="135"/>
      <c r="F174" s="136"/>
      <c r="G174" s="137"/>
      <c r="H174" s="234"/>
      <c r="I174" s="136"/>
    </row>
    <row r="175" spans="1:9">
      <c r="A175" s="142"/>
      <c r="B175" s="168"/>
      <c r="C175" s="28"/>
      <c r="D175" s="141"/>
      <c r="E175" s="135"/>
      <c r="F175" s="136"/>
      <c r="G175" s="137"/>
      <c r="H175" s="234"/>
      <c r="I175" s="136"/>
    </row>
    <row r="176" spans="1:9">
      <c r="A176" s="142"/>
      <c r="B176" s="168"/>
      <c r="C176" s="28"/>
      <c r="D176" s="141"/>
      <c r="E176" s="135"/>
      <c r="F176" s="136"/>
      <c r="G176" s="137"/>
      <c r="H176" s="234"/>
      <c r="I176" s="136"/>
    </row>
    <row r="177" spans="1:9">
      <c r="A177" s="142"/>
      <c r="B177" s="168"/>
      <c r="C177" s="28"/>
      <c r="D177" s="141"/>
      <c r="E177" s="135"/>
      <c r="F177" s="136"/>
      <c r="G177" s="137"/>
      <c r="H177" s="234"/>
      <c r="I177" s="136"/>
    </row>
    <row r="178" spans="1:9">
      <c r="A178" s="142"/>
      <c r="B178" s="168"/>
      <c r="C178" s="28"/>
      <c r="D178" s="141"/>
      <c r="E178" s="135"/>
      <c r="F178" s="136"/>
      <c r="G178" s="137"/>
      <c r="H178" s="234"/>
      <c r="I178" s="136"/>
    </row>
    <row r="179" spans="1:9">
      <c r="A179" s="142"/>
      <c r="B179" s="168"/>
      <c r="C179" s="28"/>
      <c r="D179" s="141"/>
      <c r="E179" s="135"/>
      <c r="F179" s="136"/>
      <c r="G179" s="137"/>
      <c r="H179" s="234"/>
      <c r="I179" s="136"/>
    </row>
    <row r="180" spans="1:9">
      <c r="A180" s="142"/>
      <c r="B180" s="168"/>
      <c r="C180" s="28"/>
      <c r="D180" s="141"/>
      <c r="E180" s="135"/>
      <c r="F180" s="136"/>
      <c r="G180" s="137"/>
      <c r="H180" s="234"/>
      <c r="I180" s="136"/>
    </row>
    <row r="181" spans="1:9">
      <c r="A181" s="142"/>
      <c r="B181" s="168"/>
      <c r="C181" s="28"/>
      <c r="D181" s="141"/>
      <c r="E181" s="135"/>
      <c r="F181" s="136"/>
      <c r="G181" s="137"/>
      <c r="H181" s="234"/>
      <c r="I181" s="136"/>
    </row>
    <row r="182" spans="1:9">
      <c r="A182" s="142"/>
      <c r="B182" s="168"/>
      <c r="C182" s="28"/>
      <c r="D182" s="141"/>
      <c r="E182" s="135"/>
      <c r="F182" s="136"/>
      <c r="G182" s="137"/>
      <c r="H182" s="234"/>
      <c r="I182" s="136"/>
    </row>
    <row r="183" spans="1:9">
      <c r="A183" s="142"/>
      <c r="B183" s="168"/>
      <c r="C183" s="28"/>
      <c r="D183" s="141"/>
      <c r="E183" s="135"/>
      <c r="F183" s="136"/>
      <c r="G183" s="137"/>
      <c r="H183" s="234"/>
      <c r="I183" s="136"/>
    </row>
    <row r="184" spans="1:9">
      <c r="A184" s="142"/>
      <c r="B184" s="168"/>
      <c r="C184" s="28"/>
      <c r="D184" s="141"/>
      <c r="E184" s="135"/>
      <c r="F184" s="136"/>
      <c r="G184" s="137"/>
      <c r="H184" s="234"/>
      <c r="I184" s="136"/>
    </row>
    <row r="185" spans="1:9">
      <c r="A185" s="142"/>
      <c r="B185" s="168"/>
      <c r="C185" s="28"/>
      <c r="D185" s="141"/>
      <c r="E185" s="135"/>
      <c r="F185" s="136"/>
      <c r="G185" s="137"/>
      <c r="H185" s="234"/>
      <c r="I185" s="136"/>
    </row>
    <row r="186" spans="1:9">
      <c r="A186" s="142"/>
      <c r="B186" s="168"/>
      <c r="C186" s="28"/>
      <c r="D186" s="141"/>
      <c r="E186" s="135"/>
      <c r="F186" s="136"/>
      <c r="G186" s="137"/>
      <c r="H186" s="234"/>
      <c r="I186" s="136"/>
    </row>
    <row r="187" spans="1:9">
      <c r="A187" s="142"/>
      <c r="B187" s="168"/>
      <c r="C187" s="28"/>
      <c r="D187" s="141"/>
      <c r="E187" s="135"/>
      <c r="F187" s="136"/>
      <c r="G187" s="137"/>
      <c r="H187" s="234"/>
      <c r="I187" s="136"/>
    </row>
    <row r="188" spans="1:9">
      <c r="A188" s="142"/>
      <c r="B188" s="168"/>
      <c r="C188" s="28"/>
      <c r="D188" s="141"/>
      <c r="E188" s="135"/>
      <c r="F188" s="136"/>
      <c r="G188" s="137"/>
      <c r="H188" s="234"/>
      <c r="I188" s="136"/>
    </row>
    <row r="189" spans="1:9">
      <c r="A189" s="142"/>
      <c r="B189" s="168"/>
      <c r="C189" s="28"/>
      <c r="D189" s="141"/>
      <c r="E189" s="135"/>
      <c r="F189" s="136"/>
      <c r="G189" s="137"/>
      <c r="H189" s="234"/>
      <c r="I189" s="136"/>
    </row>
    <row r="190" spans="1:9">
      <c r="A190" s="142"/>
      <c r="B190" s="168"/>
      <c r="C190" s="28"/>
      <c r="D190" s="141"/>
      <c r="E190" s="135"/>
      <c r="F190" s="136"/>
      <c r="G190" s="137"/>
      <c r="H190" s="234"/>
      <c r="I190" s="136"/>
    </row>
    <row r="191" spans="1:9">
      <c r="A191" s="142"/>
      <c r="B191" s="168"/>
      <c r="C191" s="28"/>
      <c r="D191" s="141"/>
      <c r="E191" s="135"/>
      <c r="F191" s="136"/>
      <c r="G191" s="137"/>
      <c r="H191" s="234"/>
      <c r="I191" s="136"/>
    </row>
    <row r="192" spans="1:9">
      <c r="A192" s="142"/>
      <c r="B192" s="168"/>
      <c r="C192" s="28"/>
      <c r="D192" s="141"/>
      <c r="E192" s="135"/>
      <c r="F192" s="136"/>
      <c r="G192" s="137"/>
      <c r="H192" s="234"/>
      <c r="I192" s="136"/>
    </row>
    <row r="193" spans="1:9">
      <c r="A193" s="142"/>
      <c r="B193" s="168"/>
      <c r="C193" s="28"/>
      <c r="D193" s="141"/>
      <c r="E193" s="135"/>
      <c r="F193" s="136"/>
      <c r="G193" s="137"/>
      <c r="H193" s="234"/>
      <c r="I193" s="136"/>
    </row>
    <row r="194" spans="1:9">
      <c r="A194" s="142"/>
      <c r="B194" s="168"/>
      <c r="C194" s="28"/>
      <c r="D194" s="141"/>
      <c r="E194" s="135"/>
      <c r="F194" s="136"/>
      <c r="G194" s="137"/>
      <c r="H194" s="234"/>
      <c r="I194" s="136"/>
    </row>
    <row r="195" spans="1:9">
      <c r="A195" s="142"/>
      <c r="B195" s="168"/>
      <c r="C195" s="28"/>
      <c r="D195" s="141"/>
      <c r="E195" s="135"/>
      <c r="F195" s="136"/>
      <c r="G195" s="137"/>
      <c r="H195" s="234"/>
      <c r="I195" s="136"/>
    </row>
    <row r="196" spans="1:9">
      <c r="A196" s="142"/>
      <c r="B196" s="168"/>
      <c r="C196" s="28"/>
      <c r="D196" s="141"/>
      <c r="E196" s="135"/>
      <c r="F196" s="136"/>
      <c r="G196" s="137"/>
      <c r="H196" s="234"/>
      <c r="I196" s="136"/>
    </row>
    <row r="197" spans="1:9">
      <c r="A197" s="142"/>
      <c r="B197" s="168"/>
      <c r="C197" s="28"/>
      <c r="D197" s="141"/>
      <c r="E197" s="135"/>
      <c r="F197" s="136"/>
      <c r="G197" s="137"/>
      <c r="H197" s="234"/>
      <c r="I197" s="136"/>
    </row>
    <row r="198" spans="1:9">
      <c r="A198" s="142"/>
      <c r="B198" s="168"/>
      <c r="C198" s="28"/>
      <c r="D198" s="141"/>
      <c r="E198" s="135"/>
      <c r="F198" s="136"/>
      <c r="G198" s="137"/>
      <c r="H198" s="234"/>
      <c r="I198" s="136"/>
    </row>
    <row r="199" spans="1:9">
      <c r="A199" s="142"/>
      <c r="B199" s="168"/>
      <c r="C199" s="28"/>
      <c r="D199" s="141"/>
      <c r="E199" s="135"/>
      <c r="F199" s="136"/>
      <c r="G199" s="137"/>
      <c r="H199" s="234"/>
      <c r="I199" s="136"/>
    </row>
    <row r="200" spans="1:9">
      <c r="A200" s="142"/>
      <c r="B200" s="168"/>
      <c r="C200" s="28"/>
      <c r="D200" s="141"/>
      <c r="E200" s="135"/>
      <c r="F200" s="136"/>
      <c r="G200" s="137"/>
      <c r="H200" s="234"/>
      <c r="I200" s="136"/>
    </row>
    <row r="201" spans="1:9">
      <c r="A201" s="142"/>
      <c r="B201" s="168"/>
      <c r="C201" s="28"/>
      <c r="D201" s="141"/>
      <c r="E201" s="135"/>
      <c r="F201" s="136"/>
      <c r="G201" s="137"/>
      <c r="H201" s="234"/>
      <c r="I201" s="136"/>
    </row>
    <row r="202" spans="1:9">
      <c r="A202" s="142"/>
      <c r="B202" s="168"/>
      <c r="C202" s="28"/>
      <c r="D202" s="141"/>
      <c r="E202" s="135"/>
      <c r="F202" s="136"/>
      <c r="G202" s="137"/>
      <c r="H202" s="234"/>
      <c r="I202" s="136"/>
    </row>
    <row r="203" spans="1:9">
      <c r="A203" s="142"/>
      <c r="B203" s="168"/>
      <c r="C203" s="28"/>
      <c r="D203" s="141"/>
      <c r="E203" s="135"/>
      <c r="F203" s="136"/>
      <c r="G203" s="137"/>
      <c r="H203" s="234"/>
      <c r="I203" s="136"/>
    </row>
    <row r="204" spans="1:9">
      <c r="A204" s="142"/>
      <c r="B204" s="168"/>
      <c r="C204" s="28"/>
      <c r="D204" s="141"/>
      <c r="E204" s="135"/>
      <c r="F204" s="136"/>
      <c r="G204" s="137"/>
      <c r="H204" s="234"/>
      <c r="I204" s="136"/>
    </row>
    <row r="205" spans="1:9">
      <c r="A205" s="142"/>
      <c r="B205" s="168"/>
      <c r="C205" s="28"/>
      <c r="D205" s="141"/>
      <c r="E205" s="135"/>
      <c r="F205" s="136"/>
      <c r="G205" s="137"/>
      <c r="H205" s="234"/>
      <c r="I205" s="136"/>
    </row>
    <row r="206" spans="1:9">
      <c r="A206" s="142"/>
      <c r="B206" s="168"/>
      <c r="C206" s="28"/>
      <c r="D206" s="141"/>
      <c r="E206" s="135"/>
      <c r="F206" s="136"/>
      <c r="G206" s="137"/>
      <c r="H206" s="234"/>
      <c r="I206" s="136"/>
    </row>
    <row r="207" spans="1:9">
      <c r="A207" s="142"/>
      <c r="B207" s="168"/>
      <c r="C207" s="28"/>
      <c r="D207" s="141"/>
      <c r="E207" s="135"/>
      <c r="F207" s="136"/>
      <c r="G207" s="137"/>
      <c r="H207" s="234"/>
      <c r="I207" s="136"/>
    </row>
    <row r="208" spans="1:9">
      <c r="A208" s="142"/>
      <c r="B208" s="168"/>
      <c r="C208" s="28"/>
      <c r="D208" s="141"/>
      <c r="E208" s="135"/>
      <c r="F208" s="136"/>
      <c r="G208" s="137"/>
      <c r="H208" s="234"/>
      <c r="I208" s="136"/>
    </row>
    <row r="209" spans="1:9">
      <c r="A209" s="142"/>
      <c r="B209" s="168"/>
      <c r="C209" s="28"/>
      <c r="D209" s="141"/>
      <c r="E209" s="135"/>
      <c r="F209" s="136"/>
      <c r="G209" s="137"/>
      <c r="H209" s="234"/>
      <c r="I209" s="136"/>
    </row>
    <row r="210" spans="1:9">
      <c r="A210" s="142"/>
      <c r="B210" s="168"/>
      <c r="C210" s="28"/>
      <c r="D210" s="141"/>
      <c r="E210" s="135"/>
      <c r="F210" s="136"/>
      <c r="G210" s="137"/>
      <c r="H210" s="234"/>
      <c r="I210" s="136"/>
    </row>
    <row r="211" spans="1:9">
      <c r="A211" s="142"/>
      <c r="B211" s="168"/>
      <c r="C211" s="28"/>
      <c r="D211" s="141"/>
      <c r="E211" s="135"/>
      <c r="F211" s="136"/>
      <c r="G211" s="137"/>
      <c r="H211" s="234"/>
      <c r="I211" s="136"/>
    </row>
    <row r="212" spans="1:9">
      <c r="A212" s="142"/>
      <c r="B212" s="168"/>
      <c r="C212" s="28"/>
      <c r="D212" s="141"/>
      <c r="E212" s="135"/>
      <c r="F212" s="136"/>
      <c r="G212" s="137"/>
      <c r="H212" s="234"/>
      <c r="I212" s="136"/>
    </row>
    <row r="213" spans="1:9">
      <c r="A213" s="142"/>
      <c r="B213" s="168"/>
      <c r="C213" s="28"/>
      <c r="D213" s="141"/>
      <c r="E213" s="135"/>
      <c r="F213" s="136"/>
      <c r="G213" s="137"/>
      <c r="H213" s="234"/>
      <c r="I213" s="136"/>
    </row>
    <row r="214" spans="1:9">
      <c r="A214" s="142"/>
      <c r="B214" s="168"/>
      <c r="C214" s="28"/>
      <c r="D214" s="141"/>
      <c r="E214" s="135"/>
      <c r="F214" s="136"/>
      <c r="G214" s="137"/>
      <c r="H214" s="234"/>
      <c r="I214" s="136"/>
    </row>
    <row r="215" spans="1:9">
      <c r="A215" s="142"/>
      <c r="B215" s="168"/>
      <c r="C215" s="28"/>
      <c r="D215" s="141"/>
      <c r="E215" s="135"/>
      <c r="F215" s="136"/>
      <c r="G215" s="137"/>
      <c r="H215" s="234"/>
      <c r="I215" s="136"/>
    </row>
    <row r="216" spans="1:9">
      <c r="A216" s="142"/>
      <c r="B216" s="168"/>
      <c r="C216" s="28"/>
      <c r="D216" s="141"/>
      <c r="E216" s="135"/>
      <c r="F216" s="136"/>
      <c r="G216" s="137"/>
      <c r="H216" s="234"/>
      <c r="I216" s="136"/>
    </row>
    <row r="217" spans="1:9">
      <c r="A217" s="142"/>
      <c r="B217" s="168"/>
      <c r="C217" s="28"/>
      <c r="D217" s="141"/>
      <c r="E217" s="135"/>
      <c r="F217" s="136"/>
      <c r="G217" s="137"/>
      <c r="H217" s="234"/>
      <c r="I217" s="136"/>
    </row>
    <row r="218" spans="1:9">
      <c r="A218" s="142"/>
      <c r="B218" s="168"/>
      <c r="C218" s="28"/>
      <c r="D218" s="141"/>
      <c r="E218" s="135"/>
      <c r="F218" s="136"/>
      <c r="G218" s="137"/>
      <c r="H218" s="234"/>
      <c r="I218" s="136"/>
    </row>
    <row r="219" spans="1:9">
      <c r="A219" s="142"/>
      <c r="B219" s="168"/>
      <c r="C219" s="28"/>
      <c r="D219" s="141"/>
      <c r="E219" s="135"/>
      <c r="F219" s="136"/>
      <c r="G219" s="137"/>
      <c r="H219" s="234"/>
      <c r="I219" s="136"/>
    </row>
    <row r="220" spans="1:9">
      <c r="A220" s="142"/>
      <c r="B220" s="168"/>
      <c r="C220" s="28"/>
      <c r="D220" s="141"/>
      <c r="E220" s="135"/>
      <c r="F220" s="136"/>
      <c r="G220" s="137"/>
      <c r="H220" s="234"/>
      <c r="I220" s="136"/>
    </row>
    <row r="221" spans="1:9">
      <c r="A221" s="142"/>
      <c r="B221" s="168"/>
      <c r="C221" s="28"/>
      <c r="D221" s="141"/>
      <c r="E221" s="135"/>
      <c r="F221" s="136"/>
      <c r="G221" s="137"/>
      <c r="H221" s="234"/>
      <c r="I221" s="136"/>
    </row>
    <row r="222" spans="1:9">
      <c r="A222" s="142"/>
      <c r="B222" s="168"/>
      <c r="C222" s="28"/>
      <c r="D222" s="141"/>
      <c r="E222" s="135"/>
      <c r="F222" s="136"/>
      <c r="G222" s="137"/>
      <c r="H222" s="234"/>
      <c r="I222" s="136"/>
    </row>
    <row r="223" spans="1:9">
      <c r="A223" s="142"/>
      <c r="B223" s="168"/>
      <c r="C223" s="28"/>
      <c r="D223" s="141"/>
      <c r="E223" s="135"/>
      <c r="F223" s="136"/>
      <c r="G223" s="137"/>
      <c r="H223" s="234"/>
      <c r="I223" s="136"/>
    </row>
    <row r="224" spans="1:9">
      <c r="A224" s="142"/>
      <c r="B224" s="168"/>
      <c r="C224" s="28"/>
      <c r="D224" s="141"/>
      <c r="E224" s="135"/>
      <c r="F224" s="136"/>
      <c r="G224" s="137"/>
      <c r="H224" s="234"/>
      <c r="I224" s="136"/>
    </row>
    <row r="225" spans="1:9">
      <c r="A225" s="142"/>
      <c r="B225" s="168"/>
      <c r="C225" s="28"/>
      <c r="D225" s="141"/>
      <c r="E225" s="135"/>
      <c r="F225" s="136"/>
      <c r="G225" s="137"/>
      <c r="H225" s="234"/>
      <c r="I225" s="136"/>
    </row>
    <row r="226" spans="1:9">
      <c r="A226" s="142"/>
      <c r="B226" s="168"/>
      <c r="C226" s="28"/>
      <c r="D226" s="141"/>
      <c r="E226" s="135"/>
      <c r="F226" s="136"/>
      <c r="G226" s="137"/>
      <c r="H226" s="234"/>
      <c r="I226" s="136"/>
    </row>
    <row r="227" spans="1:9">
      <c r="A227" s="142"/>
      <c r="B227" s="168"/>
      <c r="C227" s="28"/>
      <c r="D227" s="141"/>
      <c r="E227" s="135"/>
      <c r="F227" s="136"/>
      <c r="G227" s="137"/>
      <c r="H227" s="234"/>
      <c r="I227" s="136"/>
    </row>
    <row r="228" spans="1:9">
      <c r="A228" s="142"/>
      <c r="B228" s="168"/>
      <c r="C228" s="28"/>
      <c r="D228" s="141"/>
      <c r="E228" s="135"/>
      <c r="F228" s="136"/>
      <c r="G228" s="137"/>
      <c r="H228" s="234"/>
      <c r="I228" s="136"/>
    </row>
    <row r="229" spans="1:9">
      <c r="A229" s="142"/>
      <c r="B229" s="168"/>
      <c r="C229" s="28"/>
      <c r="D229" s="141"/>
      <c r="E229" s="135"/>
      <c r="F229" s="136"/>
      <c r="G229" s="137"/>
      <c r="H229" s="234"/>
      <c r="I229" s="136"/>
    </row>
    <row r="230" spans="1:9">
      <c r="A230" s="142"/>
      <c r="B230" s="168"/>
      <c r="C230" s="28"/>
      <c r="D230" s="141"/>
      <c r="E230" s="135"/>
      <c r="F230" s="136"/>
      <c r="G230" s="137"/>
      <c r="H230" s="234"/>
      <c r="I230" s="136"/>
    </row>
    <row r="231" spans="1:9">
      <c r="A231" s="142"/>
      <c r="B231" s="168"/>
      <c r="C231" s="28"/>
      <c r="D231" s="141"/>
      <c r="E231" s="135"/>
      <c r="F231" s="136"/>
      <c r="G231" s="137"/>
      <c r="H231" s="234"/>
      <c r="I231" s="136"/>
    </row>
    <row r="232" spans="1:9">
      <c r="A232" s="142"/>
      <c r="B232" s="168"/>
      <c r="C232" s="28"/>
      <c r="D232" s="141"/>
      <c r="E232" s="135"/>
      <c r="F232" s="136"/>
      <c r="G232" s="137"/>
      <c r="H232" s="234"/>
      <c r="I232" s="136"/>
    </row>
    <row r="233" spans="1:9">
      <c r="A233" s="142"/>
      <c r="B233" s="168"/>
      <c r="C233" s="28"/>
      <c r="D233" s="141"/>
      <c r="E233" s="135"/>
      <c r="F233" s="136"/>
      <c r="G233" s="137"/>
      <c r="H233" s="234"/>
      <c r="I233" s="136"/>
    </row>
    <row r="234" spans="1:9">
      <c r="A234" s="142"/>
      <c r="B234" s="168"/>
      <c r="C234" s="28"/>
      <c r="D234" s="141"/>
      <c r="E234" s="135"/>
      <c r="F234" s="136"/>
      <c r="G234" s="137"/>
      <c r="H234" s="234"/>
      <c r="I234" s="136"/>
    </row>
    <row r="235" spans="1:9">
      <c r="A235" s="142"/>
      <c r="B235" s="168"/>
      <c r="C235" s="28"/>
      <c r="D235" s="141"/>
      <c r="E235" s="135"/>
      <c r="F235" s="136"/>
      <c r="G235" s="137"/>
      <c r="H235" s="234"/>
      <c r="I235" s="136"/>
    </row>
    <row r="236" spans="1:9">
      <c r="A236" s="142"/>
      <c r="B236" s="168"/>
      <c r="C236" s="28"/>
      <c r="D236" s="141"/>
      <c r="E236" s="135"/>
      <c r="F236" s="136"/>
      <c r="G236" s="137"/>
      <c r="H236" s="234"/>
      <c r="I236" s="136"/>
    </row>
    <row r="237" spans="1:9">
      <c r="A237" s="142"/>
      <c r="B237" s="168"/>
      <c r="C237" s="28"/>
      <c r="D237" s="141"/>
      <c r="E237" s="135"/>
      <c r="F237" s="136"/>
      <c r="G237" s="137"/>
      <c r="H237" s="234"/>
      <c r="I237" s="136"/>
    </row>
    <row r="238" spans="1:9">
      <c r="A238" s="142"/>
      <c r="B238" s="168"/>
      <c r="C238" s="28"/>
      <c r="D238" s="141"/>
      <c r="E238" s="135"/>
      <c r="F238" s="136"/>
      <c r="G238" s="137"/>
      <c r="H238" s="234"/>
      <c r="I238" s="136"/>
    </row>
    <row r="239" spans="1:9">
      <c r="A239" s="142"/>
      <c r="B239" s="168"/>
      <c r="C239" s="28"/>
      <c r="D239" s="141"/>
      <c r="E239" s="135"/>
      <c r="F239" s="136"/>
      <c r="G239" s="137"/>
      <c r="H239" s="234"/>
      <c r="I239" s="136"/>
    </row>
    <row r="240" spans="1:9">
      <c r="A240" s="142"/>
      <c r="B240" s="168"/>
      <c r="C240" s="28"/>
      <c r="D240" s="141"/>
      <c r="E240" s="135"/>
      <c r="F240" s="136"/>
      <c r="G240" s="137"/>
      <c r="H240" s="234"/>
      <c r="I240" s="136"/>
    </row>
    <row r="241" spans="1:9">
      <c r="A241" s="142"/>
      <c r="B241" s="168"/>
      <c r="C241" s="28"/>
      <c r="D241" s="141"/>
      <c r="E241" s="135"/>
      <c r="F241" s="136"/>
      <c r="G241" s="137"/>
      <c r="H241" s="234"/>
      <c r="I241" s="136"/>
    </row>
    <row r="242" spans="1:9">
      <c r="A242" s="142"/>
      <c r="B242" s="168"/>
      <c r="C242" s="28"/>
      <c r="D242" s="141"/>
      <c r="E242" s="135"/>
      <c r="F242" s="136"/>
      <c r="G242" s="137"/>
      <c r="H242" s="234"/>
      <c r="I242" s="136"/>
    </row>
    <row r="243" spans="1:9">
      <c r="A243" s="142"/>
      <c r="B243" s="168"/>
      <c r="C243" s="28"/>
      <c r="D243" s="141"/>
      <c r="E243" s="135"/>
      <c r="F243" s="136"/>
      <c r="G243" s="137"/>
      <c r="H243" s="234"/>
      <c r="I243" s="136"/>
    </row>
    <row r="244" spans="1:9">
      <c r="A244" s="142"/>
      <c r="B244" s="168"/>
      <c r="C244" s="28"/>
      <c r="D244" s="141"/>
      <c r="E244" s="135"/>
      <c r="F244" s="136"/>
      <c r="G244" s="137"/>
      <c r="H244" s="234"/>
      <c r="I244" s="136"/>
    </row>
    <row r="245" spans="1:9">
      <c r="A245" s="142"/>
      <c r="B245" s="168"/>
      <c r="C245" s="28"/>
      <c r="D245" s="141"/>
      <c r="E245" s="135"/>
      <c r="F245" s="136"/>
      <c r="G245" s="137"/>
      <c r="H245" s="234"/>
      <c r="I245" s="136"/>
    </row>
    <row r="246" spans="1:9">
      <c r="A246" s="142"/>
      <c r="B246" s="168"/>
      <c r="C246" s="28"/>
      <c r="D246" s="141"/>
      <c r="E246" s="135"/>
      <c r="F246" s="136"/>
      <c r="G246" s="137"/>
      <c r="H246" s="234"/>
      <c r="I246" s="136"/>
    </row>
    <row r="247" spans="1:9">
      <c r="A247" s="142"/>
      <c r="B247" s="168"/>
      <c r="C247" s="28"/>
      <c r="D247" s="141"/>
      <c r="E247" s="135"/>
      <c r="F247" s="136"/>
      <c r="G247" s="137"/>
      <c r="H247" s="234"/>
      <c r="I247" s="136"/>
    </row>
    <row r="248" spans="1:9">
      <c r="A248" s="142"/>
      <c r="B248" s="168"/>
      <c r="C248" s="28"/>
      <c r="D248" s="141"/>
      <c r="E248" s="135"/>
      <c r="F248" s="136"/>
      <c r="G248" s="137"/>
      <c r="H248" s="234"/>
      <c r="I248" s="136"/>
    </row>
    <row r="249" spans="1:9">
      <c r="A249" s="142"/>
      <c r="B249" s="168"/>
      <c r="C249" s="28"/>
      <c r="D249" s="141"/>
      <c r="E249" s="135"/>
      <c r="F249" s="136"/>
      <c r="G249" s="137"/>
      <c r="H249" s="234"/>
      <c r="I249" s="136"/>
    </row>
    <row r="250" spans="1:9">
      <c r="A250" s="142"/>
      <c r="B250" s="168"/>
      <c r="C250" s="28"/>
      <c r="D250" s="141"/>
      <c r="E250" s="135"/>
      <c r="F250" s="136"/>
      <c r="G250" s="137"/>
      <c r="H250" s="234"/>
      <c r="I250" s="136"/>
    </row>
    <row r="251" spans="1:9">
      <c r="A251" s="142"/>
      <c r="B251" s="168"/>
      <c r="C251" s="28"/>
      <c r="D251" s="141"/>
      <c r="E251" s="135"/>
      <c r="F251" s="136"/>
      <c r="G251" s="137"/>
      <c r="H251" s="234"/>
      <c r="I251" s="136"/>
    </row>
    <row r="252" spans="1:9">
      <c r="A252" s="142"/>
      <c r="B252" s="168"/>
      <c r="C252" s="28"/>
      <c r="D252" s="141"/>
      <c r="E252" s="135"/>
      <c r="F252" s="136"/>
      <c r="G252" s="137"/>
      <c r="H252" s="234"/>
      <c r="I252" s="136"/>
    </row>
    <row r="253" spans="1:9">
      <c r="A253" s="142"/>
      <c r="B253" s="168"/>
      <c r="C253" s="28"/>
      <c r="D253" s="141"/>
      <c r="E253" s="135"/>
      <c r="F253" s="136"/>
      <c r="G253" s="137"/>
      <c r="H253" s="234"/>
      <c r="I253" s="136"/>
    </row>
    <row r="254" spans="1:9">
      <c r="A254" s="142"/>
      <c r="B254" s="168"/>
      <c r="C254" s="28"/>
      <c r="D254" s="141"/>
      <c r="E254" s="135"/>
      <c r="F254" s="136"/>
      <c r="G254" s="137"/>
      <c r="H254" s="234"/>
      <c r="I254" s="136"/>
    </row>
    <row r="255" spans="1:9">
      <c r="A255" s="142"/>
      <c r="B255" s="168"/>
      <c r="C255" s="28"/>
      <c r="D255" s="141"/>
      <c r="E255" s="135"/>
      <c r="F255" s="136"/>
      <c r="G255" s="137"/>
      <c r="H255" s="234"/>
      <c r="I255" s="136"/>
    </row>
    <row r="256" spans="1:9">
      <c r="A256" s="142"/>
      <c r="B256" s="168"/>
      <c r="C256" s="28"/>
      <c r="D256" s="141"/>
      <c r="E256" s="135"/>
      <c r="F256" s="136"/>
      <c r="G256" s="137"/>
      <c r="H256" s="234"/>
      <c r="I256" s="136"/>
    </row>
    <row r="257" spans="1:9">
      <c r="A257" s="142"/>
      <c r="B257" s="168"/>
      <c r="C257" s="28"/>
      <c r="D257" s="141"/>
      <c r="E257" s="135"/>
      <c r="F257" s="136"/>
      <c r="G257" s="137"/>
      <c r="H257" s="234"/>
      <c r="I257" s="136"/>
    </row>
    <row r="258" spans="1:9">
      <c r="A258" s="142"/>
      <c r="B258" s="168"/>
      <c r="C258" s="28"/>
      <c r="D258" s="141"/>
      <c r="E258" s="135"/>
      <c r="F258" s="136"/>
      <c r="G258" s="137"/>
      <c r="H258" s="234"/>
      <c r="I258" s="136"/>
    </row>
    <row r="259" spans="1:9">
      <c r="A259" s="142"/>
      <c r="B259" s="168"/>
      <c r="C259" s="28"/>
      <c r="D259" s="141"/>
      <c r="E259" s="135"/>
      <c r="F259" s="136"/>
      <c r="G259" s="137"/>
      <c r="H259" s="234"/>
      <c r="I259" s="136"/>
    </row>
    <row r="260" spans="1:9">
      <c r="A260" s="142"/>
      <c r="B260" s="168"/>
      <c r="C260" s="28"/>
      <c r="D260" s="141"/>
      <c r="E260" s="135"/>
      <c r="F260" s="136"/>
      <c r="G260" s="137"/>
      <c r="H260" s="234"/>
      <c r="I260" s="136"/>
    </row>
    <row r="261" spans="1:9">
      <c r="A261" s="142"/>
      <c r="B261" s="168"/>
      <c r="C261" s="28"/>
      <c r="D261" s="141"/>
      <c r="E261" s="135"/>
      <c r="F261" s="136"/>
      <c r="G261" s="137"/>
      <c r="H261" s="234"/>
      <c r="I261" s="136"/>
    </row>
    <row r="262" spans="1:9">
      <c r="A262" s="142"/>
      <c r="B262" s="168"/>
      <c r="C262" s="28"/>
      <c r="D262" s="141"/>
      <c r="E262" s="135"/>
      <c r="F262" s="136"/>
      <c r="G262" s="137"/>
      <c r="H262" s="234"/>
      <c r="I262" s="136"/>
    </row>
    <row r="263" spans="1:9">
      <c r="A263" s="142"/>
      <c r="B263" s="168"/>
      <c r="C263" s="28"/>
      <c r="D263" s="141"/>
      <c r="E263" s="135"/>
      <c r="F263" s="136"/>
      <c r="G263" s="137"/>
      <c r="H263" s="234"/>
      <c r="I263" s="136"/>
    </row>
    <row r="264" spans="1:9">
      <c r="A264" s="142"/>
      <c r="B264" s="168"/>
      <c r="C264" s="28"/>
      <c r="D264" s="141"/>
      <c r="E264" s="135"/>
      <c r="F264" s="136"/>
      <c r="G264" s="137"/>
      <c r="H264" s="234"/>
      <c r="I264" s="136"/>
    </row>
    <row r="265" spans="1:9">
      <c r="A265" s="142"/>
      <c r="B265" s="168"/>
      <c r="C265" s="28"/>
      <c r="D265" s="141"/>
      <c r="E265" s="135"/>
      <c r="F265" s="136"/>
      <c r="G265" s="137"/>
      <c r="H265" s="234"/>
      <c r="I265" s="136"/>
    </row>
    <row r="266" spans="1:9">
      <c r="A266" s="142"/>
      <c r="B266" s="168"/>
      <c r="C266" s="28"/>
      <c r="D266" s="141"/>
      <c r="E266" s="135"/>
      <c r="F266" s="136"/>
      <c r="G266" s="137"/>
      <c r="H266" s="234"/>
      <c r="I266" s="136"/>
    </row>
    <row r="267" spans="1:9">
      <c r="A267" s="142"/>
      <c r="B267" s="168"/>
      <c r="C267" s="28"/>
      <c r="D267" s="141"/>
      <c r="E267" s="135"/>
      <c r="F267" s="136"/>
      <c r="G267" s="137"/>
      <c r="H267" s="234"/>
      <c r="I267" s="136"/>
    </row>
    <row r="268" spans="1:9">
      <c r="A268" s="142"/>
      <c r="B268" s="168"/>
      <c r="C268" s="28"/>
      <c r="D268" s="141"/>
      <c r="E268" s="135"/>
      <c r="F268" s="136"/>
      <c r="G268" s="137"/>
      <c r="H268" s="234"/>
      <c r="I268" s="136"/>
    </row>
    <row r="269" spans="1:9">
      <c r="A269" s="142"/>
      <c r="B269" s="168"/>
      <c r="C269" s="28"/>
      <c r="D269" s="141"/>
      <c r="E269" s="135"/>
      <c r="F269" s="136"/>
      <c r="G269" s="137"/>
      <c r="H269" s="234"/>
      <c r="I269" s="136"/>
    </row>
    <row r="270" spans="1:9">
      <c r="A270" s="142"/>
      <c r="B270" s="168"/>
      <c r="C270" s="28"/>
      <c r="D270" s="141"/>
      <c r="E270" s="135"/>
      <c r="F270" s="136"/>
      <c r="G270" s="137"/>
      <c r="H270" s="234"/>
      <c r="I270" s="136"/>
    </row>
    <row r="271" spans="1:9">
      <c r="A271" s="142"/>
      <c r="B271" s="168"/>
      <c r="C271" s="28"/>
      <c r="D271" s="141"/>
      <c r="E271" s="135"/>
      <c r="F271" s="136"/>
      <c r="G271" s="137"/>
      <c r="H271" s="234"/>
      <c r="I271" s="136"/>
    </row>
    <row r="272" spans="1:9">
      <c r="A272" s="142"/>
      <c r="B272" s="168"/>
      <c r="C272" s="28"/>
      <c r="D272" s="141"/>
      <c r="E272" s="135"/>
      <c r="F272" s="136"/>
      <c r="G272" s="137"/>
      <c r="H272" s="234"/>
      <c r="I272" s="136"/>
    </row>
    <row r="273" spans="1:9">
      <c r="A273" s="142"/>
      <c r="B273" s="168"/>
      <c r="C273" s="28"/>
      <c r="D273" s="141"/>
      <c r="E273" s="135"/>
      <c r="F273" s="136"/>
      <c r="G273" s="137"/>
      <c r="H273" s="234"/>
      <c r="I273" s="136"/>
    </row>
    <row r="274" spans="1:9">
      <c r="A274" s="142"/>
      <c r="B274" s="168"/>
      <c r="C274" s="28"/>
      <c r="D274" s="141"/>
      <c r="E274" s="135"/>
      <c r="F274" s="136"/>
      <c r="G274" s="137"/>
      <c r="H274" s="234"/>
      <c r="I274" s="136"/>
    </row>
    <row r="275" spans="1:9">
      <c r="A275" s="142"/>
      <c r="B275" s="168"/>
      <c r="C275" s="28"/>
      <c r="D275" s="141"/>
      <c r="E275" s="135"/>
      <c r="F275" s="136"/>
      <c r="G275" s="137"/>
      <c r="H275" s="234"/>
      <c r="I275" s="136"/>
    </row>
    <row r="276" spans="1:9">
      <c r="A276" s="142"/>
      <c r="B276" s="168"/>
      <c r="C276" s="28"/>
      <c r="D276" s="141"/>
      <c r="E276" s="135"/>
      <c r="F276" s="136"/>
      <c r="G276" s="137"/>
      <c r="H276" s="234"/>
      <c r="I276" s="136"/>
    </row>
    <row r="277" spans="1:9">
      <c r="A277" s="142"/>
      <c r="B277" s="168"/>
      <c r="C277" s="28"/>
      <c r="D277" s="141"/>
      <c r="E277" s="135"/>
      <c r="F277" s="136"/>
      <c r="G277" s="137"/>
      <c r="H277" s="234"/>
      <c r="I277" s="136"/>
    </row>
    <row r="278" spans="1:9">
      <c r="A278" s="142"/>
      <c r="B278" s="168"/>
      <c r="C278" s="28"/>
      <c r="D278" s="141"/>
      <c r="E278" s="135"/>
      <c r="F278" s="136"/>
      <c r="G278" s="137"/>
      <c r="H278" s="234"/>
      <c r="I278" s="136"/>
    </row>
    <row r="279" spans="1:9">
      <c r="A279" s="142"/>
      <c r="B279" s="168"/>
      <c r="C279" s="28"/>
      <c r="D279" s="141"/>
      <c r="E279" s="135"/>
      <c r="F279" s="136"/>
      <c r="G279" s="137"/>
      <c r="H279" s="234"/>
      <c r="I279" s="136"/>
    </row>
    <row r="280" spans="1:9">
      <c r="A280" s="142"/>
      <c r="B280" s="168"/>
      <c r="C280" s="28"/>
      <c r="D280" s="141"/>
      <c r="E280" s="135"/>
      <c r="F280" s="136"/>
      <c r="G280" s="137"/>
      <c r="H280" s="234"/>
      <c r="I280" s="136"/>
    </row>
    <row r="281" spans="1:9">
      <c r="A281" s="142"/>
      <c r="B281" s="168"/>
      <c r="C281" s="28"/>
      <c r="D281" s="141"/>
      <c r="E281" s="135"/>
      <c r="F281" s="136"/>
      <c r="G281" s="137"/>
      <c r="H281" s="234"/>
      <c r="I281" s="136"/>
    </row>
    <row r="282" spans="1:9">
      <c r="A282" s="142"/>
      <c r="B282" s="168"/>
      <c r="C282" s="28"/>
      <c r="D282" s="141"/>
      <c r="E282" s="135"/>
      <c r="F282" s="136"/>
      <c r="G282" s="137"/>
      <c r="H282" s="234"/>
      <c r="I282" s="136"/>
    </row>
    <row r="283" spans="1:9">
      <c r="A283" s="142"/>
      <c r="B283" s="168"/>
      <c r="C283" s="28"/>
      <c r="D283" s="141"/>
      <c r="E283" s="135"/>
      <c r="F283" s="136"/>
      <c r="G283" s="137"/>
      <c r="H283" s="234"/>
      <c r="I283" s="136"/>
    </row>
    <row r="284" spans="1:9">
      <c r="A284" s="142"/>
      <c r="B284" s="168"/>
      <c r="C284" s="28"/>
      <c r="D284" s="141"/>
      <c r="E284" s="135"/>
      <c r="F284" s="136"/>
      <c r="G284" s="137"/>
      <c r="H284" s="234"/>
      <c r="I284" s="136"/>
    </row>
    <row r="285" spans="1:9">
      <c r="A285" s="142"/>
      <c r="B285" s="168"/>
      <c r="C285" s="28"/>
      <c r="D285" s="141"/>
      <c r="E285" s="135"/>
      <c r="F285" s="136"/>
      <c r="G285" s="137"/>
      <c r="H285" s="234"/>
      <c r="I285" s="136"/>
    </row>
    <row r="286" spans="1:9">
      <c r="A286" s="142"/>
      <c r="B286" s="168"/>
      <c r="C286" s="28"/>
      <c r="D286" s="141"/>
      <c r="E286" s="135"/>
      <c r="F286" s="136"/>
      <c r="G286" s="137"/>
      <c r="H286" s="234"/>
      <c r="I286" s="136"/>
    </row>
    <row r="287" spans="1:9">
      <c r="A287" s="142"/>
      <c r="B287" s="168"/>
      <c r="C287" s="28"/>
      <c r="D287" s="141"/>
      <c r="E287" s="135"/>
      <c r="F287" s="136"/>
      <c r="G287" s="137"/>
      <c r="H287" s="234"/>
      <c r="I287" s="136"/>
    </row>
    <row r="288" spans="1:9">
      <c r="A288" s="142"/>
      <c r="B288" s="168"/>
      <c r="C288" s="28"/>
      <c r="D288" s="141"/>
      <c r="E288" s="135"/>
      <c r="F288" s="136"/>
      <c r="G288" s="137"/>
      <c r="H288" s="234"/>
      <c r="I288" s="136"/>
    </row>
    <row r="289" spans="1:9">
      <c r="A289" s="142"/>
      <c r="B289" s="168"/>
      <c r="C289" s="28"/>
      <c r="D289" s="141"/>
      <c r="E289" s="135"/>
      <c r="F289" s="136"/>
      <c r="G289" s="137"/>
      <c r="H289" s="234"/>
      <c r="I289" s="136"/>
    </row>
    <row r="290" spans="1:9">
      <c r="A290" s="142"/>
      <c r="B290" s="168"/>
      <c r="C290" s="28"/>
      <c r="D290" s="141"/>
      <c r="E290" s="135"/>
      <c r="F290" s="136"/>
      <c r="G290" s="137"/>
      <c r="H290" s="234"/>
      <c r="I290" s="136"/>
    </row>
    <row r="291" spans="1:9">
      <c r="A291" s="142"/>
      <c r="B291" s="168"/>
      <c r="C291" s="28"/>
      <c r="D291" s="141"/>
      <c r="E291" s="135"/>
      <c r="F291" s="136"/>
      <c r="G291" s="137"/>
      <c r="H291" s="234"/>
      <c r="I291" s="136"/>
    </row>
    <row r="292" spans="1:9">
      <c r="A292" s="142"/>
      <c r="B292" s="168"/>
      <c r="C292" s="28"/>
      <c r="D292" s="141"/>
      <c r="E292" s="135"/>
      <c r="F292" s="136"/>
      <c r="G292" s="137"/>
      <c r="H292" s="234"/>
      <c r="I292" s="136"/>
    </row>
    <row r="293" spans="1:9">
      <c r="A293" s="142"/>
      <c r="B293" s="168"/>
      <c r="C293" s="28"/>
      <c r="D293" s="141"/>
      <c r="E293" s="135"/>
      <c r="F293" s="136"/>
      <c r="G293" s="137"/>
      <c r="H293" s="234"/>
      <c r="I293" s="136"/>
    </row>
    <row r="294" spans="1:9">
      <c r="A294" s="142"/>
      <c r="B294" s="168"/>
      <c r="C294" s="28"/>
      <c r="D294" s="141"/>
      <c r="E294" s="135"/>
      <c r="F294" s="136"/>
      <c r="G294" s="137"/>
      <c r="H294" s="234"/>
      <c r="I294" s="136"/>
    </row>
    <row r="295" spans="1:9">
      <c r="A295" s="142"/>
      <c r="B295" s="168"/>
      <c r="C295" s="28"/>
      <c r="D295" s="141"/>
      <c r="E295" s="135"/>
      <c r="F295" s="136"/>
      <c r="G295" s="137"/>
      <c r="H295" s="234"/>
      <c r="I295" s="136"/>
    </row>
    <row r="296" spans="1:9">
      <c r="A296" s="142"/>
      <c r="B296" s="168"/>
      <c r="C296" s="28"/>
      <c r="D296" s="141"/>
      <c r="E296" s="135"/>
      <c r="F296" s="136"/>
      <c r="G296" s="137"/>
      <c r="H296" s="234"/>
      <c r="I296" s="136"/>
    </row>
    <row r="297" spans="1:9">
      <c r="A297" s="142"/>
      <c r="B297" s="168"/>
      <c r="C297" s="28"/>
      <c r="D297" s="141"/>
      <c r="E297" s="135"/>
      <c r="F297" s="136"/>
      <c r="G297" s="137"/>
      <c r="H297" s="234"/>
      <c r="I297" s="136"/>
    </row>
    <row r="298" spans="1:9">
      <c r="A298" s="142"/>
      <c r="B298" s="168"/>
      <c r="C298" s="28"/>
      <c r="D298" s="141"/>
      <c r="E298" s="135"/>
      <c r="F298" s="136"/>
      <c r="G298" s="137"/>
      <c r="H298" s="234"/>
      <c r="I298" s="136"/>
    </row>
    <row r="299" spans="1:9">
      <c r="A299" s="142"/>
      <c r="B299" s="168"/>
      <c r="C299" s="28"/>
      <c r="D299" s="141"/>
      <c r="E299" s="135"/>
      <c r="F299" s="136"/>
      <c r="G299" s="137"/>
      <c r="H299" s="234"/>
      <c r="I299" s="136"/>
    </row>
    <row r="300" spans="1:9">
      <c r="A300" s="142"/>
      <c r="B300" s="168"/>
      <c r="C300" s="28"/>
      <c r="D300" s="141"/>
      <c r="E300" s="135"/>
      <c r="F300" s="136"/>
      <c r="G300" s="137"/>
      <c r="H300" s="234"/>
      <c r="I300" s="136"/>
    </row>
    <row r="301" spans="1:9">
      <c r="A301" s="142"/>
      <c r="B301" s="168"/>
      <c r="C301" s="28"/>
      <c r="D301" s="141"/>
      <c r="E301" s="135"/>
      <c r="F301" s="136"/>
      <c r="G301" s="137"/>
      <c r="H301" s="234"/>
      <c r="I301" s="136"/>
    </row>
    <row r="302" spans="1:9">
      <c r="A302" s="142"/>
      <c r="B302" s="168"/>
      <c r="C302" s="28"/>
      <c r="D302" s="141"/>
      <c r="E302" s="135"/>
      <c r="F302" s="136"/>
      <c r="G302" s="137"/>
      <c r="H302" s="234"/>
      <c r="I302" s="136"/>
    </row>
    <row r="303" spans="1:9">
      <c r="A303" s="142"/>
      <c r="B303" s="168"/>
      <c r="C303" s="28"/>
      <c r="D303" s="141"/>
      <c r="E303" s="135"/>
      <c r="F303" s="136"/>
      <c r="G303" s="137"/>
      <c r="H303" s="234"/>
      <c r="I303" s="136"/>
    </row>
    <row r="304" spans="1:9">
      <c r="A304" s="142"/>
      <c r="B304" s="168"/>
      <c r="C304" s="28"/>
      <c r="D304" s="141"/>
      <c r="E304" s="135"/>
      <c r="F304" s="136"/>
      <c r="G304" s="137"/>
      <c r="H304" s="234"/>
      <c r="I304" s="136"/>
    </row>
    <row r="305" spans="1:9">
      <c r="A305" s="142"/>
      <c r="B305" s="168"/>
      <c r="C305" s="28"/>
      <c r="D305" s="141"/>
      <c r="E305" s="135"/>
      <c r="F305" s="136"/>
      <c r="G305" s="137"/>
      <c r="H305" s="234"/>
      <c r="I305" s="136"/>
    </row>
    <row r="306" spans="1:9">
      <c r="A306" s="142"/>
      <c r="B306" s="168"/>
      <c r="C306" s="28"/>
      <c r="D306" s="141"/>
      <c r="E306" s="135"/>
      <c r="F306" s="136"/>
      <c r="G306" s="137"/>
      <c r="H306" s="234"/>
      <c r="I306" s="136"/>
    </row>
    <row r="307" spans="1:9">
      <c r="A307" s="142"/>
      <c r="B307" s="168"/>
      <c r="C307" s="28"/>
      <c r="D307" s="141"/>
      <c r="E307" s="135"/>
      <c r="F307" s="136"/>
      <c r="G307" s="137"/>
      <c r="H307" s="234"/>
      <c r="I307" s="136"/>
    </row>
    <row r="308" spans="1:9">
      <c r="A308" s="142"/>
      <c r="B308" s="168"/>
      <c r="C308" s="28"/>
      <c r="D308" s="141"/>
      <c r="E308" s="135"/>
      <c r="F308" s="136"/>
      <c r="G308" s="137"/>
      <c r="H308" s="234"/>
      <c r="I308" s="136"/>
    </row>
    <row r="309" spans="1:9">
      <c r="A309" s="142"/>
      <c r="B309" s="168"/>
      <c r="C309" s="28"/>
      <c r="D309" s="141"/>
      <c r="E309" s="135"/>
      <c r="F309" s="136"/>
      <c r="G309" s="137"/>
      <c r="H309" s="234"/>
      <c r="I309" s="136"/>
    </row>
    <row r="310" spans="1:9">
      <c r="A310" s="142"/>
      <c r="B310" s="168"/>
      <c r="C310" s="28"/>
      <c r="D310" s="141"/>
      <c r="E310" s="135"/>
      <c r="F310" s="136"/>
      <c r="G310" s="137"/>
      <c r="H310" s="234"/>
      <c r="I310" s="136"/>
    </row>
    <row r="311" spans="1:9">
      <c r="A311" s="142"/>
      <c r="B311" s="168"/>
      <c r="C311" s="28"/>
      <c r="D311" s="141"/>
      <c r="E311" s="135"/>
      <c r="F311" s="136"/>
      <c r="G311" s="137"/>
      <c r="H311" s="234"/>
      <c r="I311" s="136"/>
    </row>
    <row r="312" spans="1:9">
      <c r="A312" s="142"/>
      <c r="B312" s="168"/>
      <c r="C312" s="28"/>
      <c r="D312" s="141"/>
      <c r="E312" s="135"/>
      <c r="F312" s="136"/>
      <c r="G312" s="137"/>
      <c r="H312" s="234"/>
      <c r="I312" s="136"/>
    </row>
    <row r="313" spans="1:9">
      <c r="A313" s="142"/>
      <c r="B313" s="168"/>
      <c r="C313" s="28"/>
      <c r="D313" s="141"/>
      <c r="E313" s="135"/>
      <c r="F313" s="136"/>
      <c r="G313" s="137"/>
      <c r="H313" s="234"/>
      <c r="I313" s="136"/>
    </row>
    <row r="314" spans="1:9">
      <c r="A314" s="142"/>
      <c r="B314" s="168"/>
      <c r="C314" s="28"/>
      <c r="D314" s="141"/>
      <c r="E314" s="135"/>
      <c r="F314" s="136"/>
      <c r="G314" s="137"/>
      <c r="H314" s="234"/>
      <c r="I314" s="136"/>
    </row>
    <row r="315" spans="1:9">
      <c r="A315" s="142"/>
      <c r="B315" s="168"/>
      <c r="C315" s="28"/>
      <c r="D315" s="141"/>
      <c r="E315" s="135"/>
      <c r="F315" s="136"/>
      <c r="G315" s="137"/>
      <c r="H315" s="234"/>
      <c r="I315" s="136"/>
    </row>
    <row r="316" spans="1:9">
      <c r="A316" s="142"/>
      <c r="B316" s="168"/>
      <c r="C316" s="28"/>
      <c r="D316" s="141"/>
      <c r="E316" s="135"/>
      <c r="F316" s="136"/>
      <c r="G316" s="137"/>
      <c r="H316" s="234"/>
      <c r="I316" s="136"/>
    </row>
    <row r="317" spans="1:9">
      <c r="A317" s="142"/>
      <c r="B317" s="168"/>
      <c r="C317" s="28"/>
      <c r="D317" s="141"/>
      <c r="E317" s="135"/>
      <c r="F317" s="136"/>
      <c r="G317" s="137"/>
      <c r="H317" s="234"/>
      <c r="I317" s="136"/>
    </row>
    <row r="318" spans="1:9">
      <c r="A318" s="142"/>
      <c r="B318" s="168"/>
      <c r="C318" s="28"/>
      <c r="D318" s="141"/>
      <c r="E318" s="135"/>
      <c r="F318" s="136"/>
      <c r="G318" s="137"/>
      <c r="H318" s="234"/>
      <c r="I318" s="136"/>
    </row>
    <row r="319" spans="1:9">
      <c r="A319" s="142"/>
      <c r="B319" s="168"/>
      <c r="C319" s="28"/>
      <c r="D319" s="141"/>
      <c r="E319" s="135"/>
      <c r="F319" s="136"/>
      <c r="G319" s="137"/>
      <c r="H319" s="234"/>
      <c r="I319" s="136"/>
    </row>
    <row r="320" spans="1:9">
      <c r="A320" s="142"/>
      <c r="B320" s="168"/>
      <c r="C320" s="28"/>
      <c r="D320" s="141"/>
      <c r="E320" s="135"/>
      <c r="F320" s="136"/>
      <c r="G320" s="137"/>
      <c r="H320" s="234"/>
      <c r="I320" s="136"/>
    </row>
    <row r="321" spans="1:9">
      <c r="A321" s="142"/>
      <c r="B321" s="168"/>
      <c r="C321" s="28"/>
      <c r="D321" s="141"/>
      <c r="E321" s="135"/>
      <c r="F321" s="136"/>
      <c r="G321" s="137"/>
      <c r="H321" s="234"/>
      <c r="I321" s="136"/>
    </row>
    <row r="322" spans="1:9">
      <c r="A322" s="142"/>
      <c r="B322" s="168"/>
      <c r="C322" s="28"/>
      <c r="D322" s="141"/>
      <c r="E322" s="135"/>
      <c r="F322" s="136"/>
      <c r="G322" s="137"/>
      <c r="H322" s="234"/>
      <c r="I322" s="136"/>
    </row>
    <row r="323" spans="1:9">
      <c r="A323" s="142"/>
      <c r="B323" s="168"/>
      <c r="C323" s="28"/>
      <c r="D323" s="141"/>
      <c r="E323" s="135"/>
      <c r="F323" s="136"/>
      <c r="G323" s="137"/>
      <c r="H323" s="234"/>
      <c r="I323" s="136"/>
    </row>
    <row r="324" spans="1:9">
      <c r="A324" s="142"/>
      <c r="B324" s="168"/>
      <c r="C324" s="28"/>
      <c r="D324" s="141"/>
      <c r="E324" s="135"/>
      <c r="F324" s="136"/>
      <c r="G324" s="137"/>
      <c r="H324" s="234"/>
      <c r="I324" s="136"/>
    </row>
    <row r="325" spans="1:9">
      <c r="A325" s="142"/>
      <c r="B325" s="168"/>
      <c r="C325" s="28"/>
      <c r="D325" s="141"/>
      <c r="E325" s="135"/>
      <c r="F325" s="136"/>
      <c r="G325" s="137"/>
      <c r="H325" s="234"/>
      <c r="I325" s="136"/>
    </row>
    <row r="326" spans="1:9">
      <c r="A326" s="142"/>
      <c r="B326" s="168"/>
      <c r="C326" s="28"/>
      <c r="D326" s="141"/>
      <c r="E326" s="135"/>
      <c r="F326" s="136"/>
      <c r="G326" s="137"/>
      <c r="H326" s="234"/>
      <c r="I326" s="136"/>
    </row>
    <row r="327" spans="1:9">
      <c r="A327" s="142"/>
      <c r="B327" s="168"/>
      <c r="C327" s="28"/>
      <c r="D327" s="141"/>
      <c r="E327" s="135"/>
      <c r="F327" s="136"/>
      <c r="G327" s="137"/>
      <c r="H327" s="234"/>
      <c r="I327" s="136"/>
    </row>
    <row r="328" spans="1:9">
      <c r="A328" s="142"/>
      <c r="B328" s="168"/>
      <c r="C328" s="28"/>
      <c r="D328" s="141"/>
      <c r="E328" s="135"/>
      <c r="F328" s="136"/>
      <c r="G328" s="137"/>
      <c r="H328" s="234"/>
      <c r="I328" s="136"/>
    </row>
    <row r="329" spans="1:9">
      <c r="A329" s="142"/>
      <c r="B329" s="168"/>
      <c r="C329" s="28"/>
      <c r="D329" s="141"/>
      <c r="E329" s="135"/>
      <c r="F329" s="136"/>
      <c r="G329" s="137"/>
      <c r="H329" s="234"/>
      <c r="I329" s="136"/>
    </row>
    <row r="330" spans="1:9">
      <c r="A330" s="142"/>
      <c r="B330" s="168"/>
      <c r="C330" s="28"/>
      <c r="D330" s="141"/>
      <c r="E330" s="135"/>
      <c r="F330" s="136"/>
      <c r="G330" s="137"/>
      <c r="H330" s="234"/>
      <c r="I330" s="136"/>
    </row>
    <row r="331" spans="1:9">
      <c r="A331" s="142"/>
      <c r="B331" s="168"/>
      <c r="C331" s="28"/>
      <c r="D331" s="141"/>
      <c r="E331" s="135"/>
      <c r="F331" s="136"/>
      <c r="G331" s="137"/>
      <c r="H331" s="234"/>
      <c r="I331" s="136"/>
    </row>
    <row r="332" spans="1:9">
      <c r="A332" s="142"/>
      <c r="B332" s="168"/>
      <c r="C332" s="28"/>
      <c r="D332" s="141"/>
      <c r="E332" s="135"/>
      <c r="F332" s="136"/>
      <c r="G332" s="137"/>
      <c r="H332" s="234"/>
      <c r="I332" s="136"/>
    </row>
    <row r="333" spans="1:9">
      <c r="A333" s="142"/>
      <c r="B333" s="168"/>
      <c r="C333" s="28"/>
      <c r="D333" s="141"/>
      <c r="E333" s="135"/>
      <c r="F333" s="136"/>
      <c r="G333" s="137"/>
      <c r="H333" s="234"/>
      <c r="I333" s="136"/>
    </row>
    <row r="334" spans="1:9">
      <c r="A334" s="142"/>
      <c r="B334" s="168"/>
      <c r="C334" s="28"/>
      <c r="D334" s="141"/>
      <c r="E334" s="135"/>
      <c r="F334" s="136"/>
      <c r="G334" s="137"/>
      <c r="H334" s="234"/>
      <c r="I334" s="136"/>
    </row>
    <row r="335" spans="1:9">
      <c r="A335" s="142"/>
      <c r="B335" s="168"/>
      <c r="C335" s="28"/>
      <c r="D335" s="141"/>
      <c r="E335" s="135"/>
      <c r="F335" s="136"/>
      <c r="G335" s="137"/>
      <c r="H335" s="234"/>
      <c r="I335" s="136"/>
    </row>
    <row r="336" spans="1:9">
      <c r="A336" s="142"/>
      <c r="B336" s="168"/>
      <c r="C336" s="28"/>
      <c r="D336" s="141"/>
      <c r="E336" s="135"/>
      <c r="F336" s="136"/>
      <c r="G336" s="137"/>
      <c r="H336" s="234"/>
      <c r="I336" s="136"/>
    </row>
    <row r="337" spans="1:9">
      <c r="A337" s="142"/>
      <c r="B337" s="168"/>
      <c r="C337" s="28"/>
      <c r="D337" s="141"/>
      <c r="E337" s="135"/>
      <c r="F337" s="136"/>
      <c r="G337" s="137"/>
      <c r="H337" s="234"/>
      <c r="I337" s="136"/>
    </row>
    <row r="338" spans="1:9">
      <c r="A338" s="142"/>
      <c r="B338" s="168"/>
      <c r="C338" s="28"/>
      <c r="D338" s="141"/>
      <c r="E338" s="135"/>
      <c r="F338" s="136"/>
      <c r="G338" s="137"/>
      <c r="H338" s="234"/>
      <c r="I338" s="136"/>
    </row>
    <row r="339" spans="1:9">
      <c r="A339" s="142"/>
      <c r="B339" s="168"/>
      <c r="C339" s="28"/>
      <c r="D339" s="141"/>
      <c r="E339" s="135"/>
      <c r="F339" s="136"/>
      <c r="G339" s="137"/>
      <c r="H339" s="234"/>
      <c r="I339" s="136"/>
    </row>
    <row r="340" spans="1:9">
      <c r="A340" s="142"/>
      <c r="B340" s="168"/>
      <c r="C340" s="28"/>
      <c r="D340" s="141"/>
      <c r="E340" s="135"/>
      <c r="F340" s="136"/>
      <c r="G340" s="137"/>
      <c r="H340" s="234"/>
      <c r="I340" s="136"/>
    </row>
    <row r="341" spans="1:9">
      <c r="A341" s="142"/>
      <c r="B341" s="168"/>
      <c r="C341" s="28"/>
      <c r="D341" s="141"/>
      <c r="E341" s="135"/>
      <c r="F341" s="136"/>
      <c r="G341" s="137"/>
      <c r="H341" s="234"/>
      <c r="I341" s="136"/>
    </row>
    <row r="342" spans="1:9">
      <c r="A342" s="142"/>
      <c r="B342" s="168"/>
      <c r="C342" s="28"/>
      <c r="D342" s="141"/>
      <c r="E342" s="135"/>
      <c r="F342" s="136"/>
      <c r="G342" s="137"/>
      <c r="H342" s="234"/>
      <c r="I342" s="136"/>
    </row>
    <row r="343" spans="1:9">
      <c r="A343" s="142"/>
      <c r="B343" s="168"/>
      <c r="C343" s="28"/>
      <c r="D343" s="141"/>
      <c r="E343" s="135"/>
      <c r="F343" s="136"/>
      <c r="G343" s="137"/>
      <c r="H343" s="234"/>
      <c r="I343" s="136"/>
    </row>
    <row r="344" spans="1:9">
      <c r="A344" s="142"/>
      <c r="B344" s="168"/>
      <c r="C344" s="28"/>
      <c r="D344" s="141"/>
      <c r="E344" s="135"/>
      <c r="F344" s="136"/>
      <c r="G344" s="137"/>
      <c r="H344" s="234"/>
      <c r="I344" s="136"/>
    </row>
    <row r="345" spans="1:9">
      <c r="A345" s="142"/>
      <c r="B345" s="168"/>
      <c r="C345" s="28"/>
      <c r="D345" s="141"/>
      <c r="E345" s="135"/>
      <c r="F345" s="136"/>
      <c r="G345" s="137"/>
      <c r="H345" s="234"/>
      <c r="I345" s="136"/>
    </row>
    <row r="346" spans="1:9">
      <c r="A346" s="142"/>
      <c r="B346" s="168"/>
      <c r="C346" s="28"/>
      <c r="D346" s="141"/>
      <c r="E346" s="135"/>
      <c r="F346" s="136"/>
      <c r="G346" s="137"/>
      <c r="H346" s="234"/>
      <c r="I346" s="136"/>
    </row>
    <row r="347" spans="1:9">
      <c r="A347" s="142"/>
      <c r="B347" s="168"/>
      <c r="C347" s="28"/>
      <c r="D347" s="141"/>
      <c r="E347" s="135"/>
      <c r="F347" s="136"/>
      <c r="G347" s="137"/>
      <c r="H347" s="234"/>
      <c r="I347" s="136"/>
    </row>
    <row r="348" spans="1:9">
      <c r="A348" s="142"/>
      <c r="B348" s="168"/>
      <c r="C348" s="28"/>
      <c r="D348" s="141"/>
      <c r="E348" s="135"/>
      <c r="F348" s="136"/>
      <c r="G348" s="137"/>
      <c r="H348" s="234"/>
      <c r="I348" s="136"/>
    </row>
    <row r="349" spans="1:9">
      <c r="A349" s="142"/>
      <c r="B349" s="168"/>
      <c r="C349" s="28"/>
      <c r="D349" s="141"/>
      <c r="E349" s="135"/>
      <c r="F349" s="136"/>
      <c r="G349" s="137"/>
      <c r="H349" s="234"/>
      <c r="I349" s="136"/>
    </row>
    <row r="350" spans="1:9">
      <c r="A350" s="142"/>
      <c r="B350" s="168"/>
      <c r="C350" s="28"/>
      <c r="D350" s="141"/>
      <c r="E350" s="135"/>
      <c r="F350" s="136"/>
      <c r="G350" s="137"/>
      <c r="H350" s="234"/>
      <c r="I350" s="136"/>
    </row>
    <row r="351" spans="1:9">
      <c r="A351" s="142"/>
      <c r="B351" s="168"/>
      <c r="C351" s="28"/>
      <c r="D351" s="141"/>
      <c r="E351" s="135"/>
      <c r="F351" s="136"/>
      <c r="G351" s="137"/>
      <c r="H351" s="234"/>
      <c r="I351" s="136"/>
    </row>
    <row r="352" spans="1:9">
      <c r="A352" s="142"/>
      <c r="B352" s="168"/>
      <c r="C352" s="28"/>
      <c r="D352" s="141"/>
      <c r="E352" s="135"/>
      <c r="F352" s="136"/>
      <c r="G352" s="137"/>
      <c r="H352" s="234"/>
      <c r="I352" s="136"/>
    </row>
    <row r="353" spans="1:9">
      <c r="A353" s="142"/>
      <c r="B353" s="168"/>
      <c r="C353" s="28"/>
      <c r="D353" s="141"/>
      <c r="E353" s="135"/>
      <c r="F353" s="136"/>
      <c r="G353" s="137"/>
      <c r="H353" s="234"/>
      <c r="I353" s="136"/>
    </row>
    <row r="354" spans="1:9">
      <c r="A354" s="142"/>
      <c r="B354" s="168"/>
      <c r="C354" s="28"/>
      <c r="D354" s="141"/>
      <c r="E354" s="135"/>
      <c r="F354" s="136"/>
      <c r="G354" s="137"/>
      <c r="H354" s="234"/>
      <c r="I354" s="136"/>
    </row>
    <row r="355" spans="1:9">
      <c r="A355" s="142"/>
      <c r="B355" s="168"/>
      <c r="C355" s="28"/>
      <c r="D355" s="141"/>
      <c r="E355" s="135"/>
      <c r="F355" s="136"/>
      <c r="G355" s="137"/>
      <c r="H355" s="234"/>
      <c r="I355" s="136"/>
    </row>
    <row r="356" spans="1:9">
      <c r="A356" s="142"/>
      <c r="B356" s="168"/>
      <c r="C356" s="28"/>
      <c r="D356" s="141"/>
      <c r="E356" s="135"/>
      <c r="F356" s="136"/>
      <c r="G356" s="137"/>
      <c r="H356" s="234"/>
      <c r="I356" s="136"/>
    </row>
    <row r="357" spans="1:9">
      <c r="A357" s="142"/>
      <c r="B357" s="168"/>
      <c r="C357" s="28"/>
      <c r="D357" s="141"/>
      <c r="E357" s="135"/>
      <c r="F357" s="136"/>
      <c r="G357" s="137"/>
      <c r="H357" s="234"/>
      <c r="I357" s="136"/>
    </row>
    <row r="358" spans="1:9">
      <c r="A358" s="142"/>
      <c r="B358" s="168"/>
      <c r="C358" s="28"/>
      <c r="D358" s="141"/>
      <c r="E358" s="135"/>
      <c r="F358" s="136"/>
      <c r="G358" s="137"/>
      <c r="H358" s="234"/>
      <c r="I358" s="136"/>
    </row>
    <row r="359" spans="1:9">
      <c r="A359" s="142"/>
      <c r="B359" s="168"/>
      <c r="C359" s="28"/>
      <c r="D359" s="141"/>
      <c r="E359" s="135"/>
      <c r="F359" s="136"/>
      <c r="G359" s="137"/>
      <c r="H359" s="234"/>
      <c r="I359" s="136"/>
    </row>
    <row r="360" spans="1:9">
      <c r="A360" s="142"/>
      <c r="B360" s="168"/>
      <c r="C360" s="28"/>
      <c r="D360" s="141"/>
      <c r="E360" s="135"/>
      <c r="F360" s="136"/>
      <c r="G360" s="137"/>
      <c r="H360" s="234"/>
      <c r="I360" s="136"/>
    </row>
    <row r="361" spans="1:9">
      <c r="A361" s="142"/>
      <c r="B361" s="168"/>
      <c r="C361" s="28"/>
      <c r="D361" s="141"/>
      <c r="E361" s="135"/>
      <c r="F361" s="136"/>
      <c r="G361" s="137"/>
      <c r="H361" s="234"/>
      <c r="I361" s="136"/>
    </row>
    <row r="362" spans="1:9">
      <c r="A362" s="142"/>
      <c r="B362" s="168"/>
      <c r="C362" s="28"/>
      <c r="D362" s="141"/>
      <c r="E362" s="135"/>
      <c r="F362" s="136"/>
      <c r="G362" s="137"/>
      <c r="H362" s="234"/>
      <c r="I362" s="136"/>
    </row>
    <row r="363" spans="1:9">
      <c r="A363" s="142"/>
      <c r="B363" s="168"/>
      <c r="C363" s="28"/>
      <c r="D363" s="141"/>
      <c r="E363" s="135"/>
      <c r="F363" s="136"/>
      <c r="G363" s="137"/>
      <c r="H363" s="234"/>
      <c r="I363" s="136"/>
    </row>
    <row r="364" spans="1:9">
      <c r="A364" s="142"/>
      <c r="B364" s="168"/>
      <c r="C364" s="28"/>
      <c r="D364" s="141"/>
      <c r="E364" s="135"/>
      <c r="F364" s="136"/>
      <c r="G364" s="137"/>
      <c r="H364" s="234"/>
      <c r="I364" s="136"/>
    </row>
    <row r="365" spans="1:9">
      <c r="A365" s="142"/>
      <c r="B365" s="168"/>
      <c r="C365" s="28"/>
      <c r="D365" s="141"/>
      <c r="E365" s="135"/>
      <c r="F365" s="136"/>
      <c r="G365" s="137"/>
      <c r="H365" s="234"/>
      <c r="I365" s="136"/>
    </row>
    <row r="366" spans="1:9">
      <c r="A366" s="142"/>
      <c r="B366" s="168"/>
      <c r="C366" s="28"/>
      <c r="D366" s="141"/>
      <c r="E366" s="135"/>
      <c r="F366" s="136"/>
      <c r="G366" s="137"/>
      <c r="H366" s="234"/>
      <c r="I366" s="136"/>
    </row>
    <row r="367" spans="1:9">
      <c r="A367" s="142"/>
      <c r="B367" s="168"/>
      <c r="C367" s="28"/>
      <c r="D367" s="141"/>
      <c r="E367" s="135"/>
      <c r="F367" s="136"/>
      <c r="G367" s="137"/>
      <c r="H367" s="234"/>
      <c r="I367" s="136"/>
    </row>
    <row r="368" spans="1:9">
      <c r="A368" s="142"/>
      <c r="B368" s="168"/>
      <c r="C368" s="28"/>
      <c r="D368" s="141"/>
      <c r="E368" s="135"/>
      <c r="F368" s="136"/>
      <c r="G368" s="137"/>
      <c r="H368" s="234"/>
      <c r="I368" s="136"/>
    </row>
    <row r="369" spans="1:9">
      <c r="A369" s="142"/>
      <c r="B369" s="168"/>
      <c r="C369" s="28"/>
      <c r="D369" s="141"/>
      <c r="E369" s="135"/>
      <c r="F369" s="136"/>
      <c r="G369" s="137"/>
      <c r="H369" s="234"/>
      <c r="I369" s="136"/>
    </row>
    <row r="370" spans="1:9">
      <c r="A370" s="142"/>
      <c r="B370" s="168"/>
      <c r="C370" s="28"/>
      <c r="D370" s="141"/>
      <c r="E370" s="135"/>
      <c r="F370" s="136"/>
      <c r="G370" s="137"/>
      <c r="H370" s="234"/>
      <c r="I370" s="136"/>
    </row>
    <row r="371" spans="1:9">
      <c r="A371" s="142"/>
      <c r="B371" s="168"/>
      <c r="C371" s="28"/>
      <c r="D371" s="141"/>
      <c r="E371" s="135"/>
      <c r="F371" s="136"/>
      <c r="G371" s="137"/>
      <c r="H371" s="234"/>
      <c r="I371" s="136"/>
    </row>
    <row r="372" spans="1:9">
      <c r="A372" s="142"/>
      <c r="B372" s="168"/>
      <c r="C372" s="28"/>
      <c r="D372" s="141"/>
      <c r="E372" s="135"/>
      <c r="F372" s="136"/>
      <c r="G372" s="137"/>
      <c r="H372" s="234"/>
      <c r="I372" s="136"/>
    </row>
    <row r="373" spans="1:9">
      <c r="A373" s="142"/>
      <c r="B373" s="168"/>
      <c r="C373" s="28"/>
      <c r="D373" s="141"/>
      <c r="E373" s="135"/>
      <c r="F373" s="136"/>
      <c r="G373" s="137"/>
      <c r="H373" s="234"/>
      <c r="I373" s="136"/>
    </row>
    <row r="374" spans="1:9">
      <c r="A374" s="142"/>
      <c r="B374" s="168"/>
      <c r="C374" s="28"/>
      <c r="D374" s="141"/>
      <c r="E374" s="135"/>
      <c r="F374" s="136"/>
      <c r="G374" s="137"/>
      <c r="H374" s="234"/>
      <c r="I374" s="136"/>
    </row>
    <row r="375" spans="1:9">
      <c r="A375" s="142"/>
      <c r="B375" s="168"/>
      <c r="C375" s="28"/>
      <c r="D375" s="141"/>
      <c r="E375" s="135"/>
      <c r="F375" s="136"/>
      <c r="G375" s="137"/>
      <c r="H375" s="234"/>
      <c r="I375" s="136"/>
    </row>
    <row r="376" spans="1:9">
      <c r="A376" s="142"/>
      <c r="B376" s="168"/>
      <c r="C376" s="28"/>
      <c r="D376" s="141"/>
      <c r="E376" s="135"/>
      <c r="F376" s="136"/>
      <c r="G376" s="137"/>
      <c r="H376" s="234"/>
      <c r="I376" s="136"/>
    </row>
    <row r="377" spans="1:9">
      <c r="A377" s="142"/>
      <c r="B377" s="168"/>
      <c r="C377" s="28"/>
      <c r="D377" s="141"/>
      <c r="E377" s="135"/>
      <c r="F377" s="136"/>
      <c r="G377" s="137"/>
      <c r="H377" s="234"/>
      <c r="I377" s="136"/>
    </row>
    <row r="378" spans="1:9">
      <c r="A378" s="142"/>
      <c r="B378" s="168"/>
      <c r="C378" s="28"/>
      <c r="D378" s="141"/>
      <c r="E378" s="135"/>
      <c r="F378" s="136"/>
      <c r="G378" s="137"/>
      <c r="H378" s="234"/>
      <c r="I378" s="136"/>
    </row>
    <row r="379" spans="1:9">
      <c r="A379" s="142"/>
      <c r="B379" s="168"/>
      <c r="C379" s="28"/>
      <c r="D379" s="141"/>
      <c r="E379" s="135"/>
      <c r="F379" s="136"/>
      <c r="G379" s="137"/>
      <c r="H379" s="234"/>
      <c r="I379" s="136"/>
    </row>
    <row r="380" spans="1:9">
      <c r="A380" s="142"/>
      <c r="B380" s="168"/>
      <c r="C380" s="28"/>
      <c r="D380" s="141"/>
      <c r="E380" s="135"/>
      <c r="F380" s="136"/>
      <c r="G380" s="137"/>
      <c r="H380" s="234"/>
      <c r="I380" s="136"/>
    </row>
    <row r="381" spans="1:9">
      <c r="A381" s="142"/>
      <c r="B381" s="168"/>
      <c r="C381" s="28"/>
      <c r="D381" s="141"/>
      <c r="E381" s="135"/>
      <c r="F381" s="136"/>
      <c r="G381" s="137"/>
      <c r="H381" s="234"/>
      <c r="I381" s="136"/>
    </row>
    <row r="382" spans="1:9">
      <c r="A382" s="142"/>
      <c r="B382" s="168"/>
      <c r="C382" s="28"/>
      <c r="D382" s="141"/>
      <c r="E382" s="135"/>
      <c r="F382" s="136"/>
      <c r="G382" s="137"/>
      <c r="H382" s="234"/>
      <c r="I382" s="136"/>
    </row>
    <row r="383" spans="1:9">
      <c r="A383" s="142"/>
      <c r="B383" s="168"/>
      <c r="C383" s="28"/>
      <c r="D383" s="141"/>
      <c r="E383" s="135"/>
      <c r="F383" s="136"/>
      <c r="G383" s="137"/>
      <c r="H383" s="234"/>
      <c r="I383" s="136"/>
    </row>
    <row r="384" spans="1:9">
      <c r="A384" s="142"/>
      <c r="B384" s="168"/>
      <c r="C384" s="28"/>
      <c r="D384" s="141"/>
      <c r="E384" s="135"/>
      <c r="F384" s="136"/>
      <c r="G384" s="137"/>
      <c r="H384" s="234"/>
      <c r="I384" s="136"/>
    </row>
    <row r="385" spans="1:9">
      <c r="A385" s="142"/>
      <c r="B385" s="168"/>
      <c r="C385" s="28"/>
      <c r="D385" s="141"/>
      <c r="E385" s="135"/>
      <c r="F385" s="136"/>
      <c r="G385" s="137"/>
      <c r="H385" s="234"/>
      <c r="I385" s="136"/>
    </row>
    <row r="386" spans="1:9">
      <c r="A386" s="142"/>
      <c r="B386" s="168"/>
      <c r="C386" s="28"/>
      <c r="D386" s="141"/>
      <c r="E386" s="135"/>
      <c r="F386" s="136"/>
      <c r="G386" s="137"/>
      <c r="H386" s="234"/>
      <c r="I386" s="136"/>
    </row>
    <row r="387" spans="1:9">
      <c r="A387" s="142"/>
      <c r="B387" s="168"/>
      <c r="C387" s="28"/>
      <c r="D387" s="141"/>
      <c r="E387" s="135"/>
      <c r="F387" s="136"/>
      <c r="G387" s="137"/>
      <c r="H387" s="234"/>
      <c r="I387" s="136"/>
    </row>
    <row r="388" spans="1:9">
      <c r="A388" s="142"/>
      <c r="B388" s="168"/>
      <c r="C388" s="28"/>
      <c r="D388" s="141"/>
      <c r="E388" s="135"/>
      <c r="F388" s="136"/>
      <c r="G388" s="137"/>
      <c r="H388" s="234"/>
      <c r="I388" s="136"/>
    </row>
    <row r="389" spans="1:9">
      <c r="A389" s="142"/>
      <c r="B389" s="168"/>
      <c r="C389" s="28"/>
      <c r="D389" s="141"/>
      <c r="E389" s="135"/>
      <c r="F389" s="136"/>
      <c r="G389" s="137"/>
      <c r="H389" s="234"/>
      <c r="I389" s="136"/>
    </row>
    <row r="390" spans="1:9">
      <c r="A390" s="142"/>
      <c r="B390" s="168"/>
      <c r="C390" s="28"/>
      <c r="D390" s="141"/>
      <c r="E390" s="135"/>
      <c r="F390" s="136"/>
      <c r="G390" s="137"/>
      <c r="H390" s="234"/>
      <c r="I390" s="136"/>
    </row>
    <row r="391" spans="1:9">
      <c r="A391" s="142"/>
      <c r="B391" s="168"/>
      <c r="C391" s="28"/>
      <c r="D391" s="141"/>
      <c r="E391" s="135"/>
      <c r="F391" s="136"/>
      <c r="G391" s="137"/>
      <c r="H391" s="234"/>
      <c r="I391" s="136"/>
    </row>
    <row r="392" spans="1:9">
      <c r="A392" s="142"/>
      <c r="B392" s="168"/>
      <c r="C392" s="28"/>
      <c r="D392" s="141"/>
      <c r="E392" s="135"/>
      <c r="F392" s="136"/>
      <c r="G392" s="137"/>
      <c r="H392" s="234"/>
      <c r="I392" s="136"/>
    </row>
    <row r="393" spans="1:9">
      <c r="A393" s="142"/>
      <c r="B393" s="168"/>
      <c r="C393" s="28"/>
      <c r="D393" s="141"/>
      <c r="E393" s="135"/>
      <c r="F393" s="136"/>
      <c r="G393" s="137"/>
      <c r="H393" s="234"/>
      <c r="I393" s="136"/>
    </row>
    <row r="394" spans="1:9">
      <c r="A394" s="142"/>
      <c r="B394" s="168"/>
      <c r="C394" s="28"/>
      <c r="D394" s="141"/>
      <c r="E394" s="135"/>
      <c r="F394" s="136"/>
      <c r="G394" s="137"/>
      <c r="H394" s="234"/>
      <c r="I394" s="136"/>
    </row>
    <row r="395" spans="1:9">
      <c r="A395" s="142"/>
      <c r="B395" s="168"/>
      <c r="C395" s="28"/>
      <c r="D395" s="141"/>
      <c r="E395" s="135"/>
      <c r="F395" s="136"/>
      <c r="G395" s="137"/>
      <c r="H395" s="234"/>
      <c r="I395" s="136"/>
    </row>
    <row r="396" spans="1:9">
      <c r="A396" s="142"/>
      <c r="B396" s="168"/>
      <c r="C396" s="28"/>
      <c r="D396" s="141"/>
      <c r="E396" s="135"/>
      <c r="F396" s="136"/>
      <c r="G396" s="137"/>
      <c r="H396" s="234"/>
      <c r="I396" s="136"/>
    </row>
    <row r="397" spans="1:9">
      <c r="A397" s="142"/>
      <c r="B397" s="168"/>
      <c r="C397" s="28"/>
      <c r="D397" s="141"/>
      <c r="E397" s="135"/>
      <c r="F397" s="136"/>
      <c r="G397" s="137"/>
      <c r="H397" s="234"/>
      <c r="I397" s="136"/>
    </row>
    <row r="398" spans="1:9">
      <c r="A398" s="142"/>
      <c r="B398" s="168"/>
      <c r="C398" s="28"/>
      <c r="D398" s="141"/>
      <c r="E398" s="135"/>
      <c r="F398" s="136"/>
      <c r="G398" s="137"/>
      <c r="H398" s="234"/>
      <c r="I398" s="136"/>
    </row>
    <row r="399" spans="1:9">
      <c r="A399" s="142"/>
      <c r="B399" s="168"/>
      <c r="C399" s="28"/>
      <c r="D399" s="141"/>
      <c r="E399" s="135"/>
      <c r="F399" s="136"/>
      <c r="G399" s="137"/>
      <c r="H399" s="234"/>
      <c r="I399" s="136"/>
    </row>
    <row r="400" spans="1:9">
      <c r="A400" s="142"/>
      <c r="B400" s="168"/>
      <c r="C400" s="28"/>
      <c r="D400" s="141"/>
      <c r="E400" s="135"/>
      <c r="F400" s="136"/>
      <c r="G400" s="137"/>
      <c r="H400" s="234"/>
      <c r="I400" s="136"/>
    </row>
    <row r="401" spans="1:9">
      <c r="A401" s="142"/>
      <c r="B401" s="168"/>
      <c r="C401" s="28"/>
      <c r="D401" s="141"/>
      <c r="E401" s="135"/>
      <c r="F401" s="136"/>
      <c r="G401" s="137"/>
      <c r="H401" s="234"/>
      <c r="I401" s="136"/>
    </row>
    <row r="402" spans="1:9">
      <c r="A402" s="142"/>
      <c r="B402" s="168"/>
      <c r="C402" s="28"/>
      <c r="D402" s="141"/>
      <c r="E402" s="135"/>
      <c r="F402" s="136"/>
      <c r="G402" s="137"/>
      <c r="H402" s="234"/>
      <c r="I402" s="136"/>
    </row>
    <row r="403" spans="1:9">
      <c r="A403" s="142"/>
      <c r="B403" s="168"/>
      <c r="C403" s="28"/>
      <c r="D403" s="141"/>
      <c r="E403" s="135"/>
      <c r="F403" s="136"/>
      <c r="G403" s="137"/>
      <c r="H403" s="234"/>
      <c r="I403" s="136"/>
    </row>
    <row r="404" spans="1:9">
      <c r="A404" s="142"/>
      <c r="B404" s="168"/>
      <c r="C404" s="28"/>
      <c r="D404" s="141"/>
      <c r="E404" s="135"/>
      <c r="F404" s="136"/>
      <c r="G404" s="137"/>
      <c r="H404" s="234"/>
      <c r="I404" s="136"/>
    </row>
    <row r="405" spans="1:9">
      <c r="A405" s="142"/>
      <c r="B405" s="168"/>
      <c r="C405" s="28"/>
      <c r="D405" s="141"/>
      <c r="E405" s="135"/>
      <c r="F405" s="136"/>
      <c r="G405" s="137"/>
      <c r="H405" s="234"/>
      <c r="I405" s="136"/>
    </row>
    <row r="406" spans="1:9">
      <c r="A406" s="142"/>
      <c r="B406" s="168"/>
      <c r="C406" s="28"/>
      <c r="D406" s="141"/>
      <c r="E406" s="135"/>
      <c r="F406" s="136"/>
      <c r="G406" s="137"/>
      <c r="H406" s="234"/>
      <c r="I406" s="136"/>
    </row>
    <row r="407" spans="1:9">
      <c r="A407" s="142"/>
      <c r="B407" s="168"/>
      <c r="C407" s="28"/>
      <c r="D407" s="141"/>
      <c r="E407" s="135"/>
      <c r="F407" s="136"/>
      <c r="G407" s="137"/>
      <c r="H407" s="234"/>
      <c r="I407" s="136"/>
    </row>
    <row r="408" spans="1:9">
      <c r="A408" s="142"/>
      <c r="B408" s="168"/>
      <c r="C408" s="28"/>
      <c r="D408" s="141"/>
      <c r="E408" s="135"/>
      <c r="F408" s="136"/>
      <c r="G408" s="137"/>
      <c r="H408" s="234"/>
      <c r="I408" s="136"/>
    </row>
    <row r="409" spans="1:9">
      <c r="A409" s="142"/>
      <c r="B409" s="168"/>
      <c r="C409" s="28"/>
      <c r="D409" s="141"/>
      <c r="E409" s="135"/>
      <c r="F409" s="136"/>
      <c r="G409" s="137"/>
      <c r="H409" s="234"/>
      <c r="I409" s="136"/>
    </row>
    <row r="410" spans="1:9">
      <c r="A410" s="142"/>
      <c r="B410" s="168"/>
      <c r="C410" s="28"/>
      <c r="D410" s="141"/>
      <c r="E410" s="135"/>
      <c r="F410" s="136"/>
      <c r="G410" s="137"/>
      <c r="H410" s="234"/>
      <c r="I410" s="136"/>
    </row>
    <row r="411" spans="1:9">
      <c r="A411" s="142"/>
      <c r="B411" s="168"/>
      <c r="C411" s="28"/>
      <c r="D411" s="141"/>
      <c r="E411" s="135"/>
      <c r="F411" s="136"/>
      <c r="G411" s="137"/>
      <c r="H411" s="234"/>
      <c r="I411" s="136"/>
    </row>
    <row r="412" spans="1:9">
      <c r="A412" s="142"/>
      <c r="B412" s="168"/>
      <c r="C412" s="28"/>
      <c r="D412" s="141"/>
      <c r="E412" s="135"/>
      <c r="F412" s="136"/>
      <c r="G412" s="137"/>
      <c r="H412" s="234"/>
      <c r="I412" s="136"/>
    </row>
    <row r="413" spans="1:9">
      <c r="A413" s="142"/>
      <c r="B413" s="168"/>
      <c r="C413" s="28"/>
      <c r="D413" s="141"/>
      <c r="E413" s="135"/>
      <c r="F413" s="136"/>
      <c r="G413" s="137"/>
      <c r="H413" s="234"/>
      <c r="I413" s="136"/>
    </row>
    <row r="414" spans="1:9">
      <c r="A414" s="142"/>
      <c r="B414" s="168"/>
      <c r="C414" s="28"/>
      <c r="D414" s="141"/>
      <c r="E414" s="135"/>
      <c r="F414" s="136"/>
      <c r="G414" s="137"/>
      <c r="H414" s="234"/>
      <c r="I414" s="136"/>
    </row>
    <row r="415" spans="1:9">
      <c r="A415" s="142"/>
      <c r="B415" s="168"/>
      <c r="C415" s="28"/>
      <c r="D415" s="141"/>
      <c r="E415" s="135"/>
      <c r="F415" s="136"/>
      <c r="G415" s="137"/>
      <c r="H415" s="234"/>
      <c r="I415" s="136"/>
    </row>
    <row r="416" spans="1:9">
      <c r="A416" s="142"/>
      <c r="B416" s="168"/>
      <c r="C416" s="28"/>
      <c r="D416" s="141"/>
      <c r="E416" s="135"/>
      <c r="F416" s="136"/>
      <c r="G416" s="137"/>
      <c r="H416" s="234"/>
      <c r="I416" s="136"/>
    </row>
    <row r="417" spans="1:9">
      <c r="A417" s="142"/>
      <c r="B417" s="168"/>
      <c r="C417" s="28"/>
      <c r="D417" s="141"/>
      <c r="E417" s="135"/>
      <c r="F417" s="136"/>
      <c r="G417" s="137"/>
      <c r="H417" s="234"/>
      <c r="I417" s="136"/>
    </row>
    <row r="418" spans="1:9">
      <c r="A418" s="142"/>
      <c r="B418" s="168"/>
      <c r="C418" s="28"/>
      <c r="D418" s="141"/>
      <c r="E418" s="135"/>
      <c r="F418" s="136"/>
      <c r="G418" s="137"/>
      <c r="H418" s="234"/>
      <c r="I418" s="136"/>
    </row>
    <row r="419" spans="1:9">
      <c r="A419" s="142"/>
      <c r="B419" s="168"/>
      <c r="C419" s="28"/>
      <c r="D419" s="141"/>
      <c r="E419" s="135"/>
      <c r="F419" s="136"/>
      <c r="G419" s="137"/>
      <c r="H419" s="234"/>
      <c r="I419" s="136"/>
    </row>
    <row r="420" spans="1:9">
      <c r="A420" s="142"/>
      <c r="B420" s="168"/>
      <c r="C420" s="28"/>
      <c r="D420" s="141"/>
      <c r="E420" s="135"/>
      <c r="F420" s="136"/>
      <c r="G420" s="137"/>
      <c r="H420" s="234"/>
      <c r="I420" s="136"/>
    </row>
    <row r="421" spans="1:9">
      <c r="A421" s="142"/>
      <c r="B421" s="168"/>
      <c r="C421" s="28"/>
      <c r="D421" s="141"/>
      <c r="E421" s="135"/>
      <c r="F421" s="136"/>
      <c r="G421" s="137"/>
      <c r="H421" s="234"/>
      <c r="I421" s="136"/>
    </row>
    <row r="422" spans="1:9">
      <c r="A422" s="142"/>
      <c r="B422" s="168"/>
      <c r="C422" s="28"/>
      <c r="D422" s="141"/>
      <c r="E422" s="135"/>
      <c r="F422" s="136"/>
      <c r="G422" s="137"/>
      <c r="H422" s="234"/>
      <c r="I422" s="136"/>
    </row>
    <row r="423" spans="1:9">
      <c r="A423" s="142"/>
      <c r="B423" s="168"/>
      <c r="C423" s="28"/>
      <c r="D423" s="141"/>
      <c r="E423" s="135"/>
      <c r="F423" s="136"/>
      <c r="G423" s="137"/>
      <c r="H423" s="234"/>
      <c r="I423" s="136"/>
    </row>
    <row r="424" spans="1:9">
      <c r="A424" s="142"/>
      <c r="B424" s="168"/>
      <c r="C424" s="28"/>
      <c r="D424" s="141"/>
      <c r="E424" s="135"/>
      <c r="F424" s="136"/>
      <c r="G424" s="137"/>
      <c r="H424" s="234"/>
      <c r="I424" s="136"/>
    </row>
    <row r="425" spans="1:9">
      <c r="A425" s="142"/>
      <c r="B425" s="168"/>
      <c r="C425" s="28"/>
      <c r="D425" s="141"/>
      <c r="E425" s="135"/>
      <c r="F425" s="136"/>
      <c r="G425" s="137"/>
      <c r="H425" s="234"/>
      <c r="I425" s="136"/>
    </row>
    <row r="426" spans="1:9">
      <c r="A426" s="142"/>
      <c r="B426" s="168"/>
      <c r="C426" s="28"/>
      <c r="D426" s="141"/>
      <c r="E426" s="135"/>
      <c r="F426" s="136"/>
      <c r="G426" s="137"/>
      <c r="H426" s="234"/>
      <c r="I426" s="136"/>
    </row>
    <row r="427" spans="1:9">
      <c r="A427" s="142"/>
      <c r="B427" s="168"/>
      <c r="C427" s="28"/>
      <c r="D427" s="141"/>
      <c r="E427" s="135"/>
      <c r="F427" s="136"/>
      <c r="G427" s="137"/>
      <c r="H427" s="234"/>
      <c r="I427" s="136"/>
    </row>
    <row r="428" spans="1:9">
      <c r="A428" s="142"/>
      <c r="B428" s="168"/>
      <c r="C428" s="28"/>
      <c r="D428" s="141"/>
      <c r="E428" s="135"/>
      <c r="F428" s="136"/>
      <c r="G428" s="137"/>
      <c r="H428" s="234"/>
      <c r="I428" s="136"/>
    </row>
    <row r="429" spans="1:9">
      <c r="A429" s="142"/>
      <c r="B429" s="168"/>
      <c r="C429" s="28"/>
      <c r="D429" s="141"/>
      <c r="E429" s="135"/>
      <c r="F429" s="136"/>
      <c r="G429" s="137"/>
      <c r="H429" s="234"/>
      <c r="I429" s="136"/>
    </row>
    <row r="430" spans="1:9">
      <c r="A430" s="142"/>
      <c r="B430" s="168"/>
      <c r="C430" s="28"/>
      <c r="D430" s="141"/>
      <c r="E430" s="135"/>
      <c r="F430" s="136"/>
      <c r="G430" s="137"/>
      <c r="H430" s="234"/>
      <c r="I430" s="136"/>
    </row>
    <row r="431" spans="1:9">
      <c r="A431" s="142"/>
      <c r="B431" s="168"/>
      <c r="C431" s="28"/>
      <c r="D431" s="141"/>
      <c r="E431" s="135"/>
      <c r="F431" s="136"/>
      <c r="G431" s="137"/>
      <c r="H431" s="234"/>
      <c r="I431" s="136"/>
    </row>
    <row r="432" spans="1:9">
      <c r="A432" s="142"/>
      <c r="B432" s="168"/>
      <c r="C432" s="28"/>
      <c r="D432" s="141"/>
      <c r="E432" s="135"/>
      <c r="F432" s="136"/>
      <c r="G432" s="137"/>
      <c r="H432" s="234"/>
      <c r="I432" s="136"/>
    </row>
    <row r="433" spans="1:9">
      <c r="A433" s="142"/>
      <c r="B433" s="168"/>
      <c r="C433" s="28"/>
      <c r="D433" s="141"/>
      <c r="E433" s="135"/>
      <c r="F433" s="136"/>
      <c r="G433" s="137"/>
      <c r="H433" s="234"/>
      <c r="I433" s="136"/>
    </row>
    <row r="434" spans="1:9">
      <c r="A434" s="142"/>
      <c r="B434" s="168"/>
      <c r="C434" s="28"/>
      <c r="D434" s="141"/>
      <c r="E434" s="135"/>
      <c r="F434" s="136"/>
      <c r="G434" s="137"/>
      <c r="H434" s="234"/>
      <c r="I434" s="136"/>
    </row>
    <row r="435" spans="1:9">
      <c r="A435" s="142"/>
      <c r="B435" s="168"/>
      <c r="C435" s="28"/>
      <c r="D435" s="141"/>
      <c r="E435" s="135"/>
      <c r="F435" s="136"/>
      <c r="G435" s="137"/>
      <c r="H435" s="234"/>
      <c r="I435" s="136"/>
    </row>
    <row r="436" spans="1:9">
      <c r="A436" s="142"/>
      <c r="B436" s="168"/>
      <c r="C436" s="28"/>
      <c r="D436" s="141"/>
      <c r="E436" s="135"/>
      <c r="F436" s="136"/>
      <c r="G436" s="137"/>
      <c r="H436" s="234"/>
      <c r="I436" s="136"/>
    </row>
    <row r="437" spans="1:9">
      <c r="A437" s="142"/>
      <c r="B437" s="168"/>
      <c r="C437" s="28"/>
      <c r="D437" s="141"/>
      <c r="E437" s="135"/>
      <c r="F437" s="136"/>
      <c r="G437" s="137"/>
      <c r="H437" s="234"/>
      <c r="I437" s="136"/>
    </row>
    <row r="438" spans="1:9">
      <c r="A438" s="142"/>
      <c r="B438" s="168"/>
      <c r="C438" s="28"/>
      <c r="D438" s="141"/>
      <c r="E438" s="135"/>
      <c r="F438" s="136"/>
      <c r="G438" s="137"/>
      <c r="H438" s="234"/>
      <c r="I438" s="136"/>
    </row>
    <row r="439" spans="1:9">
      <c r="A439" s="142"/>
      <c r="B439" s="168"/>
      <c r="C439" s="28"/>
      <c r="D439" s="141"/>
      <c r="E439" s="135"/>
      <c r="F439" s="136"/>
      <c r="G439" s="137"/>
      <c r="H439" s="234"/>
      <c r="I439" s="136"/>
    </row>
    <row r="440" spans="1:9">
      <c r="A440" s="142"/>
      <c r="B440" s="168"/>
      <c r="C440" s="28"/>
      <c r="D440" s="141"/>
      <c r="E440" s="135"/>
      <c r="F440" s="136"/>
      <c r="G440" s="137"/>
      <c r="H440" s="234"/>
      <c r="I440" s="136"/>
    </row>
    <row r="441" spans="1:9">
      <c r="A441" s="142"/>
      <c r="B441" s="168"/>
      <c r="C441" s="28"/>
      <c r="D441" s="141"/>
      <c r="E441" s="135"/>
      <c r="F441" s="136"/>
      <c r="G441" s="137"/>
      <c r="H441" s="234"/>
      <c r="I441" s="136"/>
    </row>
    <row r="442" spans="1:9">
      <c r="A442" s="142"/>
      <c r="B442" s="168"/>
      <c r="C442" s="28"/>
      <c r="D442" s="141"/>
      <c r="E442" s="135"/>
      <c r="F442" s="136"/>
      <c r="G442" s="137"/>
      <c r="H442" s="234"/>
      <c r="I442" s="136"/>
    </row>
    <row r="443" spans="1:9">
      <c r="A443" s="142"/>
      <c r="B443" s="168"/>
      <c r="C443" s="28"/>
      <c r="D443" s="141"/>
      <c r="E443" s="135"/>
      <c r="F443" s="136"/>
      <c r="G443" s="137"/>
      <c r="H443" s="234"/>
      <c r="I443" s="136"/>
    </row>
    <row r="444" spans="1:9">
      <c r="A444" s="142"/>
      <c r="B444" s="168"/>
      <c r="C444" s="28"/>
      <c r="D444" s="141"/>
      <c r="E444" s="135"/>
      <c r="F444" s="136"/>
      <c r="G444" s="137"/>
      <c r="H444" s="234"/>
      <c r="I444" s="136"/>
    </row>
    <row r="445" spans="1:9">
      <c r="A445" s="142"/>
      <c r="B445" s="168"/>
      <c r="C445" s="28"/>
      <c r="D445" s="141"/>
      <c r="E445" s="135"/>
      <c r="F445" s="136"/>
      <c r="G445" s="137"/>
      <c r="H445" s="234"/>
      <c r="I445" s="136"/>
    </row>
    <row r="446" spans="1:9">
      <c r="A446" s="142"/>
      <c r="B446" s="168"/>
      <c r="C446" s="28"/>
      <c r="D446" s="141"/>
      <c r="E446" s="135"/>
      <c r="F446" s="136"/>
      <c r="G446" s="137"/>
      <c r="H446" s="234"/>
      <c r="I446" s="136"/>
    </row>
    <row r="447" spans="1:9">
      <c r="A447" s="142"/>
      <c r="B447" s="168"/>
      <c r="C447" s="28"/>
      <c r="D447" s="141"/>
      <c r="E447" s="135"/>
      <c r="F447" s="136"/>
      <c r="G447" s="137"/>
      <c r="H447" s="234"/>
      <c r="I447" s="136"/>
    </row>
    <row r="448" spans="1:9">
      <c r="A448" s="142"/>
      <c r="B448" s="168"/>
      <c r="C448" s="28"/>
      <c r="D448" s="141"/>
      <c r="E448" s="135"/>
      <c r="F448" s="136"/>
      <c r="G448" s="137"/>
      <c r="H448" s="234"/>
      <c r="I448" s="136"/>
    </row>
    <row r="449" spans="1:9">
      <c r="A449" s="142"/>
      <c r="B449" s="168"/>
      <c r="C449" s="28"/>
      <c r="D449" s="141"/>
      <c r="E449" s="135"/>
      <c r="F449" s="136"/>
      <c r="G449" s="137"/>
      <c r="H449" s="234"/>
      <c r="I449" s="136"/>
    </row>
    <row r="450" spans="1:9">
      <c r="A450" s="142"/>
      <c r="B450" s="168"/>
      <c r="C450" s="28"/>
      <c r="D450" s="141"/>
      <c r="E450" s="135"/>
      <c r="F450" s="136"/>
      <c r="G450" s="137"/>
      <c r="H450" s="234"/>
      <c r="I450" s="136"/>
    </row>
    <row r="451" spans="1:9">
      <c r="A451" s="142"/>
      <c r="B451" s="168"/>
      <c r="C451" s="28"/>
      <c r="D451" s="141"/>
      <c r="E451" s="135"/>
      <c r="F451" s="136"/>
      <c r="G451" s="137"/>
      <c r="H451" s="234"/>
      <c r="I451" s="136"/>
    </row>
    <row r="452" spans="1:9">
      <c r="A452" s="142"/>
      <c r="B452" s="168"/>
      <c r="C452" s="28"/>
      <c r="D452" s="141"/>
      <c r="E452" s="135"/>
      <c r="F452" s="136"/>
      <c r="G452" s="137"/>
      <c r="H452" s="234"/>
      <c r="I452" s="136"/>
    </row>
    <row r="453" spans="1:9">
      <c r="A453" s="142"/>
      <c r="B453" s="168"/>
      <c r="C453" s="28"/>
      <c r="D453" s="141"/>
      <c r="E453" s="135"/>
      <c r="F453" s="136"/>
      <c r="G453" s="137"/>
      <c r="H453" s="234"/>
      <c r="I453" s="136"/>
    </row>
    <row r="454" spans="1:9">
      <c r="A454" s="142"/>
      <c r="B454" s="168"/>
      <c r="C454" s="28"/>
      <c r="D454" s="141"/>
      <c r="E454" s="135"/>
      <c r="F454" s="136"/>
      <c r="G454" s="137"/>
      <c r="H454" s="234"/>
      <c r="I454" s="136"/>
    </row>
    <row r="455" spans="1:9">
      <c r="A455" s="142"/>
      <c r="B455" s="168"/>
      <c r="C455" s="28"/>
      <c r="D455" s="141"/>
      <c r="E455" s="135"/>
      <c r="F455" s="136"/>
      <c r="G455" s="137"/>
      <c r="H455" s="234"/>
      <c r="I455" s="136"/>
    </row>
    <row r="456" spans="1:9">
      <c r="A456" s="142"/>
      <c r="B456" s="168"/>
      <c r="C456" s="28"/>
      <c r="D456" s="141"/>
      <c r="E456" s="135"/>
      <c r="F456" s="136"/>
      <c r="G456" s="137"/>
      <c r="H456" s="234"/>
      <c r="I456" s="136"/>
    </row>
    <row r="457" spans="1:9">
      <c r="A457" s="142"/>
      <c r="B457" s="168"/>
      <c r="C457" s="28"/>
      <c r="D457" s="141"/>
      <c r="E457" s="135"/>
      <c r="F457" s="136"/>
      <c r="G457" s="137"/>
      <c r="H457" s="234"/>
      <c r="I457" s="136"/>
    </row>
    <row r="458" spans="1:9">
      <c r="A458" s="142"/>
      <c r="B458" s="168"/>
      <c r="C458" s="28"/>
      <c r="D458" s="141"/>
      <c r="E458" s="135"/>
      <c r="F458" s="136"/>
      <c r="G458" s="137"/>
      <c r="H458" s="234"/>
      <c r="I458" s="136"/>
    </row>
    <row r="459" spans="1:9">
      <c r="A459" s="142"/>
      <c r="B459" s="168"/>
      <c r="C459" s="28"/>
      <c r="D459" s="141"/>
      <c r="E459" s="135"/>
      <c r="F459" s="136"/>
      <c r="G459" s="137"/>
      <c r="H459" s="234"/>
      <c r="I459" s="136"/>
    </row>
    <row r="460" spans="1:9">
      <c r="A460" s="142"/>
      <c r="B460" s="168"/>
      <c r="C460" s="28"/>
      <c r="D460" s="141"/>
      <c r="E460" s="135"/>
      <c r="F460" s="136"/>
      <c r="G460" s="137"/>
      <c r="H460" s="234"/>
      <c r="I460" s="136"/>
    </row>
    <row r="461" spans="1:9">
      <c r="A461" s="142"/>
      <c r="B461" s="168"/>
      <c r="C461" s="28"/>
      <c r="D461" s="141"/>
      <c r="E461" s="135"/>
      <c r="F461" s="136"/>
      <c r="G461" s="137"/>
      <c r="H461" s="234"/>
      <c r="I461" s="136"/>
    </row>
    <row r="462" spans="1:9">
      <c r="A462" s="142"/>
      <c r="B462" s="168"/>
      <c r="C462" s="28"/>
      <c r="D462" s="141"/>
      <c r="E462" s="135"/>
      <c r="F462" s="136"/>
      <c r="G462" s="137"/>
      <c r="H462" s="234"/>
      <c r="I462" s="136"/>
    </row>
    <row r="463" spans="1:9">
      <c r="A463" s="142"/>
      <c r="B463" s="168"/>
      <c r="C463" s="28"/>
      <c r="D463" s="141"/>
      <c r="E463" s="135"/>
      <c r="F463" s="136"/>
      <c r="G463" s="137"/>
      <c r="H463" s="234"/>
      <c r="I463" s="136"/>
    </row>
    <row r="464" spans="1:9">
      <c r="A464" s="142"/>
      <c r="B464" s="168"/>
      <c r="C464" s="28"/>
      <c r="D464" s="141"/>
      <c r="E464" s="135"/>
      <c r="F464" s="136"/>
      <c r="G464" s="137"/>
      <c r="H464" s="234"/>
      <c r="I464" s="136"/>
    </row>
    <row r="465" spans="1:9">
      <c r="A465" s="142"/>
      <c r="B465" s="168"/>
      <c r="C465" s="28"/>
      <c r="D465" s="141"/>
      <c r="E465" s="135"/>
      <c r="F465" s="136"/>
      <c r="G465" s="137"/>
      <c r="H465" s="234"/>
      <c r="I465" s="136"/>
    </row>
    <row r="466" spans="1:9">
      <c r="A466" s="142"/>
      <c r="B466" s="168"/>
      <c r="C466" s="28"/>
      <c r="D466" s="141"/>
      <c r="E466" s="135"/>
      <c r="F466" s="136"/>
      <c r="G466" s="137"/>
      <c r="H466" s="234"/>
      <c r="I466" s="136"/>
    </row>
    <row r="467" spans="1:9">
      <c r="A467" s="142"/>
      <c r="B467" s="168"/>
      <c r="C467" s="28"/>
      <c r="D467" s="141"/>
      <c r="E467" s="135"/>
      <c r="F467" s="136"/>
      <c r="G467" s="137"/>
      <c r="H467" s="234"/>
      <c r="I467" s="136"/>
    </row>
    <row r="468" spans="1:9">
      <c r="A468" s="142"/>
      <c r="B468" s="168"/>
      <c r="C468" s="28"/>
      <c r="D468" s="141"/>
      <c r="E468" s="135"/>
      <c r="F468" s="136"/>
      <c r="G468" s="137"/>
      <c r="H468" s="234"/>
      <c r="I468" s="136"/>
    </row>
    <row r="469" spans="1:9">
      <c r="A469" s="142"/>
      <c r="B469" s="168"/>
      <c r="C469" s="28"/>
      <c r="D469" s="141"/>
      <c r="E469" s="135"/>
      <c r="F469" s="136"/>
      <c r="G469" s="137"/>
      <c r="H469" s="234"/>
      <c r="I469" s="136"/>
    </row>
    <row r="470" spans="1:9">
      <c r="A470" s="142"/>
      <c r="B470" s="168"/>
      <c r="C470" s="28"/>
      <c r="D470" s="141"/>
      <c r="E470" s="135"/>
      <c r="F470" s="136"/>
      <c r="G470" s="137"/>
      <c r="H470" s="234"/>
      <c r="I470" s="136"/>
    </row>
    <row r="471" spans="1:9">
      <c r="A471" s="142"/>
      <c r="B471" s="168"/>
      <c r="C471" s="28"/>
      <c r="D471" s="141"/>
      <c r="E471" s="135"/>
      <c r="F471" s="136"/>
      <c r="G471" s="137"/>
      <c r="H471" s="234"/>
      <c r="I471" s="136"/>
    </row>
    <row r="472" spans="1:9">
      <c r="A472" s="142"/>
      <c r="B472" s="168"/>
      <c r="C472" s="28"/>
      <c r="D472" s="141"/>
      <c r="E472" s="135"/>
      <c r="F472" s="136"/>
      <c r="G472" s="137"/>
      <c r="H472" s="234"/>
      <c r="I472" s="136"/>
    </row>
    <row r="473" spans="1:9">
      <c r="A473" s="142"/>
      <c r="B473" s="168"/>
      <c r="C473" s="28"/>
      <c r="D473" s="141"/>
      <c r="E473" s="135"/>
      <c r="F473" s="136"/>
      <c r="G473" s="137"/>
      <c r="H473" s="234"/>
      <c r="I473" s="136"/>
    </row>
    <row r="474" spans="1:9">
      <c r="A474" s="142"/>
      <c r="B474" s="168"/>
      <c r="C474" s="28"/>
      <c r="D474" s="141"/>
      <c r="E474" s="135"/>
      <c r="F474" s="136"/>
      <c r="G474" s="137"/>
      <c r="H474" s="234"/>
      <c r="I474" s="136"/>
    </row>
    <row r="475" spans="1:9">
      <c r="A475" s="142"/>
      <c r="B475" s="168"/>
      <c r="C475" s="28"/>
      <c r="D475" s="141"/>
      <c r="E475" s="135"/>
      <c r="F475" s="136"/>
      <c r="G475" s="137"/>
      <c r="H475" s="234"/>
      <c r="I475" s="136"/>
    </row>
    <row r="476" spans="1:9">
      <c r="A476" s="142"/>
      <c r="B476" s="168"/>
      <c r="C476" s="28"/>
      <c r="D476" s="141"/>
      <c r="E476" s="135"/>
      <c r="F476" s="136"/>
      <c r="G476" s="137"/>
      <c r="H476" s="234"/>
      <c r="I476" s="136"/>
    </row>
    <row r="477" spans="1:9">
      <c r="A477" s="142"/>
      <c r="B477" s="168"/>
      <c r="C477" s="28"/>
      <c r="D477" s="141"/>
      <c r="E477" s="135"/>
      <c r="F477" s="136"/>
      <c r="G477" s="137"/>
      <c r="H477" s="234"/>
      <c r="I477" s="136"/>
    </row>
    <row r="478" spans="1:9">
      <c r="A478" s="142"/>
      <c r="B478" s="168"/>
      <c r="C478" s="28"/>
      <c r="D478" s="141"/>
      <c r="E478" s="135"/>
      <c r="F478" s="136"/>
      <c r="G478" s="137"/>
      <c r="H478" s="234"/>
      <c r="I478" s="136"/>
    </row>
    <row r="479" spans="1:9">
      <c r="A479" s="142"/>
      <c r="B479" s="168"/>
      <c r="C479" s="28"/>
      <c r="D479" s="141"/>
      <c r="E479" s="135"/>
      <c r="F479" s="136"/>
      <c r="G479" s="137"/>
      <c r="H479" s="234"/>
      <c r="I479" s="136"/>
    </row>
    <row r="480" spans="1:9">
      <c r="A480" s="142"/>
      <c r="B480" s="168"/>
      <c r="C480" s="28"/>
      <c r="D480" s="141"/>
      <c r="E480" s="135"/>
      <c r="F480" s="136"/>
      <c r="G480" s="137"/>
      <c r="H480" s="234"/>
      <c r="I480" s="136"/>
    </row>
    <row r="481" spans="1:9">
      <c r="A481" s="142"/>
      <c r="B481" s="168"/>
      <c r="C481" s="28"/>
      <c r="D481" s="141"/>
      <c r="E481" s="135"/>
      <c r="F481" s="136"/>
      <c r="G481" s="137"/>
      <c r="H481" s="234"/>
      <c r="I481" s="136"/>
    </row>
    <row r="482" spans="1:9">
      <c r="A482" s="142"/>
      <c r="B482" s="168"/>
      <c r="C482" s="28"/>
      <c r="D482" s="141"/>
      <c r="E482" s="135"/>
      <c r="F482" s="136"/>
      <c r="G482" s="137"/>
      <c r="H482" s="234"/>
      <c r="I482" s="136"/>
    </row>
    <row r="483" spans="1:9">
      <c r="A483" s="142"/>
      <c r="B483" s="168"/>
      <c r="C483" s="28"/>
      <c r="D483" s="141"/>
      <c r="E483" s="135"/>
      <c r="F483" s="136"/>
      <c r="G483" s="137"/>
      <c r="H483" s="234"/>
      <c r="I483" s="136"/>
    </row>
    <row r="484" spans="1:9">
      <c r="A484" s="142"/>
      <c r="B484" s="168"/>
      <c r="C484" s="28"/>
      <c r="D484" s="141"/>
      <c r="E484" s="135"/>
      <c r="F484" s="136"/>
      <c r="G484" s="137"/>
      <c r="H484" s="234"/>
      <c r="I484" s="136"/>
    </row>
    <row r="485" spans="1:9">
      <c r="A485" s="142"/>
      <c r="B485" s="168"/>
      <c r="C485" s="28"/>
      <c r="D485" s="141"/>
      <c r="E485" s="135"/>
      <c r="F485" s="136"/>
      <c r="G485" s="137"/>
      <c r="H485" s="234"/>
      <c r="I485" s="136"/>
    </row>
    <row r="486" spans="1:9">
      <c r="A486" s="142"/>
      <c r="B486" s="168"/>
      <c r="C486" s="28"/>
      <c r="D486" s="141"/>
      <c r="E486" s="135"/>
      <c r="F486" s="136"/>
      <c r="G486" s="137"/>
      <c r="H486" s="234"/>
      <c r="I486" s="136"/>
    </row>
    <row r="487" spans="1:9">
      <c r="A487" s="142"/>
      <c r="B487" s="168"/>
      <c r="C487" s="28"/>
      <c r="D487" s="141"/>
      <c r="E487" s="135"/>
      <c r="F487" s="136"/>
      <c r="G487" s="137"/>
      <c r="H487" s="234"/>
      <c r="I487" s="136"/>
    </row>
    <row r="488" spans="1:9">
      <c r="A488" s="142"/>
      <c r="B488" s="168"/>
      <c r="C488" s="28"/>
      <c r="D488" s="141"/>
      <c r="E488" s="135"/>
      <c r="F488" s="136"/>
      <c r="G488" s="137"/>
      <c r="H488" s="234"/>
      <c r="I488" s="136"/>
    </row>
    <row r="489" spans="1:9">
      <c r="A489" s="142"/>
      <c r="B489" s="168"/>
      <c r="C489" s="28"/>
      <c r="D489" s="141"/>
      <c r="E489" s="135"/>
      <c r="F489" s="136"/>
      <c r="G489" s="137"/>
      <c r="H489" s="234"/>
      <c r="I489" s="136"/>
    </row>
    <row r="490" spans="1:9">
      <c r="A490" s="142"/>
      <c r="B490" s="168"/>
      <c r="C490" s="28"/>
      <c r="D490" s="141"/>
      <c r="E490" s="135"/>
      <c r="F490" s="136"/>
      <c r="G490" s="137"/>
      <c r="H490" s="234"/>
      <c r="I490" s="136"/>
    </row>
    <row r="491" spans="1:9">
      <c r="A491" s="142"/>
      <c r="B491" s="168"/>
      <c r="C491" s="28"/>
      <c r="D491" s="141"/>
      <c r="E491" s="135"/>
      <c r="F491" s="136"/>
      <c r="G491" s="137"/>
      <c r="H491" s="234"/>
      <c r="I491" s="136"/>
    </row>
    <row r="492" spans="1:9">
      <c r="A492" s="142"/>
      <c r="B492" s="168"/>
      <c r="C492" s="28"/>
      <c r="D492" s="141"/>
      <c r="E492" s="135"/>
      <c r="F492" s="136"/>
      <c r="G492" s="137"/>
      <c r="H492" s="234"/>
      <c r="I492" s="136"/>
    </row>
    <row r="493" spans="1:9">
      <c r="A493" s="142"/>
      <c r="B493" s="168"/>
      <c r="C493" s="28"/>
      <c r="D493" s="141"/>
      <c r="E493" s="135"/>
      <c r="F493" s="136"/>
      <c r="G493" s="137"/>
      <c r="H493" s="234"/>
      <c r="I493" s="136"/>
    </row>
    <row r="494" spans="1:9">
      <c r="A494" s="142"/>
      <c r="B494" s="168"/>
      <c r="C494" s="28"/>
      <c r="D494" s="141"/>
      <c r="E494" s="135"/>
      <c r="F494" s="136"/>
      <c r="G494" s="137"/>
      <c r="H494" s="234"/>
      <c r="I494" s="136"/>
    </row>
    <row r="495" spans="1:9">
      <c r="A495" s="142"/>
      <c r="B495" s="168"/>
      <c r="C495" s="28"/>
      <c r="D495" s="141"/>
      <c r="E495" s="135"/>
      <c r="F495" s="136"/>
      <c r="G495" s="137"/>
      <c r="H495" s="234"/>
      <c r="I495" s="136"/>
    </row>
    <row r="496" spans="1:9">
      <c r="A496" s="142"/>
      <c r="B496" s="168"/>
      <c r="C496" s="28"/>
      <c r="D496" s="141"/>
      <c r="E496" s="135"/>
      <c r="F496" s="136"/>
      <c r="G496" s="137"/>
      <c r="H496" s="234"/>
      <c r="I496" s="136"/>
    </row>
    <row r="497" spans="1:9">
      <c r="A497" s="142"/>
      <c r="B497" s="168"/>
      <c r="C497" s="28"/>
      <c r="D497" s="141"/>
      <c r="E497" s="135"/>
      <c r="F497" s="136"/>
      <c r="G497" s="137"/>
      <c r="H497" s="234"/>
      <c r="I497" s="136"/>
    </row>
    <row r="498" spans="1:9">
      <c r="A498" s="142"/>
      <c r="B498" s="168"/>
      <c r="C498" s="28"/>
      <c r="D498" s="141"/>
      <c r="E498" s="135"/>
      <c r="F498" s="136"/>
      <c r="G498" s="137"/>
      <c r="H498" s="234"/>
      <c r="I498" s="136"/>
    </row>
    <row r="499" spans="1:9">
      <c r="A499" s="142"/>
      <c r="B499" s="168"/>
      <c r="C499" s="28"/>
      <c r="D499" s="141"/>
      <c r="E499" s="135"/>
      <c r="F499" s="136"/>
      <c r="G499" s="137"/>
      <c r="H499" s="234"/>
      <c r="I499" s="136"/>
    </row>
    <row r="500" spans="1:9">
      <c r="A500" s="142"/>
      <c r="B500" s="168"/>
      <c r="C500" s="28"/>
      <c r="D500" s="141"/>
      <c r="E500" s="135"/>
      <c r="F500" s="136"/>
      <c r="G500" s="137"/>
      <c r="H500" s="234"/>
      <c r="I500" s="136"/>
    </row>
    <row r="501" spans="1:9">
      <c r="A501" s="142"/>
      <c r="B501" s="168"/>
      <c r="C501" s="28"/>
      <c r="D501" s="141"/>
      <c r="E501" s="135"/>
      <c r="F501" s="136"/>
      <c r="G501" s="137"/>
      <c r="H501" s="234"/>
      <c r="I501" s="136"/>
    </row>
    <row r="502" spans="1:9">
      <c r="A502" s="142"/>
      <c r="B502" s="168"/>
      <c r="C502" s="28"/>
      <c r="D502" s="141"/>
      <c r="E502" s="135"/>
      <c r="F502" s="136"/>
      <c r="G502" s="137"/>
      <c r="H502" s="234"/>
      <c r="I502" s="136"/>
    </row>
    <row r="503" spans="1:9">
      <c r="A503" s="142"/>
      <c r="B503" s="168"/>
      <c r="C503" s="28"/>
      <c r="D503" s="141"/>
      <c r="E503" s="135"/>
      <c r="F503" s="136"/>
      <c r="G503" s="137"/>
      <c r="H503" s="234"/>
      <c r="I503" s="136"/>
    </row>
    <row r="504" spans="1:9">
      <c r="A504" s="142"/>
      <c r="B504" s="168"/>
      <c r="C504" s="28"/>
      <c r="D504" s="141"/>
      <c r="E504" s="135"/>
      <c r="F504" s="136"/>
      <c r="G504" s="137"/>
      <c r="H504" s="234"/>
      <c r="I504" s="136"/>
    </row>
    <row r="505" spans="1:9">
      <c r="A505" s="142"/>
      <c r="B505" s="168"/>
      <c r="C505" s="28"/>
      <c r="D505" s="141"/>
      <c r="E505" s="135"/>
      <c r="F505" s="136"/>
      <c r="G505" s="137"/>
      <c r="H505" s="234"/>
      <c r="I505" s="136"/>
    </row>
    <row r="506" spans="1:9">
      <c r="A506" s="142"/>
      <c r="B506" s="168"/>
      <c r="C506" s="28"/>
      <c r="D506" s="141"/>
      <c r="E506" s="135"/>
      <c r="F506" s="136"/>
      <c r="G506" s="137"/>
      <c r="H506" s="234"/>
      <c r="I506" s="136"/>
    </row>
    <row r="507" spans="1:9">
      <c r="A507" s="142"/>
      <c r="B507" s="168"/>
      <c r="C507" s="28"/>
      <c r="D507" s="141"/>
      <c r="E507" s="135"/>
      <c r="F507" s="136"/>
      <c r="G507" s="137"/>
      <c r="H507" s="234"/>
      <c r="I507" s="136"/>
    </row>
    <row r="508" spans="1:9">
      <c r="A508" s="142"/>
      <c r="B508" s="168"/>
      <c r="C508" s="28"/>
      <c r="D508" s="141"/>
      <c r="E508" s="135"/>
      <c r="F508" s="136"/>
      <c r="G508" s="137"/>
      <c r="H508" s="234"/>
      <c r="I508" s="136"/>
    </row>
    <row r="509" spans="1:9">
      <c r="A509" s="142"/>
      <c r="B509" s="168"/>
      <c r="C509" s="28"/>
      <c r="D509" s="141"/>
      <c r="E509" s="135"/>
      <c r="F509" s="136"/>
      <c r="G509" s="137"/>
      <c r="H509" s="234"/>
      <c r="I509" s="136"/>
    </row>
    <row r="510" spans="1:9">
      <c r="A510" s="142"/>
      <c r="B510" s="168"/>
      <c r="C510" s="28"/>
      <c r="D510" s="141"/>
      <c r="E510" s="135"/>
      <c r="F510" s="136"/>
      <c r="G510" s="137"/>
      <c r="H510" s="234"/>
      <c r="I510" s="136"/>
    </row>
    <row r="511" spans="1:9">
      <c r="A511" s="142"/>
      <c r="B511" s="168"/>
      <c r="C511" s="28"/>
      <c r="D511" s="141"/>
      <c r="E511" s="135"/>
      <c r="F511" s="136"/>
      <c r="G511" s="137"/>
      <c r="H511" s="234"/>
      <c r="I511" s="136"/>
    </row>
    <row r="512" spans="1:9">
      <c r="A512" s="142"/>
      <c r="B512" s="168"/>
      <c r="C512" s="28"/>
      <c r="D512" s="141"/>
      <c r="E512" s="135"/>
      <c r="F512" s="136"/>
      <c r="G512" s="137"/>
      <c r="H512" s="234"/>
      <c r="I512" s="136"/>
    </row>
    <row r="513" spans="1:9">
      <c r="A513" s="142"/>
      <c r="B513" s="168"/>
      <c r="C513" s="28"/>
      <c r="D513" s="141"/>
      <c r="E513" s="135"/>
      <c r="F513" s="136"/>
      <c r="G513" s="137"/>
      <c r="H513" s="234"/>
      <c r="I513" s="136"/>
    </row>
  </sheetData>
  <mergeCells count="533">
    <mergeCell ref="AW99:AZ99"/>
    <mergeCell ref="BA99:BD99"/>
    <mergeCell ref="BE99:BH99"/>
    <mergeCell ref="CG97:CJ97"/>
    <mergeCell ref="BI97:BL97"/>
    <mergeCell ref="BM97:BP97"/>
    <mergeCell ref="BQ97:BT97"/>
    <mergeCell ref="BU97:BX97"/>
    <mergeCell ref="BY97:CB97"/>
    <mergeCell ref="CG99:CJ99"/>
    <mergeCell ref="BM96:BP96"/>
    <mergeCell ref="BQ96:BT96"/>
    <mergeCell ref="BU96:BX96"/>
    <mergeCell ref="BY96:CB96"/>
    <mergeCell ref="CC96:CF96"/>
    <mergeCell ref="CC97:CF97"/>
    <mergeCell ref="CG96:CJ96"/>
    <mergeCell ref="BI99:BL99"/>
    <mergeCell ref="BM99:BP99"/>
    <mergeCell ref="BQ99:BT99"/>
    <mergeCell ref="BU99:BX99"/>
    <mergeCell ref="BY99:CB99"/>
    <mergeCell ref="CC99:CF99"/>
    <mergeCell ref="E99:H99"/>
    <mergeCell ref="I99:L99"/>
    <mergeCell ref="M99:P99"/>
    <mergeCell ref="Q99:T99"/>
    <mergeCell ref="U99:X99"/>
    <mergeCell ref="Y99:AB99"/>
    <mergeCell ref="AC99:AF99"/>
    <mergeCell ref="AG99:AJ99"/>
    <mergeCell ref="BE97:BH97"/>
    <mergeCell ref="AG97:AJ97"/>
    <mergeCell ref="AK97:AN97"/>
    <mergeCell ref="AO97:AR97"/>
    <mergeCell ref="AS97:AV97"/>
    <mergeCell ref="AW97:AZ97"/>
    <mergeCell ref="BA97:BD97"/>
    <mergeCell ref="I97:L97"/>
    <mergeCell ref="M97:P97"/>
    <mergeCell ref="Q97:T97"/>
    <mergeCell ref="U97:X97"/>
    <mergeCell ref="Y97:AB97"/>
    <mergeCell ref="AC97:AF97"/>
    <mergeCell ref="AK99:AN99"/>
    <mergeCell ref="AO99:AR99"/>
    <mergeCell ref="AS99:AV99"/>
    <mergeCell ref="BA96:BD96"/>
    <mergeCell ref="BE96:BH96"/>
    <mergeCell ref="BI96:BL96"/>
    <mergeCell ref="Q96:T96"/>
    <mergeCell ref="U96:X96"/>
    <mergeCell ref="Y96:AB96"/>
    <mergeCell ref="AC96:AF96"/>
    <mergeCell ref="AG96:AJ96"/>
    <mergeCell ref="AK96:AN96"/>
    <mergeCell ref="Q84:T84"/>
    <mergeCell ref="U84:X84"/>
    <mergeCell ref="Y84:AB84"/>
    <mergeCell ref="AC84:AF84"/>
    <mergeCell ref="AG84:AJ84"/>
    <mergeCell ref="AK84:AN84"/>
    <mergeCell ref="AO96:AR96"/>
    <mergeCell ref="AS96:AV96"/>
    <mergeCell ref="AW96:AZ96"/>
    <mergeCell ref="BY84:CB84"/>
    <mergeCell ref="CC84:CF84"/>
    <mergeCell ref="CG84:CJ84"/>
    <mergeCell ref="AO84:AR84"/>
    <mergeCell ref="AS84:AV84"/>
    <mergeCell ref="AW84:AZ84"/>
    <mergeCell ref="BA84:BD84"/>
    <mergeCell ref="BE84:BH84"/>
    <mergeCell ref="BI84:BL84"/>
    <mergeCell ref="BM84:BP84"/>
    <mergeCell ref="BQ84:BT84"/>
    <mergeCell ref="BU84:BX84"/>
    <mergeCell ref="A82:D82"/>
    <mergeCell ref="E84:H84"/>
    <mergeCell ref="I84:L84"/>
    <mergeCell ref="M84:P84"/>
    <mergeCell ref="E96:H96"/>
    <mergeCell ref="I96:L96"/>
    <mergeCell ref="M96:P96"/>
    <mergeCell ref="E97:H97"/>
    <mergeCell ref="G77:G78"/>
    <mergeCell ref="H77:H78"/>
    <mergeCell ref="A77:A78"/>
    <mergeCell ref="B77:B78"/>
    <mergeCell ref="C77:C78"/>
    <mergeCell ref="D77:D78"/>
    <mergeCell ref="E77:E78"/>
    <mergeCell ref="F77:F78"/>
    <mergeCell ref="G73:G74"/>
    <mergeCell ref="H73:H74"/>
    <mergeCell ref="A75:A76"/>
    <mergeCell ref="B75:B76"/>
    <mergeCell ref="C75:C76"/>
    <mergeCell ref="D75:D76"/>
    <mergeCell ref="E75:E76"/>
    <mergeCell ref="F75:F76"/>
    <mergeCell ref="G75:G76"/>
    <mergeCell ref="H75:H76"/>
    <mergeCell ref="A73:A74"/>
    <mergeCell ref="B73:B74"/>
    <mergeCell ref="C73:C74"/>
    <mergeCell ref="D73:D74"/>
    <mergeCell ref="E73:E74"/>
    <mergeCell ref="F73:F74"/>
    <mergeCell ref="G69:G70"/>
    <mergeCell ref="H69:H70"/>
    <mergeCell ref="A71:A72"/>
    <mergeCell ref="B71:B72"/>
    <mergeCell ref="C71:C72"/>
    <mergeCell ref="D71:D72"/>
    <mergeCell ref="E71:E72"/>
    <mergeCell ref="F71:F72"/>
    <mergeCell ref="G71:G72"/>
    <mergeCell ref="H71:H72"/>
    <mergeCell ref="A69:A70"/>
    <mergeCell ref="B69:B70"/>
    <mergeCell ref="C69:C70"/>
    <mergeCell ref="D69:D70"/>
    <mergeCell ref="E69:E70"/>
    <mergeCell ref="F69:F70"/>
    <mergeCell ref="G65:G66"/>
    <mergeCell ref="H65:H66"/>
    <mergeCell ref="A67:A68"/>
    <mergeCell ref="B67:B68"/>
    <mergeCell ref="C67:C68"/>
    <mergeCell ref="D67:D68"/>
    <mergeCell ref="E67:E68"/>
    <mergeCell ref="F67:F68"/>
    <mergeCell ref="G67:G68"/>
    <mergeCell ref="H67:H68"/>
    <mergeCell ref="A65:A66"/>
    <mergeCell ref="B65:B66"/>
    <mergeCell ref="C65:C66"/>
    <mergeCell ref="D65:D66"/>
    <mergeCell ref="E65:E66"/>
    <mergeCell ref="F65:F66"/>
    <mergeCell ref="G61:G62"/>
    <mergeCell ref="H61:H62"/>
    <mergeCell ref="A63:A64"/>
    <mergeCell ref="B63:B64"/>
    <mergeCell ref="C63:C64"/>
    <mergeCell ref="D63:D64"/>
    <mergeCell ref="E63:E64"/>
    <mergeCell ref="F63:F64"/>
    <mergeCell ref="G63:G64"/>
    <mergeCell ref="H63:H64"/>
    <mergeCell ref="A61:A62"/>
    <mergeCell ref="B61:B62"/>
    <mergeCell ref="C61:C62"/>
    <mergeCell ref="D61:D62"/>
    <mergeCell ref="E61:E62"/>
    <mergeCell ref="F61:F62"/>
    <mergeCell ref="G57:G58"/>
    <mergeCell ref="H57:H58"/>
    <mergeCell ref="A59:A60"/>
    <mergeCell ref="B59:B60"/>
    <mergeCell ref="C59:C60"/>
    <mergeCell ref="D59:D60"/>
    <mergeCell ref="E59:E60"/>
    <mergeCell ref="F59:F60"/>
    <mergeCell ref="G59:G60"/>
    <mergeCell ref="H59:H60"/>
    <mergeCell ref="A57:A58"/>
    <mergeCell ref="B57:B58"/>
    <mergeCell ref="C57:C58"/>
    <mergeCell ref="D57:D58"/>
    <mergeCell ref="E57:E58"/>
    <mergeCell ref="F57:F58"/>
    <mergeCell ref="G53:G54"/>
    <mergeCell ref="H53:H54"/>
    <mergeCell ref="A55:A56"/>
    <mergeCell ref="B55:B56"/>
    <mergeCell ref="C55:C56"/>
    <mergeCell ref="D55:D56"/>
    <mergeCell ref="E55:E56"/>
    <mergeCell ref="F55:F56"/>
    <mergeCell ref="G55:G56"/>
    <mergeCell ref="H55:H56"/>
    <mergeCell ref="A53:A54"/>
    <mergeCell ref="B53:B54"/>
    <mergeCell ref="C53:C54"/>
    <mergeCell ref="D53:D54"/>
    <mergeCell ref="E53:E54"/>
    <mergeCell ref="F53:F54"/>
    <mergeCell ref="G49:G50"/>
    <mergeCell ref="H49:H50"/>
    <mergeCell ref="A51:A52"/>
    <mergeCell ref="B51:B52"/>
    <mergeCell ref="C51:C52"/>
    <mergeCell ref="D51:D52"/>
    <mergeCell ref="E51:E52"/>
    <mergeCell ref="F51:F52"/>
    <mergeCell ref="G51:G52"/>
    <mergeCell ref="H51:H52"/>
    <mergeCell ref="A49:A50"/>
    <mergeCell ref="B49:B50"/>
    <mergeCell ref="C49:C50"/>
    <mergeCell ref="D49:D50"/>
    <mergeCell ref="E49:E50"/>
    <mergeCell ref="F49:F50"/>
    <mergeCell ref="G45:G46"/>
    <mergeCell ref="H45:H46"/>
    <mergeCell ref="A47:A48"/>
    <mergeCell ref="B47:B48"/>
    <mergeCell ref="C47:C48"/>
    <mergeCell ref="D47:D48"/>
    <mergeCell ref="E47:E48"/>
    <mergeCell ref="F47:F48"/>
    <mergeCell ref="G47:G48"/>
    <mergeCell ref="H47:H48"/>
    <mergeCell ref="A45:A46"/>
    <mergeCell ref="B45:B46"/>
    <mergeCell ref="C45:C46"/>
    <mergeCell ref="D45:D46"/>
    <mergeCell ref="E45:E46"/>
    <mergeCell ref="F45:F46"/>
    <mergeCell ref="G41:G42"/>
    <mergeCell ref="H41:H42"/>
    <mergeCell ref="A43:A44"/>
    <mergeCell ref="B43:B44"/>
    <mergeCell ref="C43:C44"/>
    <mergeCell ref="D43:D44"/>
    <mergeCell ref="E43:E44"/>
    <mergeCell ref="F43:F44"/>
    <mergeCell ref="G43:G44"/>
    <mergeCell ref="H43:H44"/>
    <mergeCell ref="A41:A42"/>
    <mergeCell ref="B41:B42"/>
    <mergeCell ref="C41:C42"/>
    <mergeCell ref="D41:D42"/>
    <mergeCell ref="E41:E42"/>
    <mergeCell ref="F41:F42"/>
    <mergeCell ref="G37:G38"/>
    <mergeCell ref="H37:H38"/>
    <mergeCell ref="A39:A40"/>
    <mergeCell ref="B39:B40"/>
    <mergeCell ref="C39:C40"/>
    <mergeCell ref="D39:D40"/>
    <mergeCell ref="E39:E40"/>
    <mergeCell ref="F39:F40"/>
    <mergeCell ref="G39:G40"/>
    <mergeCell ref="H39:H40"/>
    <mergeCell ref="A37:A38"/>
    <mergeCell ref="B37:B38"/>
    <mergeCell ref="C37:C38"/>
    <mergeCell ref="D37:D38"/>
    <mergeCell ref="E37:E38"/>
    <mergeCell ref="F37:F38"/>
    <mergeCell ref="G33:G34"/>
    <mergeCell ref="H33:H34"/>
    <mergeCell ref="A35:A36"/>
    <mergeCell ref="B35:B36"/>
    <mergeCell ref="C35:C36"/>
    <mergeCell ref="D35:D36"/>
    <mergeCell ref="E35:E36"/>
    <mergeCell ref="F35:F36"/>
    <mergeCell ref="G35:G36"/>
    <mergeCell ref="H35:H36"/>
    <mergeCell ref="A33:A34"/>
    <mergeCell ref="B33:B34"/>
    <mergeCell ref="C33:C34"/>
    <mergeCell ref="D33:D34"/>
    <mergeCell ref="E33:E34"/>
    <mergeCell ref="F33:F34"/>
    <mergeCell ref="G29:G30"/>
    <mergeCell ref="H29:H30"/>
    <mergeCell ref="A31:A32"/>
    <mergeCell ref="B31:B32"/>
    <mergeCell ref="C31:C32"/>
    <mergeCell ref="D31:D32"/>
    <mergeCell ref="E31:E32"/>
    <mergeCell ref="F31:F32"/>
    <mergeCell ref="G31:G32"/>
    <mergeCell ref="H31:H32"/>
    <mergeCell ref="A29:A30"/>
    <mergeCell ref="B29:B30"/>
    <mergeCell ref="C29:C30"/>
    <mergeCell ref="D29:D30"/>
    <mergeCell ref="E29:E30"/>
    <mergeCell ref="F29:F30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5:A26"/>
    <mergeCell ref="B25:B26"/>
    <mergeCell ref="C25:C26"/>
    <mergeCell ref="D25:D26"/>
    <mergeCell ref="E25:E26"/>
    <mergeCell ref="F25:F26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21:A22"/>
    <mergeCell ref="B21:B22"/>
    <mergeCell ref="C21:C22"/>
    <mergeCell ref="D21:D22"/>
    <mergeCell ref="E21:E22"/>
    <mergeCell ref="F21:F22"/>
    <mergeCell ref="H17:H18"/>
    <mergeCell ref="A19:A20"/>
    <mergeCell ref="B19:B20"/>
    <mergeCell ref="C19:C20"/>
    <mergeCell ref="D19:D20"/>
    <mergeCell ref="E19:E20"/>
    <mergeCell ref="F19:F20"/>
    <mergeCell ref="G19:G20"/>
    <mergeCell ref="H19:H20"/>
    <mergeCell ref="A17:A18"/>
    <mergeCell ref="B17:B18"/>
    <mergeCell ref="C17:C18"/>
    <mergeCell ref="D17:D18"/>
    <mergeCell ref="E17:E18"/>
    <mergeCell ref="F17:F18"/>
    <mergeCell ref="A15:A16"/>
    <mergeCell ref="B15:B16"/>
    <mergeCell ref="C15:C16"/>
    <mergeCell ref="D15:D16"/>
    <mergeCell ref="E15:E16"/>
    <mergeCell ref="F15:F16"/>
    <mergeCell ref="G15:G16"/>
    <mergeCell ref="H15:H16"/>
    <mergeCell ref="A13:A14"/>
    <mergeCell ref="B13:B14"/>
    <mergeCell ref="C13:C14"/>
    <mergeCell ref="D13:D14"/>
    <mergeCell ref="E13:E14"/>
    <mergeCell ref="F13:F14"/>
    <mergeCell ref="A11:A12"/>
    <mergeCell ref="B11:B12"/>
    <mergeCell ref="C11:C12"/>
    <mergeCell ref="D11:D12"/>
    <mergeCell ref="E11:E12"/>
    <mergeCell ref="F11:F12"/>
    <mergeCell ref="G11:G12"/>
    <mergeCell ref="H11:H12"/>
    <mergeCell ref="A9:A10"/>
    <mergeCell ref="B9:B10"/>
    <mergeCell ref="C9:C10"/>
    <mergeCell ref="D9:D10"/>
    <mergeCell ref="E9:E10"/>
    <mergeCell ref="F9:F10"/>
    <mergeCell ref="A7:A8"/>
    <mergeCell ref="B7:B8"/>
    <mergeCell ref="C7:C8"/>
    <mergeCell ref="D7:D8"/>
    <mergeCell ref="E7:E8"/>
    <mergeCell ref="F7:F8"/>
    <mergeCell ref="G7:G8"/>
    <mergeCell ref="H7:H8"/>
    <mergeCell ref="A5:A6"/>
    <mergeCell ref="B5:B6"/>
    <mergeCell ref="C5:C6"/>
    <mergeCell ref="D5:D6"/>
    <mergeCell ref="E5:E6"/>
    <mergeCell ref="F5:F6"/>
    <mergeCell ref="A3:A4"/>
    <mergeCell ref="B3:B4"/>
    <mergeCell ref="C3:C4"/>
    <mergeCell ref="D3:D4"/>
    <mergeCell ref="E3:E4"/>
    <mergeCell ref="F3:F4"/>
    <mergeCell ref="G3:G4"/>
    <mergeCell ref="H3:H4"/>
    <mergeCell ref="CO1:CO2"/>
    <mergeCell ref="BW1:BW2"/>
    <mergeCell ref="BX1:BX2"/>
    <mergeCell ref="BY1:BY2"/>
    <mergeCell ref="BZ1:BZ2"/>
    <mergeCell ref="CA1:CA2"/>
    <mergeCell ref="CB1:CB2"/>
    <mergeCell ref="BQ1:BQ2"/>
    <mergeCell ref="BR1:BR2"/>
    <mergeCell ref="BS1:BS2"/>
    <mergeCell ref="BT1:BT2"/>
    <mergeCell ref="BU1:BU2"/>
    <mergeCell ref="BV1:BV2"/>
    <mergeCell ref="BK1:BK2"/>
    <mergeCell ref="BL1:BL2"/>
    <mergeCell ref="BM1:BM2"/>
    <mergeCell ref="CP1:CP2"/>
    <mergeCell ref="CI1:CI2"/>
    <mergeCell ref="CJ1:CJ2"/>
    <mergeCell ref="CK1:CK2"/>
    <mergeCell ref="CL1:CL2"/>
    <mergeCell ref="CM1:CM2"/>
    <mergeCell ref="CN1:CN2"/>
    <mergeCell ref="CC1:CC2"/>
    <mergeCell ref="CD1:CD2"/>
    <mergeCell ref="CE1:CE2"/>
    <mergeCell ref="CF1:CF2"/>
    <mergeCell ref="CG1:CG2"/>
    <mergeCell ref="CH1:CH2"/>
    <mergeCell ref="BN1:BN2"/>
    <mergeCell ref="BO1:BO2"/>
    <mergeCell ref="BP1:BP2"/>
    <mergeCell ref="BE1:BE2"/>
    <mergeCell ref="BF1:BF2"/>
    <mergeCell ref="BG1:BG2"/>
    <mergeCell ref="BH1:BH2"/>
    <mergeCell ref="BI1:BI2"/>
    <mergeCell ref="BJ1:BJ2"/>
    <mergeCell ref="AY1:AY2"/>
    <mergeCell ref="AZ1:AZ2"/>
    <mergeCell ref="BA1:BA2"/>
    <mergeCell ref="BB1:BB2"/>
    <mergeCell ref="BC1:BC2"/>
    <mergeCell ref="BD1:BD2"/>
    <mergeCell ref="AS1:AS2"/>
    <mergeCell ref="AT1:AT2"/>
    <mergeCell ref="AU1:AU2"/>
    <mergeCell ref="AV1:AV2"/>
    <mergeCell ref="AW1:AW2"/>
    <mergeCell ref="AX1:AX2"/>
    <mergeCell ref="AC1:AC2"/>
    <mergeCell ref="AD1:AD2"/>
    <mergeCell ref="AE1:AE2"/>
    <mergeCell ref="AF1:AF2"/>
    <mergeCell ref="U1:U2"/>
    <mergeCell ref="V1:V2"/>
    <mergeCell ref="W1:W2"/>
    <mergeCell ref="X1:X2"/>
    <mergeCell ref="Y1:Y2"/>
    <mergeCell ref="Z1:Z2"/>
    <mergeCell ref="AM1:AM2"/>
    <mergeCell ref="AN1:AN2"/>
    <mergeCell ref="AO1:AO2"/>
    <mergeCell ref="AP1:AP2"/>
    <mergeCell ref="AQ1:AQ2"/>
    <mergeCell ref="AR1:AR2"/>
    <mergeCell ref="AG1:AG2"/>
    <mergeCell ref="AH1:AH2"/>
    <mergeCell ref="AI1:AI2"/>
    <mergeCell ref="AJ1:AJ2"/>
    <mergeCell ref="AK1:AK2"/>
    <mergeCell ref="AL1:AL2"/>
    <mergeCell ref="A1:A2"/>
    <mergeCell ref="B1:B2"/>
    <mergeCell ref="C1:C2"/>
    <mergeCell ref="D1:D2"/>
    <mergeCell ref="E1:E2"/>
    <mergeCell ref="H1:H2"/>
    <mergeCell ref="O1:O2"/>
    <mergeCell ref="P1:P2"/>
    <mergeCell ref="Q1:Q2"/>
    <mergeCell ref="I1:I2"/>
    <mergeCell ref="J1:J2"/>
    <mergeCell ref="K1:K2"/>
    <mergeCell ref="L1:L2"/>
    <mergeCell ref="M1:M2"/>
    <mergeCell ref="N1:N2"/>
    <mergeCell ref="R1:R2"/>
    <mergeCell ref="S1:S2"/>
    <mergeCell ref="T1:T2"/>
    <mergeCell ref="E107:H107"/>
    <mergeCell ref="I107:L107"/>
    <mergeCell ref="M107:P107"/>
    <mergeCell ref="Q107:T107"/>
    <mergeCell ref="U107:X107"/>
    <mergeCell ref="Y107:AB107"/>
    <mergeCell ref="E100:H100"/>
    <mergeCell ref="I100:L100"/>
    <mergeCell ref="M100:P100"/>
    <mergeCell ref="Q100:T100"/>
    <mergeCell ref="U100:X100"/>
    <mergeCell ref="Y100:AB100"/>
    <mergeCell ref="AA1:AA2"/>
    <mergeCell ref="AB1:AB2"/>
    <mergeCell ref="G5:G6"/>
    <mergeCell ref="H5:H6"/>
    <mergeCell ref="G9:G10"/>
    <mergeCell ref="H9:H10"/>
    <mergeCell ref="G13:G14"/>
    <mergeCell ref="H13:H14"/>
    <mergeCell ref="G17:G18"/>
    <mergeCell ref="AC107:AF107"/>
    <mergeCell ref="AG107:AJ107"/>
    <mergeCell ref="AK107:AN107"/>
    <mergeCell ref="AO107:AR107"/>
    <mergeCell ref="AS107:AV107"/>
    <mergeCell ref="AW107:AZ107"/>
    <mergeCell ref="BA107:BD107"/>
    <mergeCell ref="BE107:BH107"/>
    <mergeCell ref="BI107:BL107"/>
    <mergeCell ref="BM107:BP107"/>
    <mergeCell ref="BQ107:BT107"/>
    <mergeCell ref="BU107:BX107"/>
    <mergeCell ref="DI107:DL107"/>
    <mergeCell ref="DM107:DP107"/>
    <mergeCell ref="DQ107:DT107"/>
    <mergeCell ref="DU107:DX107"/>
    <mergeCell ref="BY107:CB107"/>
    <mergeCell ref="CC107:CF107"/>
    <mergeCell ref="CG107:CJ107"/>
    <mergeCell ref="CK107:CN107"/>
    <mergeCell ref="CO107:CR107"/>
    <mergeCell ref="CS107:CV107"/>
    <mergeCell ref="CW107:CZ107"/>
    <mergeCell ref="DA107:DD107"/>
    <mergeCell ref="DE107:DH107"/>
    <mergeCell ref="BM100:BP100"/>
    <mergeCell ref="BQ100:BT100"/>
    <mergeCell ref="BU100:BX100"/>
    <mergeCell ref="BY100:CB100"/>
    <mergeCell ref="CC100:CF100"/>
    <mergeCell ref="CG100:CJ100"/>
    <mergeCell ref="AC100:AF100"/>
    <mergeCell ref="AG100:AJ100"/>
    <mergeCell ref="AK100:AN100"/>
    <mergeCell ref="AO100:AR100"/>
    <mergeCell ref="AS100:AV100"/>
    <mergeCell ref="AW100:AZ100"/>
    <mergeCell ref="BA100:BD100"/>
    <mergeCell ref="BE100:BH100"/>
    <mergeCell ref="BI100:BL100"/>
  </mergeCells>
  <phoneticPr fontId="2" type="noConversion"/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D830"/>
  <sheetViews>
    <sheetView zoomScale="85" zoomScaleNormal="85" workbookViewId="0">
      <pane xSplit="4" ySplit="20" topLeftCell="CF399" activePane="bottomRight" state="frozen"/>
      <selection pane="topRight" activeCell="E1" sqref="E1"/>
      <selection pane="bottomLeft" activeCell="A21" sqref="A21"/>
      <selection pane="bottomRight" activeCell="E410" sqref="E410:H410"/>
    </sheetView>
  </sheetViews>
  <sheetFormatPr defaultColWidth="9" defaultRowHeight="11.25" outlineLevelCol="1"/>
  <cols>
    <col min="1" max="1" width="5" style="290" customWidth="1"/>
    <col min="2" max="2" width="18.625" style="386" customWidth="1"/>
    <col min="3" max="3" width="32.125" style="387" customWidth="1"/>
    <col min="4" max="4" width="17" style="371" customWidth="1"/>
    <col min="5" max="5" width="10.5" style="372" customWidth="1" outlineLevel="1"/>
    <col min="6" max="6" width="9.75" style="373" customWidth="1"/>
    <col min="7" max="7" width="10.25" style="374" customWidth="1"/>
    <col min="8" max="8" width="13.375" style="289" customWidth="1"/>
    <col min="9" max="9" width="12.5" style="373" customWidth="1"/>
    <col min="10" max="10" width="12.5" style="299" customWidth="1"/>
    <col min="11" max="92" width="12.5" style="289" customWidth="1"/>
    <col min="93" max="93" width="13.375" style="289" customWidth="1"/>
    <col min="94" max="94" width="19.125" style="289" customWidth="1"/>
    <col min="95" max="105" width="12.5" style="289" customWidth="1"/>
    <col min="106" max="106" width="12.375" style="289" customWidth="1"/>
    <col min="107" max="107" width="13.25" style="289" customWidth="1"/>
    <col min="108" max="109" width="12.5" style="289" customWidth="1"/>
    <col min="110" max="110" width="17.75" style="289" customWidth="1"/>
    <col min="111" max="111" width="24" style="289" customWidth="1"/>
    <col min="112" max="112" width="9" style="289" customWidth="1"/>
    <col min="113" max="113" width="11.75" style="289" customWidth="1"/>
    <col min="114" max="114" width="8.875" style="289" customWidth="1"/>
    <col min="115" max="115" width="12.375" style="289" customWidth="1"/>
    <col min="116" max="116" width="13" style="289" customWidth="1"/>
    <col min="117" max="117" width="12.375" style="289" customWidth="1"/>
    <col min="118" max="118" width="12.25" style="289" customWidth="1"/>
    <col min="119" max="119" width="12.125" style="289" customWidth="1"/>
    <col min="120" max="120" width="11.625" style="289" customWidth="1"/>
    <col min="121" max="121" width="12" style="289" customWidth="1"/>
    <col min="122" max="122" width="13" style="289" customWidth="1"/>
    <col min="123" max="123" width="11.625" style="289" customWidth="1"/>
    <col min="124" max="125" width="12" style="289" customWidth="1"/>
    <col min="126" max="128" width="11.625" style="289" customWidth="1"/>
    <col min="129" max="129" width="11.125" style="289" customWidth="1"/>
    <col min="130" max="130" width="12" style="289" customWidth="1"/>
    <col min="131" max="131" width="13" style="289" customWidth="1"/>
    <col min="132" max="132" width="13.625" style="289" customWidth="1"/>
    <col min="133" max="133" width="11.875" style="289" customWidth="1"/>
    <col min="134" max="135" width="11.625" style="289" customWidth="1"/>
    <col min="136" max="136" width="12" style="289" customWidth="1"/>
    <col min="137" max="137" width="12.75" style="289" customWidth="1"/>
    <col min="138" max="138" width="11.625" style="289" customWidth="1"/>
    <col min="139" max="139" width="12.125" style="289" customWidth="1"/>
    <col min="140" max="141" width="11.625" style="289" customWidth="1"/>
    <col min="142" max="142" width="12.5" style="289" customWidth="1"/>
    <col min="143" max="317" width="11.625" style="289" customWidth="1"/>
    <col min="318" max="318" width="17.75" style="289" customWidth="1"/>
    <col min="319" max="320" width="9" style="289" customWidth="1"/>
    <col min="321" max="321" width="16.25" style="289" customWidth="1"/>
    <col min="322" max="322" width="24" style="289" customWidth="1"/>
    <col min="323" max="323" width="9" style="289"/>
    <col min="324" max="324" width="11.75" style="289" customWidth="1"/>
    <col min="325" max="325" width="8.875" style="289" customWidth="1"/>
    <col min="326" max="326" width="17.375" style="289" customWidth="1"/>
    <col min="327" max="327" width="13.25" style="289" customWidth="1"/>
    <col min="328" max="328" width="25.75" style="289" customWidth="1"/>
    <col min="329" max="329" width="11.125" style="289" customWidth="1"/>
    <col min="330" max="330" width="10.75" style="289" customWidth="1"/>
    <col min="331" max="331" width="9" style="289" customWidth="1"/>
    <col min="332" max="332" width="9.75" style="289" customWidth="1"/>
    <col min="333" max="333" width="7.5" style="289" customWidth="1"/>
    <col min="334" max="334" width="13.25" style="289" customWidth="1"/>
    <col min="335" max="335" width="11.75" style="289" customWidth="1"/>
    <col min="336" max="336" width="8.875" style="289" customWidth="1"/>
    <col min="337" max="337" width="9.625" style="289" customWidth="1"/>
    <col min="338" max="339" width="11.875" style="289" customWidth="1"/>
    <col min="340" max="340" width="11.5" style="289" customWidth="1"/>
    <col min="341" max="356" width="12.25" style="289" customWidth="1"/>
    <col min="357" max="357" width="13" style="289" customWidth="1"/>
    <col min="358" max="362" width="12.375" style="289" customWidth="1"/>
    <col min="363" max="363" width="13" style="289" customWidth="1"/>
    <col min="364" max="365" width="12.375" style="289" customWidth="1"/>
    <col min="366" max="366" width="13" style="289" customWidth="1"/>
    <col min="367" max="367" width="13.125" style="289" customWidth="1"/>
    <col min="368" max="368" width="13" style="289" customWidth="1"/>
    <col min="369" max="369" width="13.125" style="289" customWidth="1"/>
    <col min="370" max="371" width="12.375" style="289" customWidth="1"/>
    <col min="372" max="372" width="13" style="289" customWidth="1"/>
    <col min="373" max="373" width="12.375" style="289" customWidth="1"/>
    <col min="374" max="374" width="12.25" style="289" customWidth="1"/>
    <col min="375" max="375" width="12.125" style="289" customWidth="1"/>
    <col min="376" max="376" width="11.625" style="289" customWidth="1"/>
    <col min="377" max="377" width="12" style="289" customWidth="1"/>
    <col min="378" max="378" width="13" style="289" customWidth="1"/>
    <col min="379" max="379" width="11.625" style="289" customWidth="1"/>
    <col min="380" max="381" width="12" style="289" customWidth="1"/>
    <col min="382" max="384" width="11.625" style="289" customWidth="1"/>
    <col min="385" max="385" width="11.125" style="289" customWidth="1"/>
    <col min="386" max="386" width="12" style="289" customWidth="1"/>
    <col min="387" max="387" width="13" style="289" customWidth="1"/>
    <col min="388" max="388" width="13.625" style="289" customWidth="1"/>
    <col min="389" max="389" width="11.875" style="289" customWidth="1"/>
    <col min="390" max="391" width="11.625" style="289" customWidth="1"/>
    <col min="392" max="392" width="12" style="289" customWidth="1"/>
    <col min="393" max="393" width="12.75" style="289" customWidth="1"/>
    <col min="394" max="394" width="11.625" style="289" customWidth="1"/>
    <col min="395" max="395" width="12.125" style="289" customWidth="1"/>
    <col min="396" max="397" width="11.625" style="289" customWidth="1"/>
    <col min="398" max="398" width="12.5" style="289" customWidth="1"/>
    <col min="399" max="573" width="11.625" style="289" customWidth="1"/>
    <col min="574" max="574" width="17.75" style="289" customWidth="1"/>
    <col min="575" max="576" width="9" style="289" customWidth="1"/>
    <col min="577" max="577" width="16.25" style="289" customWidth="1"/>
    <col min="578" max="578" width="24" style="289" customWidth="1"/>
    <col min="579" max="579" width="9" style="289"/>
    <col min="580" max="580" width="11.75" style="289" customWidth="1"/>
    <col min="581" max="581" width="8.875" style="289" customWidth="1"/>
    <col min="582" max="582" width="17.375" style="289" customWidth="1"/>
    <col min="583" max="583" width="13.25" style="289" customWidth="1"/>
    <col min="584" max="584" width="25.75" style="289" customWidth="1"/>
    <col min="585" max="585" width="11.125" style="289" customWidth="1"/>
    <col min="586" max="586" width="10.75" style="289" customWidth="1"/>
    <col min="587" max="587" width="9" style="289" customWidth="1"/>
    <col min="588" max="588" width="9.75" style="289" customWidth="1"/>
    <col min="589" max="589" width="7.5" style="289" customWidth="1"/>
    <col min="590" max="590" width="13.25" style="289" customWidth="1"/>
    <col min="591" max="591" width="11.75" style="289" customWidth="1"/>
    <col min="592" max="592" width="8.875" style="289" customWidth="1"/>
    <col min="593" max="593" width="9.625" style="289" customWidth="1"/>
    <col min="594" max="595" width="11.875" style="289" customWidth="1"/>
    <col min="596" max="596" width="11.5" style="289" customWidth="1"/>
    <col min="597" max="612" width="12.25" style="289" customWidth="1"/>
    <col min="613" max="613" width="13" style="289" customWidth="1"/>
    <col min="614" max="618" width="12.375" style="289" customWidth="1"/>
    <col min="619" max="619" width="13" style="289" customWidth="1"/>
    <col min="620" max="621" width="12.375" style="289" customWidth="1"/>
    <col min="622" max="622" width="13" style="289" customWidth="1"/>
    <col min="623" max="623" width="13.125" style="289" customWidth="1"/>
    <col min="624" max="624" width="13" style="289" customWidth="1"/>
    <col min="625" max="625" width="13.125" style="289" customWidth="1"/>
    <col min="626" max="627" width="12.375" style="289" customWidth="1"/>
    <col min="628" max="628" width="13" style="289" customWidth="1"/>
    <col min="629" max="629" width="12.375" style="289" customWidth="1"/>
    <col min="630" max="630" width="12.25" style="289" customWidth="1"/>
    <col min="631" max="631" width="12.125" style="289" customWidth="1"/>
    <col min="632" max="632" width="11.625" style="289" customWidth="1"/>
    <col min="633" max="633" width="12" style="289" customWidth="1"/>
    <col min="634" max="634" width="13" style="289" customWidth="1"/>
    <col min="635" max="635" width="11.625" style="289" customWidth="1"/>
    <col min="636" max="637" width="12" style="289" customWidth="1"/>
    <col min="638" max="640" width="11.625" style="289" customWidth="1"/>
    <col min="641" max="641" width="11.125" style="289" customWidth="1"/>
    <col min="642" max="642" width="12" style="289" customWidth="1"/>
    <col min="643" max="643" width="13" style="289" customWidth="1"/>
    <col min="644" max="644" width="13.625" style="289" customWidth="1"/>
    <col min="645" max="645" width="11.875" style="289" customWidth="1"/>
    <col min="646" max="647" width="11.625" style="289" customWidth="1"/>
    <col min="648" max="648" width="12" style="289" customWidth="1"/>
    <col min="649" max="649" width="12.75" style="289" customWidth="1"/>
    <col min="650" max="650" width="11.625" style="289" customWidth="1"/>
    <col min="651" max="651" width="12.125" style="289" customWidth="1"/>
    <col min="652" max="653" width="11.625" style="289" customWidth="1"/>
    <col min="654" max="654" width="12.5" style="289" customWidth="1"/>
    <col min="655" max="829" width="11.625" style="289" customWidth="1"/>
    <col min="830" max="830" width="17.75" style="289" customWidth="1"/>
    <col min="831" max="832" width="9" style="289" customWidth="1"/>
    <col min="833" max="833" width="16.25" style="289" customWidth="1"/>
    <col min="834" max="834" width="24" style="289" customWidth="1"/>
    <col min="835" max="835" width="9" style="289"/>
    <col min="836" max="836" width="11.75" style="289" customWidth="1"/>
    <col min="837" max="837" width="8.875" style="289" customWidth="1"/>
    <col min="838" max="838" width="17.375" style="289" customWidth="1"/>
    <col min="839" max="839" width="13.25" style="289" customWidth="1"/>
    <col min="840" max="840" width="25.75" style="289" customWidth="1"/>
    <col min="841" max="841" width="11.125" style="289" customWidth="1"/>
    <col min="842" max="842" width="10.75" style="289" customWidth="1"/>
    <col min="843" max="843" width="9" style="289" customWidth="1"/>
    <col min="844" max="844" width="9.75" style="289" customWidth="1"/>
    <col min="845" max="845" width="7.5" style="289" customWidth="1"/>
    <col min="846" max="846" width="13.25" style="289" customWidth="1"/>
    <col min="847" max="847" width="11.75" style="289" customWidth="1"/>
    <col min="848" max="848" width="8.875" style="289" customWidth="1"/>
    <col min="849" max="849" width="9.625" style="289" customWidth="1"/>
    <col min="850" max="851" width="11.875" style="289" customWidth="1"/>
    <col min="852" max="852" width="11.5" style="289" customWidth="1"/>
    <col min="853" max="868" width="12.25" style="289" customWidth="1"/>
    <col min="869" max="869" width="13" style="289" customWidth="1"/>
    <col min="870" max="874" width="12.375" style="289" customWidth="1"/>
    <col min="875" max="875" width="13" style="289" customWidth="1"/>
    <col min="876" max="877" width="12.375" style="289" customWidth="1"/>
    <col min="878" max="878" width="13" style="289" customWidth="1"/>
    <col min="879" max="879" width="13.125" style="289" customWidth="1"/>
    <col min="880" max="880" width="13" style="289" customWidth="1"/>
    <col min="881" max="881" width="13.125" style="289" customWidth="1"/>
    <col min="882" max="883" width="12.375" style="289" customWidth="1"/>
    <col min="884" max="884" width="13" style="289" customWidth="1"/>
    <col min="885" max="885" width="12.375" style="289" customWidth="1"/>
    <col min="886" max="886" width="12.25" style="289" customWidth="1"/>
    <col min="887" max="887" width="12.125" style="289" customWidth="1"/>
    <col min="888" max="888" width="11.625" style="289" customWidth="1"/>
    <col min="889" max="889" width="12" style="289" customWidth="1"/>
    <col min="890" max="890" width="13" style="289" customWidth="1"/>
    <col min="891" max="891" width="11.625" style="289" customWidth="1"/>
    <col min="892" max="893" width="12" style="289" customWidth="1"/>
    <col min="894" max="896" width="11.625" style="289" customWidth="1"/>
    <col min="897" max="897" width="11.125" style="289" customWidth="1"/>
    <col min="898" max="898" width="12" style="289" customWidth="1"/>
    <col min="899" max="899" width="13" style="289" customWidth="1"/>
    <col min="900" max="900" width="13.625" style="289" customWidth="1"/>
    <col min="901" max="901" width="11.875" style="289" customWidth="1"/>
    <col min="902" max="903" width="11.625" style="289" customWidth="1"/>
    <col min="904" max="904" width="12" style="289" customWidth="1"/>
    <col min="905" max="905" width="12.75" style="289" customWidth="1"/>
    <col min="906" max="906" width="11.625" style="289" customWidth="1"/>
    <col min="907" max="907" width="12.125" style="289" customWidth="1"/>
    <col min="908" max="909" width="11.625" style="289" customWidth="1"/>
    <col min="910" max="910" width="12.5" style="289" customWidth="1"/>
    <col min="911" max="1085" width="11.625" style="289" customWidth="1"/>
    <col min="1086" max="1086" width="17.75" style="289" customWidth="1"/>
    <col min="1087" max="1088" width="9" style="289" customWidth="1"/>
    <col min="1089" max="1089" width="16.25" style="289" customWidth="1"/>
    <col min="1090" max="1090" width="24" style="289" customWidth="1"/>
    <col min="1091" max="1091" width="9" style="289"/>
    <col min="1092" max="1092" width="11.75" style="289" customWidth="1"/>
    <col min="1093" max="1093" width="8.875" style="289" customWidth="1"/>
    <col min="1094" max="1094" width="17.375" style="289" customWidth="1"/>
    <col min="1095" max="1095" width="13.25" style="289" customWidth="1"/>
    <col min="1096" max="1096" width="25.75" style="289" customWidth="1"/>
    <col min="1097" max="1097" width="11.125" style="289" customWidth="1"/>
    <col min="1098" max="1098" width="10.75" style="289" customWidth="1"/>
    <col min="1099" max="1099" width="9" style="289" customWidth="1"/>
    <col min="1100" max="1100" width="9.75" style="289" customWidth="1"/>
    <col min="1101" max="1101" width="7.5" style="289" customWidth="1"/>
    <col min="1102" max="1102" width="13.25" style="289" customWidth="1"/>
    <col min="1103" max="1103" width="11.75" style="289" customWidth="1"/>
    <col min="1104" max="1104" width="8.875" style="289" customWidth="1"/>
    <col min="1105" max="1105" width="9.625" style="289" customWidth="1"/>
    <col min="1106" max="1107" width="11.875" style="289" customWidth="1"/>
    <col min="1108" max="1108" width="11.5" style="289" customWidth="1"/>
    <col min="1109" max="1124" width="12.25" style="289" customWidth="1"/>
    <col min="1125" max="1125" width="13" style="289" customWidth="1"/>
    <col min="1126" max="1130" width="12.375" style="289" customWidth="1"/>
    <col min="1131" max="1131" width="13" style="289" customWidth="1"/>
    <col min="1132" max="1133" width="12.375" style="289" customWidth="1"/>
    <col min="1134" max="1134" width="13" style="289" customWidth="1"/>
    <col min="1135" max="1135" width="13.125" style="289" customWidth="1"/>
    <col min="1136" max="1136" width="13" style="289" customWidth="1"/>
    <col min="1137" max="1137" width="13.125" style="289" customWidth="1"/>
    <col min="1138" max="1139" width="12.375" style="289" customWidth="1"/>
    <col min="1140" max="1140" width="13" style="289" customWidth="1"/>
    <col min="1141" max="1141" width="12.375" style="289" customWidth="1"/>
    <col min="1142" max="1142" width="12.25" style="289" customWidth="1"/>
    <col min="1143" max="1143" width="12.125" style="289" customWidth="1"/>
    <col min="1144" max="1144" width="11.625" style="289" customWidth="1"/>
    <col min="1145" max="1145" width="12" style="289" customWidth="1"/>
    <col min="1146" max="1146" width="13" style="289" customWidth="1"/>
    <col min="1147" max="1147" width="11.625" style="289" customWidth="1"/>
    <col min="1148" max="1149" width="12" style="289" customWidth="1"/>
    <col min="1150" max="1152" width="11.625" style="289" customWidth="1"/>
    <col min="1153" max="1153" width="11.125" style="289" customWidth="1"/>
    <col min="1154" max="1154" width="12" style="289" customWidth="1"/>
    <col min="1155" max="1155" width="13" style="289" customWidth="1"/>
    <col min="1156" max="1156" width="13.625" style="289" customWidth="1"/>
    <col min="1157" max="1157" width="11.875" style="289" customWidth="1"/>
    <col min="1158" max="1159" width="11.625" style="289" customWidth="1"/>
    <col min="1160" max="1160" width="12" style="289" customWidth="1"/>
    <col min="1161" max="1161" width="12.75" style="289" customWidth="1"/>
    <col min="1162" max="1162" width="11.625" style="289" customWidth="1"/>
    <col min="1163" max="1163" width="12.125" style="289" customWidth="1"/>
    <col min="1164" max="1165" width="11.625" style="289" customWidth="1"/>
    <col min="1166" max="1166" width="12.5" style="289" customWidth="1"/>
    <col min="1167" max="1341" width="11.625" style="289" customWidth="1"/>
    <col min="1342" max="1342" width="17.75" style="289" customWidth="1"/>
    <col min="1343" max="1344" width="9" style="289" customWidth="1"/>
    <col min="1345" max="1345" width="16.25" style="289" customWidth="1"/>
    <col min="1346" max="1346" width="24" style="289" customWidth="1"/>
    <col min="1347" max="1347" width="9" style="289"/>
    <col min="1348" max="1348" width="11.75" style="289" customWidth="1"/>
    <col min="1349" max="1349" width="8.875" style="289" customWidth="1"/>
    <col min="1350" max="1350" width="17.375" style="289" customWidth="1"/>
    <col min="1351" max="1351" width="13.25" style="289" customWidth="1"/>
    <col min="1352" max="1352" width="25.75" style="289" customWidth="1"/>
    <col min="1353" max="1353" width="11.125" style="289" customWidth="1"/>
    <col min="1354" max="1354" width="10.75" style="289" customWidth="1"/>
    <col min="1355" max="1355" width="9" style="289" customWidth="1"/>
    <col min="1356" max="1356" width="9.75" style="289" customWidth="1"/>
    <col min="1357" max="1357" width="7.5" style="289" customWidth="1"/>
    <col min="1358" max="1358" width="13.25" style="289" customWidth="1"/>
    <col min="1359" max="1359" width="11.75" style="289" customWidth="1"/>
    <col min="1360" max="1360" width="8.875" style="289" customWidth="1"/>
    <col min="1361" max="1361" width="9.625" style="289" customWidth="1"/>
    <col min="1362" max="1363" width="11.875" style="289" customWidth="1"/>
    <col min="1364" max="1364" width="11.5" style="289" customWidth="1"/>
    <col min="1365" max="1380" width="12.25" style="289" customWidth="1"/>
    <col min="1381" max="1381" width="13" style="289" customWidth="1"/>
    <col min="1382" max="1386" width="12.375" style="289" customWidth="1"/>
    <col min="1387" max="1387" width="13" style="289" customWidth="1"/>
    <col min="1388" max="1389" width="12.375" style="289" customWidth="1"/>
    <col min="1390" max="1390" width="13" style="289" customWidth="1"/>
    <col min="1391" max="1391" width="13.125" style="289" customWidth="1"/>
    <col min="1392" max="1392" width="13" style="289" customWidth="1"/>
    <col min="1393" max="1393" width="13.125" style="289" customWidth="1"/>
    <col min="1394" max="1395" width="12.375" style="289" customWidth="1"/>
    <col min="1396" max="1396" width="13" style="289" customWidth="1"/>
    <col min="1397" max="1397" width="12.375" style="289" customWidth="1"/>
    <col min="1398" max="1398" width="12.25" style="289" customWidth="1"/>
    <col min="1399" max="1399" width="12.125" style="289" customWidth="1"/>
    <col min="1400" max="1400" width="11.625" style="289" customWidth="1"/>
    <col min="1401" max="1401" width="12" style="289" customWidth="1"/>
    <col min="1402" max="1402" width="13" style="289" customWidth="1"/>
    <col min="1403" max="1403" width="11.625" style="289" customWidth="1"/>
    <col min="1404" max="1405" width="12" style="289" customWidth="1"/>
    <col min="1406" max="1408" width="11.625" style="289" customWidth="1"/>
    <col min="1409" max="1409" width="11.125" style="289" customWidth="1"/>
    <col min="1410" max="1410" width="12" style="289" customWidth="1"/>
    <col min="1411" max="1411" width="13" style="289" customWidth="1"/>
    <col min="1412" max="1412" width="13.625" style="289" customWidth="1"/>
    <col min="1413" max="1413" width="11.875" style="289" customWidth="1"/>
    <col min="1414" max="1415" width="11.625" style="289" customWidth="1"/>
    <col min="1416" max="1416" width="12" style="289" customWidth="1"/>
    <col min="1417" max="1417" width="12.75" style="289" customWidth="1"/>
    <col min="1418" max="1418" width="11.625" style="289" customWidth="1"/>
    <col min="1419" max="1419" width="12.125" style="289" customWidth="1"/>
    <col min="1420" max="1421" width="11.625" style="289" customWidth="1"/>
    <col min="1422" max="1422" width="12.5" style="289" customWidth="1"/>
    <col min="1423" max="1597" width="11.625" style="289" customWidth="1"/>
    <col min="1598" max="1598" width="17.75" style="289" customWidth="1"/>
    <col min="1599" max="1600" width="9" style="289" customWidth="1"/>
    <col min="1601" max="1601" width="16.25" style="289" customWidth="1"/>
    <col min="1602" max="1602" width="24" style="289" customWidth="1"/>
    <col min="1603" max="1603" width="9" style="289"/>
    <col min="1604" max="1604" width="11.75" style="289" customWidth="1"/>
    <col min="1605" max="1605" width="8.875" style="289" customWidth="1"/>
    <col min="1606" max="1606" width="17.375" style="289" customWidth="1"/>
    <col min="1607" max="1607" width="13.25" style="289" customWidth="1"/>
    <col min="1608" max="1608" width="25.75" style="289" customWidth="1"/>
    <col min="1609" max="1609" width="11.125" style="289" customWidth="1"/>
    <col min="1610" max="1610" width="10.75" style="289" customWidth="1"/>
    <col min="1611" max="1611" width="9" style="289" customWidth="1"/>
    <col min="1612" max="1612" width="9.75" style="289" customWidth="1"/>
    <col min="1613" max="1613" width="7.5" style="289" customWidth="1"/>
    <col min="1614" max="1614" width="13.25" style="289" customWidth="1"/>
    <col min="1615" max="1615" width="11.75" style="289" customWidth="1"/>
    <col min="1616" max="1616" width="8.875" style="289" customWidth="1"/>
    <col min="1617" max="1617" width="9.625" style="289" customWidth="1"/>
    <col min="1618" max="1619" width="11.875" style="289" customWidth="1"/>
    <col min="1620" max="1620" width="11.5" style="289" customWidth="1"/>
    <col min="1621" max="1636" width="12.25" style="289" customWidth="1"/>
    <col min="1637" max="1637" width="13" style="289" customWidth="1"/>
    <col min="1638" max="1642" width="12.375" style="289" customWidth="1"/>
    <col min="1643" max="1643" width="13" style="289" customWidth="1"/>
    <col min="1644" max="1645" width="12.375" style="289" customWidth="1"/>
    <col min="1646" max="1646" width="13" style="289" customWidth="1"/>
    <col min="1647" max="1647" width="13.125" style="289" customWidth="1"/>
    <col min="1648" max="1648" width="13" style="289" customWidth="1"/>
    <col min="1649" max="1649" width="13.125" style="289" customWidth="1"/>
    <col min="1650" max="1651" width="12.375" style="289" customWidth="1"/>
    <col min="1652" max="1652" width="13" style="289" customWidth="1"/>
    <col min="1653" max="1653" width="12.375" style="289" customWidth="1"/>
    <col min="1654" max="1654" width="12.25" style="289" customWidth="1"/>
    <col min="1655" max="1655" width="12.125" style="289" customWidth="1"/>
    <col min="1656" max="1656" width="11.625" style="289" customWidth="1"/>
    <col min="1657" max="1657" width="12" style="289" customWidth="1"/>
    <col min="1658" max="1658" width="13" style="289" customWidth="1"/>
    <col min="1659" max="1659" width="11.625" style="289" customWidth="1"/>
    <col min="1660" max="1661" width="12" style="289" customWidth="1"/>
    <col min="1662" max="1664" width="11.625" style="289" customWidth="1"/>
    <col min="1665" max="1665" width="11.125" style="289" customWidth="1"/>
    <col min="1666" max="1666" width="12" style="289" customWidth="1"/>
    <col min="1667" max="1667" width="13" style="289" customWidth="1"/>
    <col min="1668" max="1668" width="13.625" style="289" customWidth="1"/>
    <col min="1669" max="1669" width="11.875" style="289" customWidth="1"/>
    <col min="1670" max="1671" width="11.625" style="289" customWidth="1"/>
    <col min="1672" max="1672" width="12" style="289" customWidth="1"/>
    <col min="1673" max="1673" width="12.75" style="289" customWidth="1"/>
    <col min="1674" max="1674" width="11.625" style="289" customWidth="1"/>
    <col min="1675" max="1675" width="12.125" style="289" customWidth="1"/>
    <col min="1676" max="1677" width="11.625" style="289" customWidth="1"/>
    <col min="1678" max="1678" width="12.5" style="289" customWidth="1"/>
    <col min="1679" max="1853" width="11.625" style="289" customWidth="1"/>
    <col min="1854" max="1854" width="17.75" style="289" customWidth="1"/>
    <col min="1855" max="1856" width="9" style="289" customWidth="1"/>
    <col min="1857" max="1857" width="16.25" style="289" customWidth="1"/>
    <col min="1858" max="1858" width="24" style="289" customWidth="1"/>
    <col min="1859" max="1859" width="9" style="289"/>
    <col min="1860" max="1860" width="11.75" style="289" customWidth="1"/>
    <col min="1861" max="1861" width="8.875" style="289" customWidth="1"/>
    <col min="1862" max="1862" width="17.375" style="289" customWidth="1"/>
    <col min="1863" max="1863" width="13.25" style="289" customWidth="1"/>
    <col min="1864" max="1864" width="25.75" style="289" customWidth="1"/>
    <col min="1865" max="1865" width="11.125" style="289" customWidth="1"/>
    <col min="1866" max="1866" width="10.75" style="289" customWidth="1"/>
    <col min="1867" max="1867" width="9" style="289" customWidth="1"/>
    <col min="1868" max="1868" width="9.75" style="289" customWidth="1"/>
    <col min="1869" max="1869" width="7.5" style="289" customWidth="1"/>
    <col min="1870" max="1870" width="13.25" style="289" customWidth="1"/>
    <col min="1871" max="1871" width="11.75" style="289" customWidth="1"/>
    <col min="1872" max="1872" width="8.875" style="289" customWidth="1"/>
    <col min="1873" max="1873" width="9.625" style="289" customWidth="1"/>
    <col min="1874" max="1875" width="11.875" style="289" customWidth="1"/>
    <col min="1876" max="1876" width="11.5" style="289" customWidth="1"/>
    <col min="1877" max="1892" width="12.25" style="289" customWidth="1"/>
    <col min="1893" max="1893" width="13" style="289" customWidth="1"/>
    <col min="1894" max="1898" width="12.375" style="289" customWidth="1"/>
    <col min="1899" max="1899" width="13" style="289" customWidth="1"/>
    <col min="1900" max="1901" width="12.375" style="289" customWidth="1"/>
    <col min="1902" max="1902" width="13" style="289" customWidth="1"/>
    <col min="1903" max="1903" width="13.125" style="289" customWidth="1"/>
    <col min="1904" max="1904" width="13" style="289" customWidth="1"/>
    <col min="1905" max="1905" width="13.125" style="289" customWidth="1"/>
    <col min="1906" max="1907" width="12.375" style="289" customWidth="1"/>
    <col min="1908" max="1908" width="13" style="289" customWidth="1"/>
    <col min="1909" max="1909" width="12.375" style="289" customWidth="1"/>
    <col min="1910" max="1910" width="12.25" style="289" customWidth="1"/>
    <col min="1911" max="1911" width="12.125" style="289" customWidth="1"/>
    <col min="1912" max="1912" width="11.625" style="289" customWidth="1"/>
    <col min="1913" max="1913" width="12" style="289" customWidth="1"/>
    <col min="1914" max="1914" width="13" style="289" customWidth="1"/>
    <col min="1915" max="1915" width="11.625" style="289" customWidth="1"/>
    <col min="1916" max="1917" width="12" style="289" customWidth="1"/>
    <col min="1918" max="1920" width="11.625" style="289" customWidth="1"/>
    <col min="1921" max="1921" width="11.125" style="289" customWidth="1"/>
    <col min="1922" max="1922" width="12" style="289" customWidth="1"/>
    <col min="1923" max="1923" width="13" style="289" customWidth="1"/>
    <col min="1924" max="1924" width="13.625" style="289" customWidth="1"/>
    <col min="1925" max="1925" width="11.875" style="289" customWidth="1"/>
    <col min="1926" max="1927" width="11.625" style="289" customWidth="1"/>
    <col min="1928" max="1928" width="12" style="289" customWidth="1"/>
    <col min="1929" max="1929" width="12.75" style="289" customWidth="1"/>
    <col min="1930" max="1930" width="11.625" style="289" customWidth="1"/>
    <col min="1931" max="1931" width="12.125" style="289" customWidth="1"/>
    <col min="1932" max="1933" width="11.625" style="289" customWidth="1"/>
    <col min="1934" max="1934" width="12.5" style="289" customWidth="1"/>
    <col min="1935" max="2109" width="11.625" style="289" customWidth="1"/>
    <col min="2110" max="2110" width="17.75" style="289" customWidth="1"/>
    <col min="2111" max="2112" width="9" style="289" customWidth="1"/>
    <col min="2113" max="2113" width="16.25" style="289" customWidth="1"/>
    <col min="2114" max="2114" width="24" style="289" customWidth="1"/>
    <col min="2115" max="2115" width="9" style="289"/>
    <col min="2116" max="2116" width="11.75" style="289" customWidth="1"/>
    <col min="2117" max="2117" width="8.875" style="289" customWidth="1"/>
    <col min="2118" max="2118" width="17.375" style="289" customWidth="1"/>
    <col min="2119" max="2119" width="13.25" style="289" customWidth="1"/>
    <col min="2120" max="2120" width="25.75" style="289" customWidth="1"/>
    <col min="2121" max="2121" width="11.125" style="289" customWidth="1"/>
    <col min="2122" max="2122" width="10.75" style="289" customWidth="1"/>
    <col min="2123" max="2123" width="9" style="289" customWidth="1"/>
    <col min="2124" max="2124" width="9.75" style="289" customWidth="1"/>
    <col min="2125" max="2125" width="7.5" style="289" customWidth="1"/>
    <col min="2126" max="2126" width="13.25" style="289" customWidth="1"/>
    <col min="2127" max="2127" width="11.75" style="289" customWidth="1"/>
    <col min="2128" max="2128" width="8.875" style="289" customWidth="1"/>
    <col min="2129" max="2129" width="9.625" style="289" customWidth="1"/>
    <col min="2130" max="2131" width="11.875" style="289" customWidth="1"/>
    <col min="2132" max="2132" width="11.5" style="289" customWidth="1"/>
    <col min="2133" max="2148" width="12.25" style="289" customWidth="1"/>
    <col min="2149" max="2149" width="13" style="289" customWidth="1"/>
    <col min="2150" max="2154" width="12.375" style="289" customWidth="1"/>
    <col min="2155" max="2155" width="13" style="289" customWidth="1"/>
    <col min="2156" max="2157" width="12.375" style="289" customWidth="1"/>
    <col min="2158" max="2158" width="13" style="289" customWidth="1"/>
    <col min="2159" max="2159" width="13.125" style="289" customWidth="1"/>
    <col min="2160" max="2160" width="13" style="289" customWidth="1"/>
    <col min="2161" max="2161" width="13.125" style="289" customWidth="1"/>
    <col min="2162" max="2163" width="12.375" style="289" customWidth="1"/>
    <col min="2164" max="2164" width="13" style="289" customWidth="1"/>
    <col min="2165" max="2165" width="12.375" style="289" customWidth="1"/>
    <col min="2166" max="2166" width="12.25" style="289" customWidth="1"/>
    <col min="2167" max="2167" width="12.125" style="289" customWidth="1"/>
    <col min="2168" max="2168" width="11.625" style="289" customWidth="1"/>
    <col min="2169" max="2169" width="12" style="289" customWidth="1"/>
    <col min="2170" max="2170" width="13" style="289" customWidth="1"/>
    <col min="2171" max="2171" width="11.625" style="289" customWidth="1"/>
    <col min="2172" max="2173" width="12" style="289" customWidth="1"/>
    <col min="2174" max="2176" width="11.625" style="289" customWidth="1"/>
    <col min="2177" max="2177" width="11.125" style="289" customWidth="1"/>
    <col min="2178" max="2178" width="12" style="289" customWidth="1"/>
    <col min="2179" max="2179" width="13" style="289" customWidth="1"/>
    <col min="2180" max="2180" width="13.625" style="289" customWidth="1"/>
    <col min="2181" max="2181" width="11.875" style="289" customWidth="1"/>
    <col min="2182" max="2183" width="11.625" style="289" customWidth="1"/>
    <col min="2184" max="2184" width="12" style="289" customWidth="1"/>
    <col min="2185" max="2185" width="12.75" style="289" customWidth="1"/>
    <col min="2186" max="2186" width="11.625" style="289" customWidth="1"/>
    <col min="2187" max="2187" width="12.125" style="289" customWidth="1"/>
    <col min="2188" max="2189" width="11.625" style="289" customWidth="1"/>
    <col min="2190" max="2190" width="12.5" style="289" customWidth="1"/>
    <col min="2191" max="2365" width="11.625" style="289" customWidth="1"/>
    <col min="2366" max="2366" width="17.75" style="289" customWidth="1"/>
    <col min="2367" max="2368" width="9" style="289" customWidth="1"/>
    <col min="2369" max="2369" width="16.25" style="289" customWidth="1"/>
    <col min="2370" max="2370" width="24" style="289" customWidth="1"/>
    <col min="2371" max="2371" width="9" style="289"/>
    <col min="2372" max="2372" width="11.75" style="289" customWidth="1"/>
    <col min="2373" max="2373" width="8.875" style="289" customWidth="1"/>
    <col min="2374" max="2374" width="17.375" style="289" customWidth="1"/>
    <col min="2375" max="2375" width="13.25" style="289" customWidth="1"/>
    <col min="2376" max="2376" width="25.75" style="289" customWidth="1"/>
    <col min="2377" max="2377" width="11.125" style="289" customWidth="1"/>
    <col min="2378" max="2378" width="10.75" style="289" customWidth="1"/>
    <col min="2379" max="2379" width="9" style="289" customWidth="1"/>
    <col min="2380" max="2380" width="9.75" style="289" customWidth="1"/>
    <col min="2381" max="2381" width="7.5" style="289" customWidth="1"/>
    <col min="2382" max="2382" width="13.25" style="289" customWidth="1"/>
    <col min="2383" max="2383" width="11.75" style="289" customWidth="1"/>
    <col min="2384" max="2384" width="8.875" style="289" customWidth="1"/>
    <col min="2385" max="2385" width="9.625" style="289" customWidth="1"/>
    <col min="2386" max="2387" width="11.875" style="289" customWidth="1"/>
    <col min="2388" max="2388" width="11.5" style="289" customWidth="1"/>
    <col min="2389" max="2404" width="12.25" style="289" customWidth="1"/>
    <col min="2405" max="2405" width="13" style="289" customWidth="1"/>
    <col min="2406" max="2410" width="12.375" style="289" customWidth="1"/>
    <col min="2411" max="2411" width="13" style="289" customWidth="1"/>
    <col min="2412" max="2413" width="12.375" style="289" customWidth="1"/>
    <col min="2414" max="2414" width="13" style="289" customWidth="1"/>
    <col min="2415" max="2415" width="13.125" style="289" customWidth="1"/>
    <col min="2416" max="2416" width="13" style="289" customWidth="1"/>
    <col min="2417" max="2417" width="13.125" style="289" customWidth="1"/>
    <col min="2418" max="2419" width="12.375" style="289" customWidth="1"/>
    <col min="2420" max="2420" width="13" style="289" customWidth="1"/>
    <col min="2421" max="2421" width="12.375" style="289" customWidth="1"/>
    <col min="2422" max="2422" width="12.25" style="289" customWidth="1"/>
    <col min="2423" max="2423" width="12.125" style="289" customWidth="1"/>
    <col min="2424" max="2424" width="11.625" style="289" customWidth="1"/>
    <col min="2425" max="2425" width="12" style="289" customWidth="1"/>
    <col min="2426" max="2426" width="13" style="289" customWidth="1"/>
    <col min="2427" max="2427" width="11.625" style="289" customWidth="1"/>
    <col min="2428" max="2429" width="12" style="289" customWidth="1"/>
    <col min="2430" max="2432" width="11.625" style="289" customWidth="1"/>
    <col min="2433" max="2433" width="11.125" style="289" customWidth="1"/>
    <col min="2434" max="2434" width="12" style="289" customWidth="1"/>
    <col min="2435" max="2435" width="13" style="289" customWidth="1"/>
    <col min="2436" max="2436" width="13.625" style="289" customWidth="1"/>
    <col min="2437" max="2437" width="11.875" style="289" customWidth="1"/>
    <col min="2438" max="2439" width="11.625" style="289" customWidth="1"/>
    <col min="2440" max="2440" width="12" style="289" customWidth="1"/>
    <col min="2441" max="2441" width="12.75" style="289" customWidth="1"/>
    <col min="2442" max="2442" width="11.625" style="289" customWidth="1"/>
    <col min="2443" max="2443" width="12.125" style="289" customWidth="1"/>
    <col min="2444" max="2445" width="11.625" style="289" customWidth="1"/>
    <col min="2446" max="2446" width="12.5" style="289" customWidth="1"/>
    <col min="2447" max="2621" width="11.625" style="289" customWidth="1"/>
    <col min="2622" max="2622" width="17.75" style="289" customWidth="1"/>
    <col min="2623" max="2624" width="9" style="289" customWidth="1"/>
    <col min="2625" max="2625" width="16.25" style="289" customWidth="1"/>
    <col min="2626" max="2626" width="24" style="289" customWidth="1"/>
    <col min="2627" max="2627" width="9" style="289"/>
    <col min="2628" max="2628" width="11.75" style="289" customWidth="1"/>
    <col min="2629" max="2629" width="8.875" style="289" customWidth="1"/>
    <col min="2630" max="2630" width="17.375" style="289" customWidth="1"/>
    <col min="2631" max="2631" width="13.25" style="289" customWidth="1"/>
    <col min="2632" max="2632" width="25.75" style="289" customWidth="1"/>
    <col min="2633" max="2633" width="11.125" style="289" customWidth="1"/>
    <col min="2634" max="2634" width="10.75" style="289" customWidth="1"/>
    <col min="2635" max="2635" width="9" style="289" customWidth="1"/>
    <col min="2636" max="2636" width="9.75" style="289" customWidth="1"/>
    <col min="2637" max="2637" width="7.5" style="289" customWidth="1"/>
    <col min="2638" max="2638" width="13.25" style="289" customWidth="1"/>
    <col min="2639" max="2639" width="11.75" style="289" customWidth="1"/>
    <col min="2640" max="2640" width="8.875" style="289" customWidth="1"/>
    <col min="2641" max="2641" width="9.625" style="289" customWidth="1"/>
    <col min="2642" max="2643" width="11.875" style="289" customWidth="1"/>
    <col min="2644" max="2644" width="11.5" style="289" customWidth="1"/>
    <col min="2645" max="2660" width="12.25" style="289" customWidth="1"/>
    <col min="2661" max="2661" width="13" style="289" customWidth="1"/>
    <col min="2662" max="2666" width="12.375" style="289" customWidth="1"/>
    <col min="2667" max="2667" width="13" style="289" customWidth="1"/>
    <col min="2668" max="2669" width="12.375" style="289" customWidth="1"/>
    <col min="2670" max="2670" width="13" style="289" customWidth="1"/>
    <col min="2671" max="2671" width="13.125" style="289" customWidth="1"/>
    <col min="2672" max="2672" width="13" style="289" customWidth="1"/>
    <col min="2673" max="2673" width="13.125" style="289" customWidth="1"/>
    <col min="2674" max="2675" width="12.375" style="289" customWidth="1"/>
    <col min="2676" max="2676" width="13" style="289" customWidth="1"/>
    <col min="2677" max="2677" width="12.375" style="289" customWidth="1"/>
    <col min="2678" max="2678" width="12.25" style="289" customWidth="1"/>
    <col min="2679" max="2679" width="12.125" style="289" customWidth="1"/>
    <col min="2680" max="2680" width="11.625" style="289" customWidth="1"/>
    <col min="2681" max="2681" width="12" style="289" customWidth="1"/>
    <col min="2682" max="2682" width="13" style="289" customWidth="1"/>
    <col min="2683" max="2683" width="11.625" style="289" customWidth="1"/>
    <col min="2684" max="2685" width="12" style="289" customWidth="1"/>
    <col min="2686" max="2688" width="11.625" style="289" customWidth="1"/>
    <col min="2689" max="2689" width="11.125" style="289" customWidth="1"/>
    <col min="2690" max="2690" width="12" style="289" customWidth="1"/>
    <col min="2691" max="2691" width="13" style="289" customWidth="1"/>
    <col min="2692" max="2692" width="13.625" style="289" customWidth="1"/>
    <col min="2693" max="2693" width="11.875" style="289" customWidth="1"/>
    <col min="2694" max="2695" width="11.625" style="289" customWidth="1"/>
    <col min="2696" max="2696" width="12" style="289" customWidth="1"/>
    <col min="2697" max="2697" width="12.75" style="289" customWidth="1"/>
    <col min="2698" max="2698" width="11.625" style="289" customWidth="1"/>
    <col min="2699" max="2699" width="12.125" style="289" customWidth="1"/>
    <col min="2700" max="2701" width="11.625" style="289" customWidth="1"/>
    <col min="2702" max="2702" width="12.5" style="289" customWidth="1"/>
    <col min="2703" max="2877" width="11.625" style="289" customWidth="1"/>
    <col min="2878" max="2878" width="17.75" style="289" customWidth="1"/>
    <col min="2879" max="2880" width="9" style="289" customWidth="1"/>
    <col min="2881" max="2881" width="16.25" style="289" customWidth="1"/>
    <col min="2882" max="2882" width="24" style="289" customWidth="1"/>
    <col min="2883" max="2883" width="9" style="289"/>
    <col min="2884" max="2884" width="11.75" style="289" customWidth="1"/>
    <col min="2885" max="2885" width="8.875" style="289" customWidth="1"/>
    <col min="2886" max="2886" width="17.375" style="289" customWidth="1"/>
    <col min="2887" max="2887" width="13.25" style="289" customWidth="1"/>
    <col min="2888" max="2888" width="25.75" style="289" customWidth="1"/>
    <col min="2889" max="2889" width="11.125" style="289" customWidth="1"/>
    <col min="2890" max="2890" width="10.75" style="289" customWidth="1"/>
    <col min="2891" max="2891" width="9" style="289" customWidth="1"/>
    <col min="2892" max="2892" width="9.75" style="289" customWidth="1"/>
    <col min="2893" max="2893" width="7.5" style="289" customWidth="1"/>
    <col min="2894" max="2894" width="13.25" style="289" customWidth="1"/>
    <col min="2895" max="2895" width="11.75" style="289" customWidth="1"/>
    <col min="2896" max="2896" width="8.875" style="289" customWidth="1"/>
    <col min="2897" max="2897" width="9.625" style="289" customWidth="1"/>
    <col min="2898" max="2899" width="11.875" style="289" customWidth="1"/>
    <col min="2900" max="2900" width="11.5" style="289" customWidth="1"/>
    <col min="2901" max="2916" width="12.25" style="289" customWidth="1"/>
    <col min="2917" max="2917" width="13" style="289" customWidth="1"/>
    <col min="2918" max="2922" width="12.375" style="289" customWidth="1"/>
    <col min="2923" max="2923" width="13" style="289" customWidth="1"/>
    <col min="2924" max="2925" width="12.375" style="289" customWidth="1"/>
    <col min="2926" max="2926" width="13" style="289" customWidth="1"/>
    <col min="2927" max="2927" width="13.125" style="289" customWidth="1"/>
    <col min="2928" max="2928" width="13" style="289" customWidth="1"/>
    <col min="2929" max="2929" width="13.125" style="289" customWidth="1"/>
    <col min="2930" max="2931" width="12.375" style="289" customWidth="1"/>
    <col min="2932" max="2932" width="13" style="289" customWidth="1"/>
    <col min="2933" max="2933" width="12.375" style="289" customWidth="1"/>
    <col min="2934" max="2934" width="12.25" style="289" customWidth="1"/>
    <col min="2935" max="2935" width="12.125" style="289" customWidth="1"/>
    <col min="2936" max="2936" width="11.625" style="289" customWidth="1"/>
    <col min="2937" max="2937" width="12" style="289" customWidth="1"/>
    <col min="2938" max="2938" width="13" style="289" customWidth="1"/>
    <col min="2939" max="2939" width="11.625" style="289" customWidth="1"/>
    <col min="2940" max="2941" width="12" style="289" customWidth="1"/>
    <col min="2942" max="2944" width="11.625" style="289" customWidth="1"/>
    <col min="2945" max="2945" width="11.125" style="289" customWidth="1"/>
    <col min="2946" max="2946" width="12" style="289" customWidth="1"/>
    <col min="2947" max="2947" width="13" style="289" customWidth="1"/>
    <col min="2948" max="2948" width="13.625" style="289" customWidth="1"/>
    <col min="2949" max="2949" width="11.875" style="289" customWidth="1"/>
    <col min="2950" max="2951" width="11.625" style="289" customWidth="1"/>
    <col min="2952" max="2952" width="12" style="289" customWidth="1"/>
    <col min="2953" max="2953" width="12.75" style="289" customWidth="1"/>
    <col min="2954" max="2954" width="11.625" style="289" customWidth="1"/>
    <col min="2955" max="2955" width="12.125" style="289" customWidth="1"/>
    <col min="2956" max="2957" width="11.625" style="289" customWidth="1"/>
    <col min="2958" max="2958" width="12.5" style="289" customWidth="1"/>
    <col min="2959" max="3133" width="11.625" style="289" customWidth="1"/>
    <col min="3134" max="3134" width="17.75" style="289" customWidth="1"/>
    <col min="3135" max="3136" width="9" style="289" customWidth="1"/>
    <col min="3137" max="3137" width="16.25" style="289" customWidth="1"/>
    <col min="3138" max="3138" width="24" style="289" customWidth="1"/>
    <col min="3139" max="3139" width="9" style="289"/>
    <col min="3140" max="3140" width="11.75" style="289" customWidth="1"/>
    <col min="3141" max="3141" width="8.875" style="289" customWidth="1"/>
    <col min="3142" max="3142" width="17.375" style="289" customWidth="1"/>
    <col min="3143" max="3143" width="13.25" style="289" customWidth="1"/>
    <col min="3144" max="3144" width="25.75" style="289" customWidth="1"/>
    <col min="3145" max="3145" width="11.125" style="289" customWidth="1"/>
    <col min="3146" max="3146" width="10.75" style="289" customWidth="1"/>
    <col min="3147" max="3147" width="9" style="289" customWidth="1"/>
    <col min="3148" max="3148" width="9.75" style="289" customWidth="1"/>
    <col min="3149" max="3149" width="7.5" style="289" customWidth="1"/>
    <col min="3150" max="3150" width="13.25" style="289" customWidth="1"/>
    <col min="3151" max="3151" width="11.75" style="289" customWidth="1"/>
    <col min="3152" max="3152" width="8.875" style="289" customWidth="1"/>
    <col min="3153" max="3153" width="9.625" style="289" customWidth="1"/>
    <col min="3154" max="3155" width="11.875" style="289" customWidth="1"/>
    <col min="3156" max="3156" width="11.5" style="289" customWidth="1"/>
    <col min="3157" max="3172" width="12.25" style="289" customWidth="1"/>
    <col min="3173" max="3173" width="13" style="289" customWidth="1"/>
    <col min="3174" max="3178" width="12.375" style="289" customWidth="1"/>
    <col min="3179" max="3179" width="13" style="289" customWidth="1"/>
    <col min="3180" max="3181" width="12.375" style="289" customWidth="1"/>
    <col min="3182" max="3182" width="13" style="289" customWidth="1"/>
    <col min="3183" max="3183" width="13.125" style="289" customWidth="1"/>
    <col min="3184" max="3184" width="13" style="289" customWidth="1"/>
    <col min="3185" max="3185" width="13.125" style="289" customWidth="1"/>
    <col min="3186" max="3187" width="12.375" style="289" customWidth="1"/>
    <col min="3188" max="3188" width="13" style="289" customWidth="1"/>
    <col min="3189" max="3189" width="12.375" style="289" customWidth="1"/>
    <col min="3190" max="3190" width="12.25" style="289" customWidth="1"/>
    <col min="3191" max="3191" width="12.125" style="289" customWidth="1"/>
    <col min="3192" max="3192" width="11.625" style="289" customWidth="1"/>
    <col min="3193" max="3193" width="12" style="289" customWidth="1"/>
    <col min="3194" max="3194" width="13" style="289" customWidth="1"/>
    <col min="3195" max="3195" width="11.625" style="289" customWidth="1"/>
    <col min="3196" max="3197" width="12" style="289" customWidth="1"/>
    <col min="3198" max="3200" width="11.625" style="289" customWidth="1"/>
    <col min="3201" max="3201" width="11.125" style="289" customWidth="1"/>
    <col min="3202" max="3202" width="12" style="289" customWidth="1"/>
    <col min="3203" max="3203" width="13" style="289" customWidth="1"/>
    <col min="3204" max="3204" width="13.625" style="289" customWidth="1"/>
    <col min="3205" max="3205" width="11.875" style="289" customWidth="1"/>
    <col min="3206" max="3207" width="11.625" style="289" customWidth="1"/>
    <col min="3208" max="3208" width="12" style="289" customWidth="1"/>
    <col min="3209" max="3209" width="12.75" style="289" customWidth="1"/>
    <col min="3210" max="3210" width="11.625" style="289" customWidth="1"/>
    <col min="3211" max="3211" width="12.125" style="289" customWidth="1"/>
    <col min="3212" max="3213" width="11.625" style="289" customWidth="1"/>
    <col min="3214" max="3214" width="12.5" style="289" customWidth="1"/>
    <col min="3215" max="3389" width="11.625" style="289" customWidth="1"/>
    <col min="3390" max="3390" width="17.75" style="289" customWidth="1"/>
    <col min="3391" max="3392" width="9" style="289" customWidth="1"/>
    <col min="3393" max="3393" width="16.25" style="289" customWidth="1"/>
    <col min="3394" max="3394" width="24" style="289" customWidth="1"/>
    <col min="3395" max="3395" width="9" style="289"/>
    <col min="3396" max="3396" width="11.75" style="289" customWidth="1"/>
    <col min="3397" max="3397" width="8.875" style="289" customWidth="1"/>
    <col min="3398" max="3398" width="17.375" style="289" customWidth="1"/>
    <col min="3399" max="3399" width="13.25" style="289" customWidth="1"/>
    <col min="3400" max="3400" width="25.75" style="289" customWidth="1"/>
    <col min="3401" max="3401" width="11.125" style="289" customWidth="1"/>
    <col min="3402" max="3402" width="10.75" style="289" customWidth="1"/>
    <col min="3403" max="3403" width="9" style="289" customWidth="1"/>
    <col min="3404" max="3404" width="9.75" style="289" customWidth="1"/>
    <col min="3405" max="3405" width="7.5" style="289" customWidth="1"/>
    <col min="3406" max="3406" width="13.25" style="289" customWidth="1"/>
    <col min="3407" max="3407" width="11.75" style="289" customWidth="1"/>
    <col min="3408" max="3408" width="8.875" style="289" customWidth="1"/>
    <col min="3409" max="3409" width="9.625" style="289" customWidth="1"/>
    <col min="3410" max="3411" width="11.875" style="289" customWidth="1"/>
    <col min="3412" max="3412" width="11.5" style="289" customWidth="1"/>
    <col min="3413" max="3428" width="12.25" style="289" customWidth="1"/>
    <col min="3429" max="3429" width="13" style="289" customWidth="1"/>
    <col min="3430" max="3434" width="12.375" style="289" customWidth="1"/>
    <col min="3435" max="3435" width="13" style="289" customWidth="1"/>
    <col min="3436" max="3437" width="12.375" style="289" customWidth="1"/>
    <col min="3438" max="3438" width="13" style="289" customWidth="1"/>
    <col min="3439" max="3439" width="13.125" style="289" customWidth="1"/>
    <col min="3440" max="3440" width="13" style="289" customWidth="1"/>
    <col min="3441" max="3441" width="13.125" style="289" customWidth="1"/>
    <col min="3442" max="3443" width="12.375" style="289" customWidth="1"/>
    <col min="3444" max="3444" width="13" style="289" customWidth="1"/>
    <col min="3445" max="3445" width="12.375" style="289" customWidth="1"/>
    <col min="3446" max="3446" width="12.25" style="289" customWidth="1"/>
    <col min="3447" max="3447" width="12.125" style="289" customWidth="1"/>
    <col min="3448" max="3448" width="11.625" style="289" customWidth="1"/>
    <col min="3449" max="3449" width="12" style="289" customWidth="1"/>
    <col min="3450" max="3450" width="13" style="289" customWidth="1"/>
    <col min="3451" max="3451" width="11.625" style="289" customWidth="1"/>
    <col min="3452" max="3453" width="12" style="289" customWidth="1"/>
    <col min="3454" max="3456" width="11.625" style="289" customWidth="1"/>
    <col min="3457" max="3457" width="11.125" style="289" customWidth="1"/>
    <col min="3458" max="3458" width="12" style="289" customWidth="1"/>
    <col min="3459" max="3459" width="13" style="289" customWidth="1"/>
    <col min="3460" max="3460" width="13.625" style="289" customWidth="1"/>
    <col min="3461" max="3461" width="11.875" style="289" customWidth="1"/>
    <col min="3462" max="3463" width="11.625" style="289" customWidth="1"/>
    <col min="3464" max="3464" width="12" style="289" customWidth="1"/>
    <col min="3465" max="3465" width="12.75" style="289" customWidth="1"/>
    <col min="3466" max="3466" width="11.625" style="289" customWidth="1"/>
    <col min="3467" max="3467" width="12.125" style="289" customWidth="1"/>
    <col min="3468" max="3469" width="11.625" style="289" customWidth="1"/>
    <col min="3470" max="3470" width="12.5" style="289" customWidth="1"/>
    <col min="3471" max="3645" width="11.625" style="289" customWidth="1"/>
    <col min="3646" max="3646" width="17.75" style="289" customWidth="1"/>
    <col min="3647" max="3648" width="9" style="289" customWidth="1"/>
    <col min="3649" max="3649" width="16.25" style="289" customWidth="1"/>
    <col min="3650" max="3650" width="24" style="289" customWidth="1"/>
    <col min="3651" max="3651" width="9" style="289"/>
    <col min="3652" max="3652" width="11.75" style="289" customWidth="1"/>
    <col min="3653" max="3653" width="8.875" style="289" customWidth="1"/>
    <col min="3654" max="3654" width="17.375" style="289" customWidth="1"/>
    <col min="3655" max="3655" width="13.25" style="289" customWidth="1"/>
    <col min="3656" max="3656" width="25.75" style="289" customWidth="1"/>
    <col min="3657" max="3657" width="11.125" style="289" customWidth="1"/>
    <col min="3658" max="3658" width="10.75" style="289" customWidth="1"/>
    <col min="3659" max="3659" width="9" style="289" customWidth="1"/>
    <col min="3660" max="3660" width="9.75" style="289" customWidth="1"/>
    <col min="3661" max="3661" width="7.5" style="289" customWidth="1"/>
    <col min="3662" max="3662" width="13.25" style="289" customWidth="1"/>
    <col min="3663" max="3663" width="11.75" style="289" customWidth="1"/>
    <col min="3664" max="3664" width="8.875" style="289" customWidth="1"/>
    <col min="3665" max="3665" width="9.625" style="289" customWidth="1"/>
    <col min="3666" max="3667" width="11.875" style="289" customWidth="1"/>
    <col min="3668" max="3668" width="11.5" style="289" customWidth="1"/>
    <col min="3669" max="3684" width="12.25" style="289" customWidth="1"/>
    <col min="3685" max="3685" width="13" style="289" customWidth="1"/>
    <col min="3686" max="3690" width="12.375" style="289" customWidth="1"/>
    <col min="3691" max="3691" width="13" style="289" customWidth="1"/>
    <col min="3692" max="3693" width="12.375" style="289" customWidth="1"/>
    <col min="3694" max="3694" width="13" style="289" customWidth="1"/>
    <col min="3695" max="3695" width="13.125" style="289" customWidth="1"/>
    <col min="3696" max="3696" width="13" style="289" customWidth="1"/>
    <col min="3697" max="3697" width="13.125" style="289" customWidth="1"/>
    <col min="3698" max="3699" width="12.375" style="289" customWidth="1"/>
    <col min="3700" max="3700" width="13" style="289" customWidth="1"/>
    <col min="3701" max="3701" width="12.375" style="289" customWidth="1"/>
    <col min="3702" max="3702" width="12.25" style="289" customWidth="1"/>
    <col min="3703" max="3703" width="12.125" style="289" customWidth="1"/>
    <col min="3704" max="3704" width="11.625" style="289" customWidth="1"/>
    <col min="3705" max="3705" width="12" style="289" customWidth="1"/>
    <col min="3706" max="3706" width="13" style="289" customWidth="1"/>
    <col min="3707" max="3707" width="11.625" style="289" customWidth="1"/>
    <col min="3708" max="3709" width="12" style="289" customWidth="1"/>
    <col min="3710" max="3712" width="11.625" style="289" customWidth="1"/>
    <col min="3713" max="3713" width="11.125" style="289" customWidth="1"/>
    <col min="3714" max="3714" width="12" style="289" customWidth="1"/>
    <col min="3715" max="3715" width="13" style="289" customWidth="1"/>
    <col min="3716" max="3716" width="13.625" style="289" customWidth="1"/>
    <col min="3717" max="3717" width="11.875" style="289" customWidth="1"/>
    <col min="3718" max="3719" width="11.625" style="289" customWidth="1"/>
    <col min="3720" max="3720" width="12" style="289" customWidth="1"/>
    <col min="3721" max="3721" width="12.75" style="289" customWidth="1"/>
    <col min="3722" max="3722" width="11.625" style="289" customWidth="1"/>
    <col min="3723" max="3723" width="12.125" style="289" customWidth="1"/>
    <col min="3724" max="3725" width="11.625" style="289" customWidth="1"/>
    <col min="3726" max="3726" width="12.5" style="289" customWidth="1"/>
    <col min="3727" max="3901" width="11.625" style="289" customWidth="1"/>
    <col min="3902" max="3902" width="17.75" style="289" customWidth="1"/>
    <col min="3903" max="3904" width="9" style="289" customWidth="1"/>
    <col min="3905" max="3905" width="16.25" style="289" customWidth="1"/>
    <col min="3906" max="3906" width="24" style="289" customWidth="1"/>
    <col min="3907" max="3907" width="9" style="289"/>
    <col min="3908" max="3908" width="11.75" style="289" customWidth="1"/>
    <col min="3909" max="3909" width="8.875" style="289" customWidth="1"/>
    <col min="3910" max="3910" width="17.375" style="289" customWidth="1"/>
    <col min="3911" max="3911" width="13.25" style="289" customWidth="1"/>
    <col min="3912" max="3912" width="25.75" style="289" customWidth="1"/>
    <col min="3913" max="3913" width="11.125" style="289" customWidth="1"/>
    <col min="3914" max="3914" width="10.75" style="289" customWidth="1"/>
    <col min="3915" max="3915" width="9" style="289" customWidth="1"/>
    <col min="3916" max="3916" width="9.75" style="289" customWidth="1"/>
    <col min="3917" max="3917" width="7.5" style="289" customWidth="1"/>
    <col min="3918" max="3918" width="13.25" style="289" customWidth="1"/>
    <col min="3919" max="3919" width="11.75" style="289" customWidth="1"/>
    <col min="3920" max="3920" width="8.875" style="289" customWidth="1"/>
    <col min="3921" max="3921" width="9.625" style="289" customWidth="1"/>
    <col min="3922" max="3923" width="11.875" style="289" customWidth="1"/>
    <col min="3924" max="3924" width="11.5" style="289" customWidth="1"/>
    <col min="3925" max="3940" width="12.25" style="289" customWidth="1"/>
    <col min="3941" max="3941" width="13" style="289" customWidth="1"/>
    <col min="3942" max="3946" width="12.375" style="289" customWidth="1"/>
    <col min="3947" max="3947" width="13" style="289" customWidth="1"/>
    <col min="3948" max="3949" width="12.375" style="289" customWidth="1"/>
    <col min="3950" max="3950" width="13" style="289" customWidth="1"/>
    <col min="3951" max="3951" width="13.125" style="289" customWidth="1"/>
    <col min="3952" max="3952" width="13" style="289" customWidth="1"/>
    <col min="3953" max="3953" width="13.125" style="289" customWidth="1"/>
    <col min="3954" max="3955" width="12.375" style="289" customWidth="1"/>
    <col min="3956" max="3956" width="13" style="289" customWidth="1"/>
    <col min="3957" max="3957" width="12.375" style="289" customWidth="1"/>
    <col min="3958" max="3958" width="12.25" style="289" customWidth="1"/>
    <col min="3959" max="3959" width="12.125" style="289" customWidth="1"/>
    <col min="3960" max="3960" width="11.625" style="289" customWidth="1"/>
    <col min="3961" max="3961" width="12" style="289" customWidth="1"/>
    <col min="3962" max="3962" width="13" style="289" customWidth="1"/>
    <col min="3963" max="3963" width="11.625" style="289" customWidth="1"/>
    <col min="3964" max="3965" width="12" style="289" customWidth="1"/>
    <col min="3966" max="3968" width="11.625" style="289" customWidth="1"/>
    <col min="3969" max="3969" width="11.125" style="289" customWidth="1"/>
    <col min="3970" max="3970" width="12" style="289" customWidth="1"/>
    <col min="3971" max="3971" width="13" style="289" customWidth="1"/>
    <col min="3972" max="3972" width="13.625" style="289" customWidth="1"/>
    <col min="3973" max="3973" width="11.875" style="289" customWidth="1"/>
    <col min="3974" max="3975" width="11.625" style="289" customWidth="1"/>
    <col min="3976" max="3976" width="12" style="289" customWidth="1"/>
    <col min="3977" max="3977" width="12.75" style="289" customWidth="1"/>
    <col min="3978" max="3978" width="11.625" style="289" customWidth="1"/>
    <col min="3979" max="3979" width="12.125" style="289" customWidth="1"/>
    <col min="3980" max="3981" width="11.625" style="289" customWidth="1"/>
    <col min="3982" max="3982" width="12.5" style="289" customWidth="1"/>
    <col min="3983" max="4157" width="11.625" style="289" customWidth="1"/>
    <col min="4158" max="4158" width="17.75" style="289" customWidth="1"/>
    <col min="4159" max="4160" width="9" style="289" customWidth="1"/>
    <col min="4161" max="4161" width="16.25" style="289" customWidth="1"/>
    <col min="4162" max="4162" width="24" style="289" customWidth="1"/>
    <col min="4163" max="4163" width="9" style="289"/>
    <col min="4164" max="4164" width="11.75" style="289" customWidth="1"/>
    <col min="4165" max="4165" width="8.875" style="289" customWidth="1"/>
    <col min="4166" max="4166" width="17.375" style="289" customWidth="1"/>
    <col min="4167" max="4167" width="13.25" style="289" customWidth="1"/>
    <col min="4168" max="4168" width="25.75" style="289" customWidth="1"/>
    <col min="4169" max="4169" width="11.125" style="289" customWidth="1"/>
    <col min="4170" max="4170" width="10.75" style="289" customWidth="1"/>
    <col min="4171" max="4171" width="9" style="289" customWidth="1"/>
    <col min="4172" max="4172" width="9.75" style="289" customWidth="1"/>
    <col min="4173" max="4173" width="7.5" style="289" customWidth="1"/>
    <col min="4174" max="4174" width="13.25" style="289" customWidth="1"/>
    <col min="4175" max="4175" width="11.75" style="289" customWidth="1"/>
    <col min="4176" max="4176" width="8.875" style="289" customWidth="1"/>
    <col min="4177" max="4177" width="9.625" style="289" customWidth="1"/>
    <col min="4178" max="4179" width="11.875" style="289" customWidth="1"/>
    <col min="4180" max="4180" width="11.5" style="289" customWidth="1"/>
    <col min="4181" max="4196" width="12.25" style="289" customWidth="1"/>
    <col min="4197" max="4197" width="13" style="289" customWidth="1"/>
    <col min="4198" max="4202" width="12.375" style="289" customWidth="1"/>
    <col min="4203" max="4203" width="13" style="289" customWidth="1"/>
    <col min="4204" max="4205" width="12.375" style="289" customWidth="1"/>
    <col min="4206" max="4206" width="13" style="289" customWidth="1"/>
    <col min="4207" max="4207" width="13.125" style="289" customWidth="1"/>
    <col min="4208" max="4208" width="13" style="289" customWidth="1"/>
    <col min="4209" max="4209" width="13.125" style="289" customWidth="1"/>
    <col min="4210" max="4211" width="12.375" style="289" customWidth="1"/>
    <col min="4212" max="4212" width="13" style="289" customWidth="1"/>
    <col min="4213" max="4213" width="12.375" style="289" customWidth="1"/>
    <col min="4214" max="4214" width="12.25" style="289" customWidth="1"/>
    <col min="4215" max="4215" width="12.125" style="289" customWidth="1"/>
    <col min="4216" max="4216" width="11.625" style="289" customWidth="1"/>
    <col min="4217" max="4217" width="12" style="289" customWidth="1"/>
    <col min="4218" max="4218" width="13" style="289" customWidth="1"/>
    <col min="4219" max="4219" width="11.625" style="289" customWidth="1"/>
    <col min="4220" max="4221" width="12" style="289" customWidth="1"/>
    <col min="4222" max="4224" width="11.625" style="289" customWidth="1"/>
    <col min="4225" max="4225" width="11.125" style="289" customWidth="1"/>
    <col min="4226" max="4226" width="12" style="289" customWidth="1"/>
    <col min="4227" max="4227" width="13" style="289" customWidth="1"/>
    <col min="4228" max="4228" width="13.625" style="289" customWidth="1"/>
    <col min="4229" max="4229" width="11.875" style="289" customWidth="1"/>
    <col min="4230" max="4231" width="11.625" style="289" customWidth="1"/>
    <col min="4232" max="4232" width="12" style="289" customWidth="1"/>
    <col min="4233" max="4233" width="12.75" style="289" customWidth="1"/>
    <col min="4234" max="4234" width="11.625" style="289" customWidth="1"/>
    <col min="4235" max="4235" width="12.125" style="289" customWidth="1"/>
    <col min="4236" max="4237" width="11.625" style="289" customWidth="1"/>
    <col min="4238" max="4238" width="12.5" style="289" customWidth="1"/>
    <col min="4239" max="4413" width="11.625" style="289" customWidth="1"/>
    <col min="4414" max="4414" width="17.75" style="289" customWidth="1"/>
    <col min="4415" max="4416" width="9" style="289" customWidth="1"/>
    <col min="4417" max="4417" width="16.25" style="289" customWidth="1"/>
    <col min="4418" max="4418" width="24" style="289" customWidth="1"/>
    <col min="4419" max="4419" width="9" style="289"/>
    <col min="4420" max="4420" width="11.75" style="289" customWidth="1"/>
    <col min="4421" max="4421" width="8.875" style="289" customWidth="1"/>
    <col min="4422" max="4422" width="17.375" style="289" customWidth="1"/>
    <col min="4423" max="4423" width="13.25" style="289" customWidth="1"/>
    <col min="4424" max="4424" width="25.75" style="289" customWidth="1"/>
    <col min="4425" max="4425" width="11.125" style="289" customWidth="1"/>
    <col min="4426" max="4426" width="10.75" style="289" customWidth="1"/>
    <col min="4427" max="4427" width="9" style="289" customWidth="1"/>
    <col min="4428" max="4428" width="9.75" style="289" customWidth="1"/>
    <col min="4429" max="4429" width="7.5" style="289" customWidth="1"/>
    <col min="4430" max="4430" width="13.25" style="289" customWidth="1"/>
    <col min="4431" max="4431" width="11.75" style="289" customWidth="1"/>
    <col min="4432" max="4432" width="8.875" style="289" customWidth="1"/>
    <col min="4433" max="4433" width="9.625" style="289" customWidth="1"/>
    <col min="4434" max="4435" width="11.875" style="289" customWidth="1"/>
    <col min="4436" max="4436" width="11.5" style="289" customWidth="1"/>
    <col min="4437" max="4452" width="12.25" style="289" customWidth="1"/>
    <col min="4453" max="4453" width="13" style="289" customWidth="1"/>
    <col min="4454" max="4458" width="12.375" style="289" customWidth="1"/>
    <col min="4459" max="4459" width="13" style="289" customWidth="1"/>
    <col min="4460" max="4461" width="12.375" style="289" customWidth="1"/>
    <col min="4462" max="4462" width="13" style="289" customWidth="1"/>
    <col min="4463" max="4463" width="13.125" style="289" customWidth="1"/>
    <col min="4464" max="4464" width="13" style="289" customWidth="1"/>
    <col min="4465" max="4465" width="13.125" style="289" customWidth="1"/>
    <col min="4466" max="4467" width="12.375" style="289" customWidth="1"/>
    <col min="4468" max="4468" width="13" style="289" customWidth="1"/>
    <col min="4469" max="4469" width="12.375" style="289" customWidth="1"/>
    <col min="4470" max="4470" width="12.25" style="289" customWidth="1"/>
    <col min="4471" max="4471" width="12.125" style="289" customWidth="1"/>
    <col min="4472" max="4472" width="11.625" style="289" customWidth="1"/>
    <col min="4473" max="4473" width="12" style="289" customWidth="1"/>
    <col min="4474" max="4474" width="13" style="289" customWidth="1"/>
    <col min="4475" max="4475" width="11.625" style="289" customWidth="1"/>
    <col min="4476" max="4477" width="12" style="289" customWidth="1"/>
    <col min="4478" max="4480" width="11.625" style="289" customWidth="1"/>
    <col min="4481" max="4481" width="11.125" style="289" customWidth="1"/>
    <col min="4482" max="4482" width="12" style="289" customWidth="1"/>
    <col min="4483" max="4483" width="13" style="289" customWidth="1"/>
    <col min="4484" max="4484" width="13.625" style="289" customWidth="1"/>
    <col min="4485" max="4485" width="11.875" style="289" customWidth="1"/>
    <col min="4486" max="4487" width="11.625" style="289" customWidth="1"/>
    <col min="4488" max="4488" width="12" style="289" customWidth="1"/>
    <col min="4489" max="4489" width="12.75" style="289" customWidth="1"/>
    <col min="4490" max="4490" width="11.625" style="289" customWidth="1"/>
    <col min="4491" max="4491" width="12.125" style="289" customWidth="1"/>
    <col min="4492" max="4493" width="11.625" style="289" customWidth="1"/>
    <col min="4494" max="4494" width="12.5" style="289" customWidth="1"/>
    <col min="4495" max="4669" width="11.625" style="289" customWidth="1"/>
    <col min="4670" max="4670" width="17.75" style="289" customWidth="1"/>
    <col min="4671" max="4672" width="9" style="289" customWidth="1"/>
    <col min="4673" max="4673" width="16.25" style="289" customWidth="1"/>
    <col min="4674" max="4674" width="24" style="289" customWidth="1"/>
    <col min="4675" max="4675" width="9" style="289"/>
    <col min="4676" max="4676" width="11.75" style="289" customWidth="1"/>
    <col min="4677" max="4677" width="8.875" style="289" customWidth="1"/>
    <col min="4678" max="4678" width="17.375" style="289" customWidth="1"/>
    <col min="4679" max="4679" width="13.25" style="289" customWidth="1"/>
    <col min="4680" max="4680" width="25.75" style="289" customWidth="1"/>
    <col min="4681" max="4681" width="11.125" style="289" customWidth="1"/>
    <col min="4682" max="4682" width="10.75" style="289" customWidth="1"/>
    <col min="4683" max="4683" width="9" style="289" customWidth="1"/>
    <col min="4684" max="4684" width="9.75" style="289" customWidth="1"/>
    <col min="4685" max="4685" width="7.5" style="289" customWidth="1"/>
    <col min="4686" max="4686" width="13.25" style="289" customWidth="1"/>
    <col min="4687" max="4687" width="11.75" style="289" customWidth="1"/>
    <col min="4688" max="4688" width="8.875" style="289" customWidth="1"/>
    <col min="4689" max="4689" width="9.625" style="289" customWidth="1"/>
    <col min="4690" max="4691" width="11.875" style="289" customWidth="1"/>
    <col min="4692" max="4692" width="11.5" style="289" customWidth="1"/>
    <col min="4693" max="4708" width="12.25" style="289" customWidth="1"/>
    <col min="4709" max="4709" width="13" style="289" customWidth="1"/>
    <col min="4710" max="4714" width="12.375" style="289" customWidth="1"/>
    <col min="4715" max="4715" width="13" style="289" customWidth="1"/>
    <col min="4716" max="4717" width="12.375" style="289" customWidth="1"/>
    <col min="4718" max="4718" width="13" style="289" customWidth="1"/>
    <col min="4719" max="4719" width="13.125" style="289" customWidth="1"/>
    <col min="4720" max="4720" width="13" style="289" customWidth="1"/>
    <col min="4721" max="4721" width="13.125" style="289" customWidth="1"/>
    <col min="4722" max="4723" width="12.375" style="289" customWidth="1"/>
    <col min="4724" max="4724" width="13" style="289" customWidth="1"/>
    <col min="4725" max="4725" width="12.375" style="289" customWidth="1"/>
    <col min="4726" max="4726" width="12.25" style="289" customWidth="1"/>
    <col min="4727" max="4727" width="12.125" style="289" customWidth="1"/>
    <col min="4728" max="4728" width="11.625" style="289" customWidth="1"/>
    <col min="4729" max="4729" width="12" style="289" customWidth="1"/>
    <col min="4730" max="4730" width="13" style="289" customWidth="1"/>
    <col min="4731" max="4731" width="11.625" style="289" customWidth="1"/>
    <col min="4732" max="4733" width="12" style="289" customWidth="1"/>
    <col min="4734" max="4736" width="11.625" style="289" customWidth="1"/>
    <col min="4737" max="4737" width="11.125" style="289" customWidth="1"/>
    <col min="4738" max="4738" width="12" style="289" customWidth="1"/>
    <col min="4739" max="4739" width="13" style="289" customWidth="1"/>
    <col min="4740" max="4740" width="13.625" style="289" customWidth="1"/>
    <col min="4741" max="4741" width="11.875" style="289" customWidth="1"/>
    <col min="4742" max="4743" width="11.625" style="289" customWidth="1"/>
    <col min="4744" max="4744" width="12" style="289" customWidth="1"/>
    <col min="4745" max="4745" width="12.75" style="289" customWidth="1"/>
    <col min="4746" max="4746" width="11.625" style="289" customWidth="1"/>
    <col min="4747" max="4747" width="12.125" style="289" customWidth="1"/>
    <col min="4748" max="4749" width="11.625" style="289" customWidth="1"/>
    <col min="4750" max="4750" width="12.5" style="289" customWidth="1"/>
    <col min="4751" max="4925" width="11.625" style="289" customWidth="1"/>
    <col min="4926" max="4926" width="17.75" style="289" customWidth="1"/>
    <col min="4927" max="4928" width="9" style="289" customWidth="1"/>
    <col min="4929" max="4929" width="16.25" style="289" customWidth="1"/>
    <col min="4930" max="4930" width="24" style="289" customWidth="1"/>
    <col min="4931" max="4931" width="9" style="289"/>
    <col min="4932" max="4932" width="11.75" style="289" customWidth="1"/>
    <col min="4933" max="4933" width="8.875" style="289" customWidth="1"/>
    <col min="4934" max="4934" width="17.375" style="289" customWidth="1"/>
    <col min="4935" max="4935" width="13.25" style="289" customWidth="1"/>
    <col min="4936" max="4936" width="25.75" style="289" customWidth="1"/>
    <col min="4937" max="4937" width="11.125" style="289" customWidth="1"/>
    <col min="4938" max="4938" width="10.75" style="289" customWidth="1"/>
    <col min="4939" max="4939" width="9" style="289" customWidth="1"/>
    <col min="4940" max="4940" width="9.75" style="289" customWidth="1"/>
    <col min="4941" max="4941" width="7.5" style="289" customWidth="1"/>
    <col min="4942" max="4942" width="13.25" style="289" customWidth="1"/>
    <col min="4943" max="4943" width="11.75" style="289" customWidth="1"/>
    <col min="4944" max="4944" width="8.875" style="289" customWidth="1"/>
    <col min="4945" max="4945" width="9.625" style="289" customWidth="1"/>
    <col min="4946" max="4947" width="11.875" style="289" customWidth="1"/>
    <col min="4948" max="4948" width="11.5" style="289" customWidth="1"/>
    <col min="4949" max="4964" width="12.25" style="289" customWidth="1"/>
    <col min="4965" max="4965" width="13" style="289" customWidth="1"/>
    <col min="4966" max="4970" width="12.375" style="289" customWidth="1"/>
    <col min="4971" max="4971" width="13" style="289" customWidth="1"/>
    <col min="4972" max="4973" width="12.375" style="289" customWidth="1"/>
    <col min="4974" max="4974" width="13" style="289" customWidth="1"/>
    <col min="4975" max="4975" width="13.125" style="289" customWidth="1"/>
    <col min="4976" max="4976" width="13" style="289" customWidth="1"/>
    <col min="4977" max="4977" width="13.125" style="289" customWidth="1"/>
    <col min="4978" max="4979" width="12.375" style="289" customWidth="1"/>
    <col min="4980" max="4980" width="13" style="289" customWidth="1"/>
    <col min="4981" max="4981" width="12.375" style="289" customWidth="1"/>
    <col min="4982" max="4982" width="12.25" style="289" customWidth="1"/>
    <col min="4983" max="4983" width="12.125" style="289" customWidth="1"/>
    <col min="4984" max="4984" width="11.625" style="289" customWidth="1"/>
    <col min="4985" max="4985" width="12" style="289" customWidth="1"/>
    <col min="4986" max="4986" width="13" style="289" customWidth="1"/>
    <col min="4987" max="4987" width="11.625" style="289" customWidth="1"/>
    <col min="4988" max="4989" width="12" style="289" customWidth="1"/>
    <col min="4990" max="4992" width="11.625" style="289" customWidth="1"/>
    <col min="4993" max="4993" width="11.125" style="289" customWidth="1"/>
    <col min="4994" max="4994" width="12" style="289" customWidth="1"/>
    <col min="4995" max="4995" width="13" style="289" customWidth="1"/>
    <col min="4996" max="4996" width="13.625" style="289" customWidth="1"/>
    <col min="4997" max="4997" width="11.875" style="289" customWidth="1"/>
    <col min="4998" max="4999" width="11.625" style="289" customWidth="1"/>
    <col min="5000" max="5000" width="12" style="289" customWidth="1"/>
    <col min="5001" max="5001" width="12.75" style="289" customWidth="1"/>
    <col min="5002" max="5002" width="11.625" style="289" customWidth="1"/>
    <col min="5003" max="5003" width="12.125" style="289" customWidth="1"/>
    <col min="5004" max="5005" width="11.625" style="289" customWidth="1"/>
    <col min="5006" max="5006" width="12.5" style="289" customWidth="1"/>
    <col min="5007" max="5181" width="11.625" style="289" customWidth="1"/>
    <col min="5182" max="5182" width="17.75" style="289" customWidth="1"/>
    <col min="5183" max="5184" width="9" style="289" customWidth="1"/>
    <col min="5185" max="5185" width="16.25" style="289" customWidth="1"/>
    <col min="5186" max="5186" width="24" style="289" customWidth="1"/>
    <col min="5187" max="5187" width="9" style="289"/>
    <col min="5188" max="5188" width="11.75" style="289" customWidth="1"/>
    <col min="5189" max="5189" width="8.875" style="289" customWidth="1"/>
    <col min="5190" max="5190" width="17.375" style="289" customWidth="1"/>
    <col min="5191" max="5191" width="13.25" style="289" customWidth="1"/>
    <col min="5192" max="5192" width="25.75" style="289" customWidth="1"/>
    <col min="5193" max="5193" width="11.125" style="289" customWidth="1"/>
    <col min="5194" max="5194" width="10.75" style="289" customWidth="1"/>
    <col min="5195" max="5195" width="9" style="289" customWidth="1"/>
    <col min="5196" max="5196" width="9.75" style="289" customWidth="1"/>
    <col min="5197" max="5197" width="7.5" style="289" customWidth="1"/>
    <col min="5198" max="5198" width="13.25" style="289" customWidth="1"/>
    <col min="5199" max="5199" width="11.75" style="289" customWidth="1"/>
    <col min="5200" max="5200" width="8.875" style="289" customWidth="1"/>
    <col min="5201" max="5201" width="9.625" style="289" customWidth="1"/>
    <col min="5202" max="5203" width="11.875" style="289" customWidth="1"/>
    <col min="5204" max="5204" width="11.5" style="289" customWidth="1"/>
    <col min="5205" max="5220" width="12.25" style="289" customWidth="1"/>
    <col min="5221" max="5221" width="13" style="289" customWidth="1"/>
    <col min="5222" max="5226" width="12.375" style="289" customWidth="1"/>
    <col min="5227" max="5227" width="13" style="289" customWidth="1"/>
    <col min="5228" max="5229" width="12.375" style="289" customWidth="1"/>
    <col min="5230" max="5230" width="13" style="289" customWidth="1"/>
    <col min="5231" max="5231" width="13.125" style="289" customWidth="1"/>
    <col min="5232" max="5232" width="13" style="289" customWidth="1"/>
    <col min="5233" max="5233" width="13.125" style="289" customWidth="1"/>
    <col min="5234" max="5235" width="12.375" style="289" customWidth="1"/>
    <col min="5236" max="5236" width="13" style="289" customWidth="1"/>
    <col min="5237" max="5237" width="12.375" style="289" customWidth="1"/>
    <col min="5238" max="5238" width="12.25" style="289" customWidth="1"/>
    <col min="5239" max="5239" width="12.125" style="289" customWidth="1"/>
    <col min="5240" max="5240" width="11.625" style="289" customWidth="1"/>
    <col min="5241" max="5241" width="12" style="289" customWidth="1"/>
    <col min="5242" max="5242" width="13" style="289" customWidth="1"/>
    <col min="5243" max="5243" width="11.625" style="289" customWidth="1"/>
    <col min="5244" max="5245" width="12" style="289" customWidth="1"/>
    <col min="5246" max="5248" width="11.625" style="289" customWidth="1"/>
    <col min="5249" max="5249" width="11.125" style="289" customWidth="1"/>
    <col min="5250" max="5250" width="12" style="289" customWidth="1"/>
    <col min="5251" max="5251" width="13" style="289" customWidth="1"/>
    <col min="5252" max="5252" width="13.625" style="289" customWidth="1"/>
    <col min="5253" max="5253" width="11.875" style="289" customWidth="1"/>
    <col min="5254" max="5255" width="11.625" style="289" customWidth="1"/>
    <col min="5256" max="5256" width="12" style="289" customWidth="1"/>
    <col min="5257" max="5257" width="12.75" style="289" customWidth="1"/>
    <col min="5258" max="5258" width="11.625" style="289" customWidth="1"/>
    <col min="5259" max="5259" width="12.125" style="289" customWidth="1"/>
    <col min="5260" max="5261" width="11.625" style="289" customWidth="1"/>
    <col min="5262" max="5262" width="12.5" style="289" customWidth="1"/>
    <col min="5263" max="5437" width="11.625" style="289" customWidth="1"/>
    <col min="5438" max="5438" width="17.75" style="289" customWidth="1"/>
    <col min="5439" max="5440" width="9" style="289" customWidth="1"/>
    <col min="5441" max="5441" width="16.25" style="289" customWidth="1"/>
    <col min="5442" max="5442" width="24" style="289" customWidth="1"/>
    <col min="5443" max="5443" width="9" style="289"/>
    <col min="5444" max="5444" width="11.75" style="289" customWidth="1"/>
    <col min="5445" max="5445" width="8.875" style="289" customWidth="1"/>
    <col min="5446" max="5446" width="17.375" style="289" customWidth="1"/>
    <col min="5447" max="5447" width="13.25" style="289" customWidth="1"/>
    <col min="5448" max="5448" width="25.75" style="289" customWidth="1"/>
    <col min="5449" max="5449" width="11.125" style="289" customWidth="1"/>
    <col min="5450" max="5450" width="10.75" style="289" customWidth="1"/>
    <col min="5451" max="5451" width="9" style="289" customWidth="1"/>
    <col min="5452" max="5452" width="9.75" style="289" customWidth="1"/>
    <col min="5453" max="5453" width="7.5" style="289" customWidth="1"/>
    <col min="5454" max="5454" width="13.25" style="289" customWidth="1"/>
    <col min="5455" max="5455" width="11.75" style="289" customWidth="1"/>
    <col min="5456" max="5456" width="8.875" style="289" customWidth="1"/>
    <col min="5457" max="5457" width="9.625" style="289" customWidth="1"/>
    <col min="5458" max="5459" width="11.875" style="289" customWidth="1"/>
    <col min="5460" max="5460" width="11.5" style="289" customWidth="1"/>
    <col min="5461" max="5476" width="12.25" style="289" customWidth="1"/>
    <col min="5477" max="5477" width="13" style="289" customWidth="1"/>
    <col min="5478" max="5482" width="12.375" style="289" customWidth="1"/>
    <col min="5483" max="5483" width="13" style="289" customWidth="1"/>
    <col min="5484" max="5485" width="12.375" style="289" customWidth="1"/>
    <col min="5486" max="5486" width="13" style="289" customWidth="1"/>
    <col min="5487" max="5487" width="13.125" style="289" customWidth="1"/>
    <col min="5488" max="5488" width="13" style="289" customWidth="1"/>
    <col min="5489" max="5489" width="13.125" style="289" customWidth="1"/>
    <col min="5490" max="5491" width="12.375" style="289" customWidth="1"/>
    <col min="5492" max="5492" width="13" style="289" customWidth="1"/>
    <col min="5493" max="5493" width="12.375" style="289" customWidth="1"/>
    <col min="5494" max="5494" width="12.25" style="289" customWidth="1"/>
    <col min="5495" max="5495" width="12.125" style="289" customWidth="1"/>
    <col min="5496" max="5496" width="11.625" style="289" customWidth="1"/>
    <col min="5497" max="5497" width="12" style="289" customWidth="1"/>
    <col min="5498" max="5498" width="13" style="289" customWidth="1"/>
    <col min="5499" max="5499" width="11.625" style="289" customWidth="1"/>
    <col min="5500" max="5501" width="12" style="289" customWidth="1"/>
    <col min="5502" max="5504" width="11.625" style="289" customWidth="1"/>
    <col min="5505" max="5505" width="11.125" style="289" customWidth="1"/>
    <col min="5506" max="5506" width="12" style="289" customWidth="1"/>
    <col min="5507" max="5507" width="13" style="289" customWidth="1"/>
    <col min="5508" max="5508" width="13.625" style="289" customWidth="1"/>
    <col min="5509" max="5509" width="11.875" style="289" customWidth="1"/>
    <col min="5510" max="5511" width="11.625" style="289" customWidth="1"/>
    <col min="5512" max="5512" width="12" style="289" customWidth="1"/>
    <col min="5513" max="5513" width="12.75" style="289" customWidth="1"/>
    <col min="5514" max="5514" width="11.625" style="289" customWidth="1"/>
    <col min="5515" max="5515" width="12.125" style="289" customWidth="1"/>
    <col min="5516" max="5517" width="11.625" style="289" customWidth="1"/>
    <col min="5518" max="5518" width="12.5" style="289" customWidth="1"/>
    <col min="5519" max="5693" width="11.625" style="289" customWidth="1"/>
    <col min="5694" max="5694" width="17.75" style="289" customWidth="1"/>
    <col min="5695" max="5696" width="9" style="289" customWidth="1"/>
    <col min="5697" max="5697" width="16.25" style="289" customWidth="1"/>
    <col min="5698" max="5698" width="24" style="289" customWidth="1"/>
    <col min="5699" max="5699" width="9" style="289"/>
    <col min="5700" max="5700" width="11.75" style="289" customWidth="1"/>
    <col min="5701" max="5701" width="8.875" style="289" customWidth="1"/>
    <col min="5702" max="5702" width="17.375" style="289" customWidth="1"/>
    <col min="5703" max="5703" width="13.25" style="289" customWidth="1"/>
    <col min="5704" max="5704" width="25.75" style="289" customWidth="1"/>
    <col min="5705" max="5705" width="11.125" style="289" customWidth="1"/>
    <col min="5706" max="5706" width="10.75" style="289" customWidth="1"/>
    <col min="5707" max="5707" width="9" style="289" customWidth="1"/>
    <col min="5708" max="5708" width="9.75" style="289" customWidth="1"/>
    <col min="5709" max="5709" width="7.5" style="289" customWidth="1"/>
    <col min="5710" max="5710" width="13.25" style="289" customWidth="1"/>
    <col min="5711" max="5711" width="11.75" style="289" customWidth="1"/>
    <col min="5712" max="5712" width="8.875" style="289" customWidth="1"/>
    <col min="5713" max="5713" width="9.625" style="289" customWidth="1"/>
    <col min="5714" max="5715" width="11.875" style="289" customWidth="1"/>
    <col min="5716" max="5716" width="11.5" style="289" customWidth="1"/>
    <col min="5717" max="5732" width="12.25" style="289" customWidth="1"/>
    <col min="5733" max="5733" width="13" style="289" customWidth="1"/>
    <col min="5734" max="5738" width="12.375" style="289" customWidth="1"/>
    <col min="5739" max="5739" width="13" style="289" customWidth="1"/>
    <col min="5740" max="5741" width="12.375" style="289" customWidth="1"/>
    <col min="5742" max="5742" width="13" style="289" customWidth="1"/>
    <col min="5743" max="5743" width="13.125" style="289" customWidth="1"/>
    <col min="5744" max="5744" width="13" style="289" customWidth="1"/>
    <col min="5745" max="5745" width="13.125" style="289" customWidth="1"/>
    <col min="5746" max="5747" width="12.375" style="289" customWidth="1"/>
    <col min="5748" max="5748" width="13" style="289" customWidth="1"/>
    <col min="5749" max="5749" width="12.375" style="289" customWidth="1"/>
    <col min="5750" max="5750" width="12.25" style="289" customWidth="1"/>
    <col min="5751" max="5751" width="12.125" style="289" customWidth="1"/>
    <col min="5752" max="5752" width="11.625" style="289" customWidth="1"/>
    <col min="5753" max="5753" width="12" style="289" customWidth="1"/>
    <col min="5754" max="5754" width="13" style="289" customWidth="1"/>
    <col min="5755" max="5755" width="11.625" style="289" customWidth="1"/>
    <col min="5756" max="5757" width="12" style="289" customWidth="1"/>
    <col min="5758" max="5760" width="11.625" style="289" customWidth="1"/>
    <col min="5761" max="5761" width="11.125" style="289" customWidth="1"/>
    <col min="5762" max="5762" width="12" style="289" customWidth="1"/>
    <col min="5763" max="5763" width="13" style="289" customWidth="1"/>
    <col min="5764" max="5764" width="13.625" style="289" customWidth="1"/>
    <col min="5765" max="5765" width="11.875" style="289" customWidth="1"/>
    <col min="5766" max="5767" width="11.625" style="289" customWidth="1"/>
    <col min="5768" max="5768" width="12" style="289" customWidth="1"/>
    <col min="5769" max="5769" width="12.75" style="289" customWidth="1"/>
    <col min="5770" max="5770" width="11.625" style="289" customWidth="1"/>
    <col min="5771" max="5771" width="12.125" style="289" customWidth="1"/>
    <col min="5772" max="5773" width="11.625" style="289" customWidth="1"/>
    <col min="5774" max="5774" width="12.5" style="289" customWidth="1"/>
    <col min="5775" max="5949" width="11.625" style="289" customWidth="1"/>
    <col min="5950" max="5950" width="17.75" style="289" customWidth="1"/>
    <col min="5951" max="5952" width="9" style="289" customWidth="1"/>
    <col min="5953" max="5953" width="16.25" style="289" customWidth="1"/>
    <col min="5954" max="5954" width="24" style="289" customWidth="1"/>
    <col min="5955" max="5955" width="9" style="289"/>
    <col min="5956" max="5956" width="11.75" style="289" customWidth="1"/>
    <col min="5957" max="5957" width="8.875" style="289" customWidth="1"/>
    <col min="5958" max="5958" width="17.375" style="289" customWidth="1"/>
    <col min="5959" max="5959" width="13.25" style="289" customWidth="1"/>
    <col min="5960" max="5960" width="25.75" style="289" customWidth="1"/>
    <col min="5961" max="5961" width="11.125" style="289" customWidth="1"/>
    <col min="5962" max="5962" width="10.75" style="289" customWidth="1"/>
    <col min="5963" max="5963" width="9" style="289" customWidth="1"/>
    <col min="5964" max="5964" width="9.75" style="289" customWidth="1"/>
    <col min="5965" max="5965" width="7.5" style="289" customWidth="1"/>
    <col min="5966" max="5966" width="13.25" style="289" customWidth="1"/>
    <col min="5967" max="5967" width="11.75" style="289" customWidth="1"/>
    <col min="5968" max="5968" width="8.875" style="289" customWidth="1"/>
    <col min="5969" max="5969" width="9.625" style="289" customWidth="1"/>
    <col min="5970" max="5971" width="11.875" style="289" customWidth="1"/>
    <col min="5972" max="5972" width="11.5" style="289" customWidth="1"/>
    <col min="5973" max="5988" width="12.25" style="289" customWidth="1"/>
    <col min="5989" max="5989" width="13" style="289" customWidth="1"/>
    <col min="5990" max="5994" width="12.375" style="289" customWidth="1"/>
    <col min="5995" max="5995" width="13" style="289" customWidth="1"/>
    <col min="5996" max="5997" width="12.375" style="289" customWidth="1"/>
    <col min="5998" max="5998" width="13" style="289" customWidth="1"/>
    <col min="5999" max="5999" width="13.125" style="289" customWidth="1"/>
    <col min="6000" max="6000" width="13" style="289" customWidth="1"/>
    <col min="6001" max="6001" width="13.125" style="289" customWidth="1"/>
    <col min="6002" max="6003" width="12.375" style="289" customWidth="1"/>
    <col min="6004" max="6004" width="13" style="289" customWidth="1"/>
    <col min="6005" max="6005" width="12.375" style="289" customWidth="1"/>
    <col min="6006" max="6006" width="12.25" style="289" customWidth="1"/>
    <col min="6007" max="6007" width="12.125" style="289" customWidth="1"/>
    <col min="6008" max="6008" width="11.625" style="289" customWidth="1"/>
    <col min="6009" max="6009" width="12" style="289" customWidth="1"/>
    <col min="6010" max="6010" width="13" style="289" customWidth="1"/>
    <col min="6011" max="6011" width="11.625" style="289" customWidth="1"/>
    <col min="6012" max="6013" width="12" style="289" customWidth="1"/>
    <col min="6014" max="6016" width="11.625" style="289" customWidth="1"/>
    <col min="6017" max="6017" width="11.125" style="289" customWidth="1"/>
    <col min="6018" max="6018" width="12" style="289" customWidth="1"/>
    <col min="6019" max="6019" width="13" style="289" customWidth="1"/>
    <col min="6020" max="6020" width="13.625" style="289" customWidth="1"/>
    <col min="6021" max="6021" width="11.875" style="289" customWidth="1"/>
    <col min="6022" max="6023" width="11.625" style="289" customWidth="1"/>
    <col min="6024" max="6024" width="12" style="289" customWidth="1"/>
    <col min="6025" max="6025" width="12.75" style="289" customWidth="1"/>
    <col min="6026" max="6026" width="11.625" style="289" customWidth="1"/>
    <col min="6027" max="6027" width="12.125" style="289" customWidth="1"/>
    <col min="6028" max="6029" width="11.625" style="289" customWidth="1"/>
    <col min="6030" max="6030" width="12.5" style="289" customWidth="1"/>
    <col min="6031" max="6205" width="11.625" style="289" customWidth="1"/>
    <col min="6206" max="6206" width="17.75" style="289" customWidth="1"/>
    <col min="6207" max="6208" width="9" style="289" customWidth="1"/>
    <col min="6209" max="6209" width="16.25" style="289" customWidth="1"/>
    <col min="6210" max="6210" width="24" style="289" customWidth="1"/>
    <col min="6211" max="6211" width="9" style="289"/>
    <col min="6212" max="6212" width="11.75" style="289" customWidth="1"/>
    <col min="6213" max="6213" width="8.875" style="289" customWidth="1"/>
    <col min="6214" max="6214" width="17.375" style="289" customWidth="1"/>
    <col min="6215" max="6215" width="13.25" style="289" customWidth="1"/>
    <col min="6216" max="6216" width="25.75" style="289" customWidth="1"/>
    <col min="6217" max="6217" width="11.125" style="289" customWidth="1"/>
    <col min="6218" max="6218" width="10.75" style="289" customWidth="1"/>
    <col min="6219" max="6219" width="9" style="289" customWidth="1"/>
    <col min="6220" max="6220" width="9.75" style="289" customWidth="1"/>
    <col min="6221" max="6221" width="7.5" style="289" customWidth="1"/>
    <col min="6222" max="6222" width="13.25" style="289" customWidth="1"/>
    <col min="6223" max="6223" width="11.75" style="289" customWidth="1"/>
    <col min="6224" max="6224" width="8.875" style="289" customWidth="1"/>
    <col min="6225" max="6225" width="9.625" style="289" customWidth="1"/>
    <col min="6226" max="6227" width="11.875" style="289" customWidth="1"/>
    <col min="6228" max="6228" width="11.5" style="289" customWidth="1"/>
    <col min="6229" max="6244" width="12.25" style="289" customWidth="1"/>
    <col min="6245" max="6245" width="13" style="289" customWidth="1"/>
    <col min="6246" max="6250" width="12.375" style="289" customWidth="1"/>
    <col min="6251" max="6251" width="13" style="289" customWidth="1"/>
    <col min="6252" max="6253" width="12.375" style="289" customWidth="1"/>
    <col min="6254" max="6254" width="13" style="289" customWidth="1"/>
    <col min="6255" max="6255" width="13.125" style="289" customWidth="1"/>
    <col min="6256" max="6256" width="13" style="289" customWidth="1"/>
    <col min="6257" max="6257" width="13.125" style="289" customWidth="1"/>
    <col min="6258" max="6259" width="12.375" style="289" customWidth="1"/>
    <col min="6260" max="6260" width="13" style="289" customWidth="1"/>
    <col min="6261" max="6261" width="12.375" style="289" customWidth="1"/>
    <col min="6262" max="6262" width="12.25" style="289" customWidth="1"/>
    <col min="6263" max="6263" width="12.125" style="289" customWidth="1"/>
    <col min="6264" max="6264" width="11.625" style="289" customWidth="1"/>
    <col min="6265" max="6265" width="12" style="289" customWidth="1"/>
    <col min="6266" max="6266" width="13" style="289" customWidth="1"/>
    <col min="6267" max="6267" width="11.625" style="289" customWidth="1"/>
    <col min="6268" max="6269" width="12" style="289" customWidth="1"/>
    <col min="6270" max="6272" width="11.625" style="289" customWidth="1"/>
    <col min="6273" max="6273" width="11.125" style="289" customWidth="1"/>
    <col min="6274" max="6274" width="12" style="289" customWidth="1"/>
    <col min="6275" max="6275" width="13" style="289" customWidth="1"/>
    <col min="6276" max="6276" width="13.625" style="289" customWidth="1"/>
    <col min="6277" max="6277" width="11.875" style="289" customWidth="1"/>
    <col min="6278" max="6279" width="11.625" style="289" customWidth="1"/>
    <col min="6280" max="6280" width="12" style="289" customWidth="1"/>
    <col min="6281" max="6281" width="12.75" style="289" customWidth="1"/>
    <col min="6282" max="6282" width="11.625" style="289" customWidth="1"/>
    <col min="6283" max="6283" width="12.125" style="289" customWidth="1"/>
    <col min="6284" max="6285" width="11.625" style="289" customWidth="1"/>
    <col min="6286" max="6286" width="12.5" style="289" customWidth="1"/>
    <col min="6287" max="6461" width="11.625" style="289" customWidth="1"/>
    <col min="6462" max="6462" width="17.75" style="289" customWidth="1"/>
    <col min="6463" max="6464" width="9" style="289" customWidth="1"/>
    <col min="6465" max="6465" width="16.25" style="289" customWidth="1"/>
    <col min="6466" max="6466" width="24" style="289" customWidth="1"/>
    <col min="6467" max="6467" width="9" style="289"/>
    <col min="6468" max="6468" width="11.75" style="289" customWidth="1"/>
    <col min="6469" max="6469" width="8.875" style="289" customWidth="1"/>
    <col min="6470" max="6470" width="17.375" style="289" customWidth="1"/>
    <col min="6471" max="6471" width="13.25" style="289" customWidth="1"/>
    <col min="6472" max="6472" width="25.75" style="289" customWidth="1"/>
    <col min="6473" max="6473" width="11.125" style="289" customWidth="1"/>
    <col min="6474" max="6474" width="10.75" style="289" customWidth="1"/>
    <col min="6475" max="6475" width="9" style="289" customWidth="1"/>
    <col min="6476" max="6476" width="9.75" style="289" customWidth="1"/>
    <col min="6477" max="6477" width="7.5" style="289" customWidth="1"/>
    <col min="6478" max="6478" width="13.25" style="289" customWidth="1"/>
    <col min="6479" max="6479" width="11.75" style="289" customWidth="1"/>
    <col min="6480" max="6480" width="8.875" style="289" customWidth="1"/>
    <col min="6481" max="6481" width="9.625" style="289" customWidth="1"/>
    <col min="6482" max="6483" width="11.875" style="289" customWidth="1"/>
    <col min="6484" max="6484" width="11.5" style="289" customWidth="1"/>
    <col min="6485" max="6500" width="12.25" style="289" customWidth="1"/>
    <col min="6501" max="6501" width="13" style="289" customWidth="1"/>
    <col min="6502" max="6506" width="12.375" style="289" customWidth="1"/>
    <col min="6507" max="6507" width="13" style="289" customWidth="1"/>
    <col min="6508" max="6509" width="12.375" style="289" customWidth="1"/>
    <col min="6510" max="6510" width="13" style="289" customWidth="1"/>
    <col min="6511" max="6511" width="13.125" style="289" customWidth="1"/>
    <col min="6512" max="6512" width="13" style="289" customWidth="1"/>
    <col min="6513" max="6513" width="13.125" style="289" customWidth="1"/>
    <col min="6514" max="6515" width="12.375" style="289" customWidth="1"/>
    <col min="6516" max="6516" width="13" style="289" customWidth="1"/>
    <col min="6517" max="6517" width="12.375" style="289" customWidth="1"/>
    <col min="6518" max="6518" width="12.25" style="289" customWidth="1"/>
    <col min="6519" max="6519" width="12.125" style="289" customWidth="1"/>
    <col min="6520" max="6520" width="11.625" style="289" customWidth="1"/>
    <col min="6521" max="6521" width="12" style="289" customWidth="1"/>
    <col min="6522" max="6522" width="13" style="289" customWidth="1"/>
    <col min="6523" max="6523" width="11.625" style="289" customWidth="1"/>
    <col min="6524" max="6525" width="12" style="289" customWidth="1"/>
    <col min="6526" max="6528" width="11.625" style="289" customWidth="1"/>
    <col min="6529" max="6529" width="11.125" style="289" customWidth="1"/>
    <col min="6530" max="6530" width="12" style="289" customWidth="1"/>
    <col min="6531" max="6531" width="13" style="289" customWidth="1"/>
    <col min="6532" max="6532" width="13.625" style="289" customWidth="1"/>
    <col min="6533" max="6533" width="11.875" style="289" customWidth="1"/>
    <col min="6534" max="6535" width="11.625" style="289" customWidth="1"/>
    <col min="6536" max="6536" width="12" style="289" customWidth="1"/>
    <col min="6537" max="6537" width="12.75" style="289" customWidth="1"/>
    <col min="6538" max="6538" width="11.625" style="289" customWidth="1"/>
    <col min="6539" max="6539" width="12.125" style="289" customWidth="1"/>
    <col min="6540" max="6541" width="11.625" style="289" customWidth="1"/>
    <col min="6542" max="6542" width="12.5" style="289" customWidth="1"/>
    <col min="6543" max="6717" width="11.625" style="289" customWidth="1"/>
    <col min="6718" max="6718" width="17.75" style="289" customWidth="1"/>
    <col min="6719" max="6720" width="9" style="289" customWidth="1"/>
    <col min="6721" max="6721" width="16.25" style="289" customWidth="1"/>
    <col min="6722" max="6722" width="24" style="289" customWidth="1"/>
    <col min="6723" max="6723" width="9" style="289"/>
    <col min="6724" max="6724" width="11.75" style="289" customWidth="1"/>
    <col min="6725" max="6725" width="8.875" style="289" customWidth="1"/>
    <col min="6726" max="6726" width="17.375" style="289" customWidth="1"/>
    <col min="6727" max="6727" width="13.25" style="289" customWidth="1"/>
    <col min="6728" max="6728" width="25.75" style="289" customWidth="1"/>
    <col min="6729" max="6729" width="11.125" style="289" customWidth="1"/>
    <col min="6730" max="6730" width="10.75" style="289" customWidth="1"/>
    <col min="6731" max="6731" width="9" style="289" customWidth="1"/>
    <col min="6732" max="6732" width="9.75" style="289" customWidth="1"/>
    <col min="6733" max="6733" width="7.5" style="289" customWidth="1"/>
    <col min="6734" max="6734" width="13.25" style="289" customWidth="1"/>
    <col min="6735" max="6735" width="11.75" style="289" customWidth="1"/>
    <col min="6736" max="6736" width="8.875" style="289" customWidth="1"/>
    <col min="6737" max="6737" width="9.625" style="289" customWidth="1"/>
    <col min="6738" max="6739" width="11.875" style="289" customWidth="1"/>
    <col min="6740" max="6740" width="11.5" style="289" customWidth="1"/>
    <col min="6741" max="6756" width="12.25" style="289" customWidth="1"/>
    <col min="6757" max="6757" width="13" style="289" customWidth="1"/>
    <col min="6758" max="6762" width="12.375" style="289" customWidth="1"/>
    <col min="6763" max="6763" width="13" style="289" customWidth="1"/>
    <col min="6764" max="6765" width="12.375" style="289" customWidth="1"/>
    <col min="6766" max="6766" width="13" style="289" customWidth="1"/>
    <col min="6767" max="6767" width="13.125" style="289" customWidth="1"/>
    <col min="6768" max="6768" width="13" style="289" customWidth="1"/>
    <col min="6769" max="6769" width="13.125" style="289" customWidth="1"/>
    <col min="6770" max="6771" width="12.375" style="289" customWidth="1"/>
    <col min="6772" max="6772" width="13" style="289" customWidth="1"/>
    <col min="6773" max="6773" width="12.375" style="289" customWidth="1"/>
    <col min="6774" max="6774" width="12.25" style="289" customWidth="1"/>
    <col min="6775" max="6775" width="12.125" style="289" customWidth="1"/>
    <col min="6776" max="6776" width="11.625" style="289" customWidth="1"/>
    <col min="6777" max="6777" width="12" style="289" customWidth="1"/>
    <col min="6778" max="6778" width="13" style="289" customWidth="1"/>
    <col min="6779" max="6779" width="11.625" style="289" customWidth="1"/>
    <col min="6780" max="6781" width="12" style="289" customWidth="1"/>
    <col min="6782" max="6784" width="11.625" style="289" customWidth="1"/>
    <col min="6785" max="6785" width="11.125" style="289" customWidth="1"/>
    <col min="6786" max="6786" width="12" style="289" customWidth="1"/>
    <col min="6787" max="6787" width="13" style="289" customWidth="1"/>
    <col min="6788" max="6788" width="13.625" style="289" customWidth="1"/>
    <col min="6789" max="6789" width="11.875" style="289" customWidth="1"/>
    <col min="6790" max="6791" width="11.625" style="289" customWidth="1"/>
    <col min="6792" max="6792" width="12" style="289" customWidth="1"/>
    <col min="6793" max="6793" width="12.75" style="289" customWidth="1"/>
    <col min="6794" max="6794" width="11.625" style="289" customWidth="1"/>
    <col min="6795" max="6795" width="12.125" style="289" customWidth="1"/>
    <col min="6796" max="6797" width="11.625" style="289" customWidth="1"/>
    <col min="6798" max="6798" width="12.5" style="289" customWidth="1"/>
    <col min="6799" max="6973" width="11.625" style="289" customWidth="1"/>
    <col min="6974" max="6974" width="17.75" style="289" customWidth="1"/>
    <col min="6975" max="6976" width="9" style="289" customWidth="1"/>
    <col min="6977" max="6977" width="16.25" style="289" customWidth="1"/>
    <col min="6978" max="6978" width="24" style="289" customWidth="1"/>
    <col min="6979" max="6979" width="9" style="289"/>
    <col min="6980" max="6980" width="11.75" style="289" customWidth="1"/>
    <col min="6981" max="6981" width="8.875" style="289" customWidth="1"/>
    <col min="6982" max="6982" width="17.375" style="289" customWidth="1"/>
    <col min="6983" max="6983" width="13.25" style="289" customWidth="1"/>
    <col min="6984" max="6984" width="25.75" style="289" customWidth="1"/>
    <col min="6985" max="6985" width="11.125" style="289" customWidth="1"/>
    <col min="6986" max="6986" width="10.75" style="289" customWidth="1"/>
    <col min="6987" max="6987" width="9" style="289" customWidth="1"/>
    <col min="6988" max="6988" width="9.75" style="289" customWidth="1"/>
    <col min="6989" max="6989" width="7.5" style="289" customWidth="1"/>
    <col min="6990" max="6990" width="13.25" style="289" customWidth="1"/>
    <col min="6991" max="6991" width="11.75" style="289" customWidth="1"/>
    <col min="6992" max="6992" width="8.875" style="289" customWidth="1"/>
    <col min="6993" max="6993" width="9.625" style="289" customWidth="1"/>
    <col min="6994" max="6995" width="11.875" style="289" customWidth="1"/>
    <col min="6996" max="6996" width="11.5" style="289" customWidth="1"/>
    <col min="6997" max="7012" width="12.25" style="289" customWidth="1"/>
    <col min="7013" max="7013" width="13" style="289" customWidth="1"/>
    <col min="7014" max="7018" width="12.375" style="289" customWidth="1"/>
    <col min="7019" max="7019" width="13" style="289" customWidth="1"/>
    <col min="7020" max="7021" width="12.375" style="289" customWidth="1"/>
    <col min="7022" max="7022" width="13" style="289" customWidth="1"/>
    <col min="7023" max="7023" width="13.125" style="289" customWidth="1"/>
    <col min="7024" max="7024" width="13" style="289" customWidth="1"/>
    <col min="7025" max="7025" width="13.125" style="289" customWidth="1"/>
    <col min="7026" max="7027" width="12.375" style="289" customWidth="1"/>
    <col min="7028" max="7028" width="13" style="289" customWidth="1"/>
    <col min="7029" max="7029" width="12.375" style="289" customWidth="1"/>
    <col min="7030" max="7030" width="12.25" style="289" customWidth="1"/>
    <col min="7031" max="7031" width="12.125" style="289" customWidth="1"/>
    <col min="7032" max="7032" width="11.625" style="289" customWidth="1"/>
    <col min="7033" max="7033" width="12" style="289" customWidth="1"/>
    <col min="7034" max="7034" width="13" style="289" customWidth="1"/>
    <col min="7035" max="7035" width="11.625" style="289" customWidth="1"/>
    <col min="7036" max="7037" width="12" style="289" customWidth="1"/>
    <col min="7038" max="7040" width="11.625" style="289" customWidth="1"/>
    <col min="7041" max="7041" width="11.125" style="289" customWidth="1"/>
    <col min="7042" max="7042" width="12" style="289" customWidth="1"/>
    <col min="7043" max="7043" width="13" style="289" customWidth="1"/>
    <col min="7044" max="7044" width="13.625" style="289" customWidth="1"/>
    <col min="7045" max="7045" width="11.875" style="289" customWidth="1"/>
    <col min="7046" max="7047" width="11.625" style="289" customWidth="1"/>
    <col min="7048" max="7048" width="12" style="289" customWidth="1"/>
    <col min="7049" max="7049" width="12.75" style="289" customWidth="1"/>
    <col min="7050" max="7050" width="11.625" style="289" customWidth="1"/>
    <col min="7051" max="7051" width="12.125" style="289" customWidth="1"/>
    <col min="7052" max="7053" width="11.625" style="289" customWidth="1"/>
    <col min="7054" max="7054" width="12.5" style="289" customWidth="1"/>
    <col min="7055" max="7229" width="11.625" style="289" customWidth="1"/>
    <col min="7230" max="7230" width="17.75" style="289" customWidth="1"/>
    <col min="7231" max="7232" width="9" style="289" customWidth="1"/>
    <col min="7233" max="7233" width="16.25" style="289" customWidth="1"/>
    <col min="7234" max="7234" width="24" style="289" customWidth="1"/>
    <col min="7235" max="7235" width="9" style="289"/>
    <col min="7236" max="7236" width="11.75" style="289" customWidth="1"/>
    <col min="7237" max="7237" width="8.875" style="289" customWidth="1"/>
    <col min="7238" max="7238" width="17.375" style="289" customWidth="1"/>
    <col min="7239" max="7239" width="13.25" style="289" customWidth="1"/>
    <col min="7240" max="7240" width="25.75" style="289" customWidth="1"/>
    <col min="7241" max="7241" width="11.125" style="289" customWidth="1"/>
    <col min="7242" max="7242" width="10.75" style="289" customWidth="1"/>
    <col min="7243" max="7243" width="9" style="289" customWidth="1"/>
    <col min="7244" max="7244" width="9.75" style="289" customWidth="1"/>
    <col min="7245" max="7245" width="7.5" style="289" customWidth="1"/>
    <col min="7246" max="7246" width="13.25" style="289" customWidth="1"/>
    <col min="7247" max="7247" width="11.75" style="289" customWidth="1"/>
    <col min="7248" max="7248" width="8.875" style="289" customWidth="1"/>
    <col min="7249" max="7249" width="9.625" style="289" customWidth="1"/>
    <col min="7250" max="7251" width="11.875" style="289" customWidth="1"/>
    <col min="7252" max="7252" width="11.5" style="289" customWidth="1"/>
    <col min="7253" max="7268" width="12.25" style="289" customWidth="1"/>
    <col min="7269" max="7269" width="13" style="289" customWidth="1"/>
    <col min="7270" max="7274" width="12.375" style="289" customWidth="1"/>
    <col min="7275" max="7275" width="13" style="289" customWidth="1"/>
    <col min="7276" max="7277" width="12.375" style="289" customWidth="1"/>
    <col min="7278" max="7278" width="13" style="289" customWidth="1"/>
    <col min="7279" max="7279" width="13.125" style="289" customWidth="1"/>
    <col min="7280" max="7280" width="13" style="289" customWidth="1"/>
    <col min="7281" max="7281" width="13.125" style="289" customWidth="1"/>
    <col min="7282" max="7283" width="12.375" style="289" customWidth="1"/>
    <col min="7284" max="7284" width="13" style="289" customWidth="1"/>
    <col min="7285" max="7285" width="12.375" style="289" customWidth="1"/>
    <col min="7286" max="7286" width="12.25" style="289" customWidth="1"/>
    <col min="7287" max="7287" width="12.125" style="289" customWidth="1"/>
    <col min="7288" max="7288" width="11.625" style="289" customWidth="1"/>
    <col min="7289" max="7289" width="12" style="289" customWidth="1"/>
    <col min="7290" max="7290" width="13" style="289" customWidth="1"/>
    <col min="7291" max="7291" width="11.625" style="289" customWidth="1"/>
    <col min="7292" max="7293" width="12" style="289" customWidth="1"/>
    <col min="7294" max="7296" width="11.625" style="289" customWidth="1"/>
    <col min="7297" max="7297" width="11.125" style="289" customWidth="1"/>
    <col min="7298" max="7298" width="12" style="289" customWidth="1"/>
    <col min="7299" max="7299" width="13" style="289" customWidth="1"/>
    <col min="7300" max="7300" width="13.625" style="289" customWidth="1"/>
    <col min="7301" max="7301" width="11.875" style="289" customWidth="1"/>
    <col min="7302" max="7303" width="11.625" style="289" customWidth="1"/>
    <col min="7304" max="7304" width="12" style="289" customWidth="1"/>
    <col min="7305" max="7305" width="12.75" style="289" customWidth="1"/>
    <col min="7306" max="7306" width="11.625" style="289" customWidth="1"/>
    <col min="7307" max="7307" width="12.125" style="289" customWidth="1"/>
    <col min="7308" max="7309" width="11.625" style="289" customWidth="1"/>
    <col min="7310" max="7310" width="12.5" style="289" customWidth="1"/>
    <col min="7311" max="7485" width="11.625" style="289" customWidth="1"/>
    <col min="7486" max="7486" width="17.75" style="289" customWidth="1"/>
    <col min="7487" max="7488" width="9" style="289" customWidth="1"/>
    <col min="7489" max="7489" width="16.25" style="289" customWidth="1"/>
    <col min="7490" max="7490" width="24" style="289" customWidth="1"/>
    <col min="7491" max="7491" width="9" style="289"/>
    <col min="7492" max="7492" width="11.75" style="289" customWidth="1"/>
    <col min="7493" max="7493" width="8.875" style="289" customWidth="1"/>
    <col min="7494" max="7494" width="17.375" style="289" customWidth="1"/>
    <col min="7495" max="7495" width="13.25" style="289" customWidth="1"/>
    <col min="7496" max="7496" width="25.75" style="289" customWidth="1"/>
    <col min="7497" max="7497" width="11.125" style="289" customWidth="1"/>
    <col min="7498" max="7498" width="10.75" style="289" customWidth="1"/>
    <col min="7499" max="7499" width="9" style="289" customWidth="1"/>
    <col min="7500" max="7500" width="9.75" style="289" customWidth="1"/>
    <col min="7501" max="7501" width="7.5" style="289" customWidth="1"/>
    <col min="7502" max="7502" width="13.25" style="289" customWidth="1"/>
    <col min="7503" max="7503" width="11.75" style="289" customWidth="1"/>
    <col min="7504" max="7504" width="8.875" style="289" customWidth="1"/>
    <col min="7505" max="7505" width="9.625" style="289" customWidth="1"/>
    <col min="7506" max="7507" width="11.875" style="289" customWidth="1"/>
    <col min="7508" max="7508" width="11.5" style="289" customWidth="1"/>
    <col min="7509" max="7524" width="12.25" style="289" customWidth="1"/>
    <col min="7525" max="7525" width="13" style="289" customWidth="1"/>
    <col min="7526" max="7530" width="12.375" style="289" customWidth="1"/>
    <col min="7531" max="7531" width="13" style="289" customWidth="1"/>
    <col min="7532" max="7533" width="12.375" style="289" customWidth="1"/>
    <col min="7534" max="7534" width="13" style="289" customWidth="1"/>
    <col min="7535" max="7535" width="13.125" style="289" customWidth="1"/>
    <col min="7536" max="7536" width="13" style="289" customWidth="1"/>
    <col min="7537" max="7537" width="13.125" style="289" customWidth="1"/>
    <col min="7538" max="7539" width="12.375" style="289" customWidth="1"/>
    <col min="7540" max="7540" width="13" style="289" customWidth="1"/>
    <col min="7541" max="7541" width="12.375" style="289" customWidth="1"/>
    <col min="7542" max="7542" width="12.25" style="289" customWidth="1"/>
    <col min="7543" max="7543" width="12.125" style="289" customWidth="1"/>
    <col min="7544" max="7544" width="11.625" style="289" customWidth="1"/>
    <col min="7545" max="7545" width="12" style="289" customWidth="1"/>
    <col min="7546" max="7546" width="13" style="289" customWidth="1"/>
    <col min="7547" max="7547" width="11.625" style="289" customWidth="1"/>
    <col min="7548" max="7549" width="12" style="289" customWidth="1"/>
    <col min="7550" max="7552" width="11.625" style="289" customWidth="1"/>
    <col min="7553" max="7553" width="11.125" style="289" customWidth="1"/>
    <col min="7554" max="7554" width="12" style="289" customWidth="1"/>
    <col min="7555" max="7555" width="13" style="289" customWidth="1"/>
    <col min="7556" max="7556" width="13.625" style="289" customWidth="1"/>
    <col min="7557" max="7557" width="11.875" style="289" customWidth="1"/>
    <col min="7558" max="7559" width="11.625" style="289" customWidth="1"/>
    <col min="7560" max="7560" width="12" style="289" customWidth="1"/>
    <col min="7561" max="7561" width="12.75" style="289" customWidth="1"/>
    <col min="7562" max="7562" width="11.625" style="289" customWidth="1"/>
    <col min="7563" max="7563" width="12.125" style="289" customWidth="1"/>
    <col min="7564" max="7565" width="11.625" style="289" customWidth="1"/>
    <col min="7566" max="7566" width="12.5" style="289" customWidth="1"/>
    <col min="7567" max="7741" width="11.625" style="289" customWidth="1"/>
    <col min="7742" max="7742" width="17.75" style="289" customWidth="1"/>
    <col min="7743" max="7744" width="9" style="289" customWidth="1"/>
    <col min="7745" max="7745" width="16.25" style="289" customWidth="1"/>
    <col min="7746" max="7746" width="24" style="289" customWidth="1"/>
    <col min="7747" max="7747" width="9" style="289"/>
    <col min="7748" max="7748" width="11.75" style="289" customWidth="1"/>
    <col min="7749" max="7749" width="8.875" style="289" customWidth="1"/>
    <col min="7750" max="7750" width="17.375" style="289" customWidth="1"/>
    <col min="7751" max="7751" width="13.25" style="289" customWidth="1"/>
    <col min="7752" max="7752" width="25.75" style="289" customWidth="1"/>
    <col min="7753" max="7753" width="11.125" style="289" customWidth="1"/>
    <col min="7754" max="7754" width="10.75" style="289" customWidth="1"/>
    <col min="7755" max="7755" width="9" style="289" customWidth="1"/>
    <col min="7756" max="7756" width="9.75" style="289" customWidth="1"/>
    <col min="7757" max="7757" width="7.5" style="289" customWidth="1"/>
    <col min="7758" max="7758" width="13.25" style="289" customWidth="1"/>
    <col min="7759" max="7759" width="11.75" style="289" customWidth="1"/>
    <col min="7760" max="7760" width="8.875" style="289" customWidth="1"/>
    <col min="7761" max="7761" width="9.625" style="289" customWidth="1"/>
    <col min="7762" max="7763" width="11.875" style="289" customWidth="1"/>
    <col min="7764" max="7764" width="11.5" style="289" customWidth="1"/>
    <col min="7765" max="7780" width="12.25" style="289" customWidth="1"/>
    <col min="7781" max="7781" width="13" style="289" customWidth="1"/>
    <col min="7782" max="7786" width="12.375" style="289" customWidth="1"/>
    <col min="7787" max="7787" width="13" style="289" customWidth="1"/>
    <col min="7788" max="7789" width="12.375" style="289" customWidth="1"/>
    <col min="7790" max="7790" width="13" style="289" customWidth="1"/>
    <col min="7791" max="7791" width="13.125" style="289" customWidth="1"/>
    <col min="7792" max="7792" width="13" style="289" customWidth="1"/>
    <col min="7793" max="7793" width="13.125" style="289" customWidth="1"/>
    <col min="7794" max="7795" width="12.375" style="289" customWidth="1"/>
    <col min="7796" max="7796" width="13" style="289" customWidth="1"/>
    <col min="7797" max="7797" width="12.375" style="289" customWidth="1"/>
    <col min="7798" max="7798" width="12.25" style="289" customWidth="1"/>
    <col min="7799" max="7799" width="12.125" style="289" customWidth="1"/>
    <col min="7800" max="7800" width="11.625" style="289" customWidth="1"/>
    <col min="7801" max="7801" width="12" style="289" customWidth="1"/>
    <col min="7802" max="7802" width="13" style="289" customWidth="1"/>
    <col min="7803" max="7803" width="11.625" style="289" customWidth="1"/>
    <col min="7804" max="7805" width="12" style="289" customWidth="1"/>
    <col min="7806" max="7808" width="11.625" style="289" customWidth="1"/>
    <col min="7809" max="7809" width="11.125" style="289" customWidth="1"/>
    <col min="7810" max="7810" width="12" style="289" customWidth="1"/>
    <col min="7811" max="7811" width="13" style="289" customWidth="1"/>
    <col min="7812" max="7812" width="13.625" style="289" customWidth="1"/>
    <col min="7813" max="7813" width="11.875" style="289" customWidth="1"/>
    <col min="7814" max="7815" width="11.625" style="289" customWidth="1"/>
    <col min="7816" max="7816" width="12" style="289" customWidth="1"/>
    <col min="7817" max="7817" width="12.75" style="289" customWidth="1"/>
    <col min="7818" max="7818" width="11.625" style="289" customWidth="1"/>
    <col min="7819" max="7819" width="12.125" style="289" customWidth="1"/>
    <col min="7820" max="7821" width="11.625" style="289" customWidth="1"/>
    <col min="7822" max="7822" width="12.5" style="289" customWidth="1"/>
    <col min="7823" max="7997" width="11.625" style="289" customWidth="1"/>
    <col min="7998" max="7998" width="17.75" style="289" customWidth="1"/>
    <col min="7999" max="8000" width="9" style="289" customWidth="1"/>
    <col min="8001" max="8001" width="16.25" style="289" customWidth="1"/>
    <col min="8002" max="8002" width="24" style="289" customWidth="1"/>
    <col min="8003" max="8003" width="9" style="289"/>
    <col min="8004" max="8004" width="11.75" style="289" customWidth="1"/>
    <col min="8005" max="8005" width="8.875" style="289" customWidth="1"/>
    <col min="8006" max="8006" width="17.375" style="289" customWidth="1"/>
    <col min="8007" max="8007" width="13.25" style="289" customWidth="1"/>
    <col min="8008" max="8008" width="25.75" style="289" customWidth="1"/>
    <col min="8009" max="8009" width="11.125" style="289" customWidth="1"/>
    <col min="8010" max="8010" width="10.75" style="289" customWidth="1"/>
    <col min="8011" max="8011" width="9" style="289" customWidth="1"/>
    <col min="8012" max="8012" width="9.75" style="289" customWidth="1"/>
    <col min="8013" max="8013" width="7.5" style="289" customWidth="1"/>
    <col min="8014" max="8014" width="13.25" style="289" customWidth="1"/>
    <col min="8015" max="8015" width="11.75" style="289" customWidth="1"/>
    <col min="8016" max="8016" width="8.875" style="289" customWidth="1"/>
    <col min="8017" max="8017" width="9.625" style="289" customWidth="1"/>
    <col min="8018" max="8019" width="11.875" style="289" customWidth="1"/>
    <col min="8020" max="8020" width="11.5" style="289" customWidth="1"/>
    <col min="8021" max="8036" width="12.25" style="289" customWidth="1"/>
    <col min="8037" max="8037" width="13" style="289" customWidth="1"/>
    <col min="8038" max="8042" width="12.375" style="289" customWidth="1"/>
    <col min="8043" max="8043" width="13" style="289" customWidth="1"/>
    <col min="8044" max="8045" width="12.375" style="289" customWidth="1"/>
    <col min="8046" max="8046" width="13" style="289" customWidth="1"/>
    <col min="8047" max="8047" width="13.125" style="289" customWidth="1"/>
    <col min="8048" max="8048" width="13" style="289" customWidth="1"/>
    <col min="8049" max="8049" width="13.125" style="289" customWidth="1"/>
    <col min="8050" max="8051" width="12.375" style="289" customWidth="1"/>
    <col min="8052" max="8052" width="13" style="289" customWidth="1"/>
    <col min="8053" max="8053" width="12.375" style="289" customWidth="1"/>
    <col min="8054" max="8054" width="12.25" style="289" customWidth="1"/>
    <col min="8055" max="8055" width="12.125" style="289" customWidth="1"/>
    <col min="8056" max="8056" width="11.625" style="289" customWidth="1"/>
    <col min="8057" max="8057" width="12" style="289" customWidth="1"/>
    <col min="8058" max="8058" width="13" style="289" customWidth="1"/>
    <col min="8059" max="8059" width="11.625" style="289" customWidth="1"/>
    <col min="8060" max="8061" width="12" style="289" customWidth="1"/>
    <col min="8062" max="8064" width="11.625" style="289" customWidth="1"/>
    <col min="8065" max="8065" width="11.125" style="289" customWidth="1"/>
    <col min="8066" max="8066" width="12" style="289" customWidth="1"/>
    <col min="8067" max="8067" width="13" style="289" customWidth="1"/>
    <col min="8068" max="8068" width="13.625" style="289" customWidth="1"/>
    <col min="8069" max="8069" width="11.875" style="289" customWidth="1"/>
    <col min="8070" max="8071" width="11.625" style="289" customWidth="1"/>
    <col min="8072" max="8072" width="12" style="289" customWidth="1"/>
    <col min="8073" max="8073" width="12.75" style="289" customWidth="1"/>
    <col min="8074" max="8074" width="11.625" style="289" customWidth="1"/>
    <col min="8075" max="8075" width="12.125" style="289" customWidth="1"/>
    <col min="8076" max="8077" width="11.625" style="289" customWidth="1"/>
    <col min="8078" max="8078" width="12.5" style="289" customWidth="1"/>
    <col min="8079" max="8253" width="11.625" style="289" customWidth="1"/>
    <col min="8254" max="8254" width="17.75" style="289" customWidth="1"/>
    <col min="8255" max="8256" width="9" style="289" customWidth="1"/>
    <col min="8257" max="8257" width="16.25" style="289" customWidth="1"/>
    <col min="8258" max="8258" width="24" style="289" customWidth="1"/>
    <col min="8259" max="8259" width="9" style="289"/>
    <col min="8260" max="8260" width="11.75" style="289" customWidth="1"/>
    <col min="8261" max="8261" width="8.875" style="289" customWidth="1"/>
    <col min="8262" max="8262" width="17.375" style="289" customWidth="1"/>
    <col min="8263" max="8263" width="13.25" style="289" customWidth="1"/>
    <col min="8264" max="8264" width="25.75" style="289" customWidth="1"/>
    <col min="8265" max="8265" width="11.125" style="289" customWidth="1"/>
    <col min="8266" max="8266" width="10.75" style="289" customWidth="1"/>
    <col min="8267" max="8267" width="9" style="289" customWidth="1"/>
    <col min="8268" max="8268" width="9.75" style="289" customWidth="1"/>
    <col min="8269" max="8269" width="7.5" style="289" customWidth="1"/>
    <col min="8270" max="8270" width="13.25" style="289" customWidth="1"/>
    <col min="8271" max="8271" width="11.75" style="289" customWidth="1"/>
    <col min="8272" max="8272" width="8.875" style="289" customWidth="1"/>
    <col min="8273" max="8273" width="9.625" style="289" customWidth="1"/>
    <col min="8274" max="8275" width="11.875" style="289" customWidth="1"/>
    <col min="8276" max="8276" width="11.5" style="289" customWidth="1"/>
    <col min="8277" max="8292" width="12.25" style="289" customWidth="1"/>
    <col min="8293" max="8293" width="13" style="289" customWidth="1"/>
    <col min="8294" max="8298" width="12.375" style="289" customWidth="1"/>
    <col min="8299" max="8299" width="13" style="289" customWidth="1"/>
    <col min="8300" max="8301" width="12.375" style="289" customWidth="1"/>
    <col min="8302" max="8302" width="13" style="289" customWidth="1"/>
    <col min="8303" max="8303" width="13.125" style="289" customWidth="1"/>
    <col min="8304" max="8304" width="13" style="289" customWidth="1"/>
    <col min="8305" max="8305" width="13.125" style="289" customWidth="1"/>
    <col min="8306" max="8307" width="12.375" style="289" customWidth="1"/>
    <col min="8308" max="8308" width="13" style="289" customWidth="1"/>
    <col min="8309" max="8309" width="12.375" style="289" customWidth="1"/>
    <col min="8310" max="8310" width="12.25" style="289" customWidth="1"/>
    <col min="8311" max="8311" width="12.125" style="289" customWidth="1"/>
    <col min="8312" max="8312" width="11.625" style="289" customWidth="1"/>
    <col min="8313" max="8313" width="12" style="289" customWidth="1"/>
    <col min="8314" max="8314" width="13" style="289" customWidth="1"/>
    <col min="8315" max="8315" width="11.625" style="289" customWidth="1"/>
    <col min="8316" max="8317" width="12" style="289" customWidth="1"/>
    <col min="8318" max="8320" width="11.625" style="289" customWidth="1"/>
    <col min="8321" max="8321" width="11.125" style="289" customWidth="1"/>
    <col min="8322" max="8322" width="12" style="289" customWidth="1"/>
    <col min="8323" max="8323" width="13" style="289" customWidth="1"/>
    <col min="8324" max="8324" width="13.625" style="289" customWidth="1"/>
    <col min="8325" max="8325" width="11.875" style="289" customWidth="1"/>
    <col min="8326" max="8327" width="11.625" style="289" customWidth="1"/>
    <col min="8328" max="8328" width="12" style="289" customWidth="1"/>
    <col min="8329" max="8329" width="12.75" style="289" customWidth="1"/>
    <col min="8330" max="8330" width="11.625" style="289" customWidth="1"/>
    <col min="8331" max="8331" width="12.125" style="289" customWidth="1"/>
    <col min="8332" max="8333" width="11.625" style="289" customWidth="1"/>
    <col min="8334" max="8334" width="12.5" style="289" customWidth="1"/>
    <col min="8335" max="8509" width="11.625" style="289" customWidth="1"/>
    <col min="8510" max="8510" width="17.75" style="289" customWidth="1"/>
    <col min="8511" max="8512" width="9" style="289" customWidth="1"/>
    <col min="8513" max="8513" width="16.25" style="289" customWidth="1"/>
    <col min="8514" max="8514" width="24" style="289" customWidth="1"/>
    <col min="8515" max="8515" width="9" style="289"/>
    <col min="8516" max="8516" width="11.75" style="289" customWidth="1"/>
    <col min="8517" max="8517" width="8.875" style="289" customWidth="1"/>
    <col min="8518" max="8518" width="17.375" style="289" customWidth="1"/>
    <col min="8519" max="8519" width="13.25" style="289" customWidth="1"/>
    <col min="8520" max="8520" width="25.75" style="289" customWidth="1"/>
    <col min="8521" max="8521" width="11.125" style="289" customWidth="1"/>
    <col min="8522" max="8522" width="10.75" style="289" customWidth="1"/>
    <col min="8523" max="8523" width="9" style="289" customWidth="1"/>
    <col min="8524" max="8524" width="9.75" style="289" customWidth="1"/>
    <col min="8525" max="8525" width="7.5" style="289" customWidth="1"/>
    <col min="8526" max="8526" width="13.25" style="289" customWidth="1"/>
    <col min="8527" max="8527" width="11.75" style="289" customWidth="1"/>
    <col min="8528" max="8528" width="8.875" style="289" customWidth="1"/>
    <col min="8529" max="8529" width="9.625" style="289" customWidth="1"/>
    <col min="8530" max="8531" width="11.875" style="289" customWidth="1"/>
    <col min="8532" max="8532" width="11.5" style="289" customWidth="1"/>
    <col min="8533" max="8548" width="12.25" style="289" customWidth="1"/>
    <col min="8549" max="8549" width="13" style="289" customWidth="1"/>
    <col min="8550" max="8554" width="12.375" style="289" customWidth="1"/>
    <col min="8555" max="8555" width="13" style="289" customWidth="1"/>
    <col min="8556" max="8557" width="12.375" style="289" customWidth="1"/>
    <col min="8558" max="8558" width="13" style="289" customWidth="1"/>
    <col min="8559" max="8559" width="13.125" style="289" customWidth="1"/>
    <col min="8560" max="8560" width="13" style="289" customWidth="1"/>
    <col min="8561" max="8561" width="13.125" style="289" customWidth="1"/>
    <col min="8562" max="8563" width="12.375" style="289" customWidth="1"/>
    <col min="8564" max="8564" width="13" style="289" customWidth="1"/>
    <col min="8565" max="8565" width="12.375" style="289" customWidth="1"/>
    <col min="8566" max="8566" width="12.25" style="289" customWidth="1"/>
    <col min="8567" max="8567" width="12.125" style="289" customWidth="1"/>
    <col min="8568" max="8568" width="11.625" style="289" customWidth="1"/>
    <col min="8569" max="8569" width="12" style="289" customWidth="1"/>
    <col min="8570" max="8570" width="13" style="289" customWidth="1"/>
    <col min="8571" max="8571" width="11.625" style="289" customWidth="1"/>
    <col min="8572" max="8573" width="12" style="289" customWidth="1"/>
    <col min="8574" max="8576" width="11.625" style="289" customWidth="1"/>
    <col min="8577" max="8577" width="11.125" style="289" customWidth="1"/>
    <col min="8578" max="8578" width="12" style="289" customWidth="1"/>
    <col min="8579" max="8579" width="13" style="289" customWidth="1"/>
    <col min="8580" max="8580" width="13.625" style="289" customWidth="1"/>
    <col min="8581" max="8581" width="11.875" style="289" customWidth="1"/>
    <col min="8582" max="8583" width="11.625" style="289" customWidth="1"/>
    <col min="8584" max="8584" width="12" style="289" customWidth="1"/>
    <col min="8585" max="8585" width="12.75" style="289" customWidth="1"/>
    <col min="8586" max="8586" width="11.625" style="289" customWidth="1"/>
    <col min="8587" max="8587" width="12.125" style="289" customWidth="1"/>
    <col min="8588" max="8589" width="11.625" style="289" customWidth="1"/>
    <col min="8590" max="8590" width="12.5" style="289" customWidth="1"/>
    <col min="8591" max="8765" width="11.625" style="289" customWidth="1"/>
    <col min="8766" max="8766" width="17.75" style="289" customWidth="1"/>
    <col min="8767" max="8768" width="9" style="289" customWidth="1"/>
    <col min="8769" max="8769" width="16.25" style="289" customWidth="1"/>
    <col min="8770" max="8770" width="24" style="289" customWidth="1"/>
    <col min="8771" max="8771" width="9" style="289"/>
    <col min="8772" max="8772" width="11.75" style="289" customWidth="1"/>
    <col min="8773" max="8773" width="8.875" style="289" customWidth="1"/>
    <col min="8774" max="8774" width="17.375" style="289" customWidth="1"/>
    <col min="8775" max="8775" width="13.25" style="289" customWidth="1"/>
    <col min="8776" max="8776" width="25.75" style="289" customWidth="1"/>
    <col min="8777" max="8777" width="11.125" style="289" customWidth="1"/>
    <col min="8778" max="8778" width="10.75" style="289" customWidth="1"/>
    <col min="8779" max="8779" width="9" style="289" customWidth="1"/>
    <col min="8780" max="8780" width="9.75" style="289" customWidth="1"/>
    <col min="8781" max="8781" width="7.5" style="289" customWidth="1"/>
    <col min="8782" max="8782" width="13.25" style="289" customWidth="1"/>
    <col min="8783" max="8783" width="11.75" style="289" customWidth="1"/>
    <col min="8784" max="8784" width="8.875" style="289" customWidth="1"/>
    <col min="8785" max="8785" width="9.625" style="289" customWidth="1"/>
    <col min="8786" max="8787" width="11.875" style="289" customWidth="1"/>
    <col min="8788" max="8788" width="11.5" style="289" customWidth="1"/>
    <col min="8789" max="8804" width="12.25" style="289" customWidth="1"/>
    <col min="8805" max="8805" width="13" style="289" customWidth="1"/>
    <col min="8806" max="8810" width="12.375" style="289" customWidth="1"/>
    <col min="8811" max="8811" width="13" style="289" customWidth="1"/>
    <col min="8812" max="8813" width="12.375" style="289" customWidth="1"/>
    <col min="8814" max="8814" width="13" style="289" customWidth="1"/>
    <col min="8815" max="8815" width="13.125" style="289" customWidth="1"/>
    <col min="8816" max="8816" width="13" style="289" customWidth="1"/>
    <col min="8817" max="8817" width="13.125" style="289" customWidth="1"/>
    <col min="8818" max="8819" width="12.375" style="289" customWidth="1"/>
    <col min="8820" max="8820" width="13" style="289" customWidth="1"/>
    <col min="8821" max="8821" width="12.375" style="289" customWidth="1"/>
    <col min="8822" max="8822" width="12.25" style="289" customWidth="1"/>
    <col min="8823" max="8823" width="12.125" style="289" customWidth="1"/>
    <col min="8824" max="8824" width="11.625" style="289" customWidth="1"/>
    <col min="8825" max="8825" width="12" style="289" customWidth="1"/>
    <col min="8826" max="8826" width="13" style="289" customWidth="1"/>
    <col min="8827" max="8827" width="11.625" style="289" customWidth="1"/>
    <col min="8828" max="8829" width="12" style="289" customWidth="1"/>
    <col min="8830" max="8832" width="11.625" style="289" customWidth="1"/>
    <col min="8833" max="8833" width="11.125" style="289" customWidth="1"/>
    <col min="8834" max="8834" width="12" style="289" customWidth="1"/>
    <col min="8835" max="8835" width="13" style="289" customWidth="1"/>
    <col min="8836" max="8836" width="13.625" style="289" customWidth="1"/>
    <col min="8837" max="8837" width="11.875" style="289" customWidth="1"/>
    <col min="8838" max="8839" width="11.625" style="289" customWidth="1"/>
    <col min="8840" max="8840" width="12" style="289" customWidth="1"/>
    <col min="8841" max="8841" width="12.75" style="289" customWidth="1"/>
    <col min="8842" max="8842" width="11.625" style="289" customWidth="1"/>
    <col min="8843" max="8843" width="12.125" style="289" customWidth="1"/>
    <col min="8844" max="8845" width="11.625" style="289" customWidth="1"/>
    <col min="8846" max="8846" width="12.5" style="289" customWidth="1"/>
    <col min="8847" max="9021" width="11.625" style="289" customWidth="1"/>
    <col min="9022" max="9022" width="17.75" style="289" customWidth="1"/>
    <col min="9023" max="9024" width="9" style="289" customWidth="1"/>
    <col min="9025" max="9025" width="16.25" style="289" customWidth="1"/>
    <col min="9026" max="9026" width="24" style="289" customWidth="1"/>
    <col min="9027" max="9027" width="9" style="289"/>
    <col min="9028" max="9028" width="11.75" style="289" customWidth="1"/>
    <col min="9029" max="9029" width="8.875" style="289" customWidth="1"/>
    <col min="9030" max="9030" width="17.375" style="289" customWidth="1"/>
    <col min="9031" max="9031" width="13.25" style="289" customWidth="1"/>
    <col min="9032" max="9032" width="25.75" style="289" customWidth="1"/>
    <col min="9033" max="9033" width="11.125" style="289" customWidth="1"/>
    <col min="9034" max="9034" width="10.75" style="289" customWidth="1"/>
    <col min="9035" max="9035" width="9" style="289" customWidth="1"/>
    <col min="9036" max="9036" width="9.75" style="289" customWidth="1"/>
    <col min="9037" max="9037" width="7.5" style="289" customWidth="1"/>
    <col min="9038" max="9038" width="13.25" style="289" customWidth="1"/>
    <col min="9039" max="9039" width="11.75" style="289" customWidth="1"/>
    <col min="9040" max="9040" width="8.875" style="289" customWidth="1"/>
    <col min="9041" max="9041" width="9.625" style="289" customWidth="1"/>
    <col min="9042" max="9043" width="11.875" style="289" customWidth="1"/>
    <col min="9044" max="9044" width="11.5" style="289" customWidth="1"/>
    <col min="9045" max="9060" width="12.25" style="289" customWidth="1"/>
    <col min="9061" max="9061" width="13" style="289" customWidth="1"/>
    <col min="9062" max="9066" width="12.375" style="289" customWidth="1"/>
    <col min="9067" max="9067" width="13" style="289" customWidth="1"/>
    <col min="9068" max="9069" width="12.375" style="289" customWidth="1"/>
    <col min="9070" max="9070" width="13" style="289" customWidth="1"/>
    <col min="9071" max="9071" width="13.125" style="289" customWidth="1"/>
    <col min="9072" max="9072" width="13" style="289" customWidth="1"/>
    <col min="9073" max="9073" width="13.125" style="289" customWidth="1"/>
    <col min="9074" max="9075" width="12.375" style="289" customWidth="1"/>
    <col min="9076" max="9076" width="13" style="289" customWidth="1"/>
    <col min="9077" max="9077" width="12.375" style="289" customWidth="1"/>
    <col min="9078" max="9078" width="12.25" style="289" customWidth="1"/>
    <col min="9079" max="9079" width="12.125" style="289" customWidth="1"/>
    <col min="9080" max="9080" width="11.625" style="289" customWidth="1"/>
    <col min="9081" max="9081" width="12" style="289" customWidth="1"/>
    <col min="9082" max="9082" width="13" style="289" customWidth="1"/>
    <col min="9083" max="9083" width="11.625" style="289" customWidth="1"/>
    <col min="9084" max="9085" width="12" style="289" customWidth="1"/>
    <col min="9086" max="9088" width="11.625" style="289" customWidth="1"/>
    <col min="9089" max="9089" width="11.125" style="289" customWidth="1"/>
    <col min="9090" max="9090" width="12" style="289" customWidth="1"/>
    <col min="9091" max="9091" width="13" style="289" customWidth="1"/>
    <col min="9092" max="9092" width="13.625" style="289" customWidth="1"/>
    <col min="9093" max="9093" width="11.875" style="289" customWidth="1"/>
    <col min="9094" max="9095" width="11.625" style="289" customWidth="1"/>
    <col min="9096" max="9096" width="12" style="289" customWidth="1"/>
    <col min="9097" max="9097" width="12.75" style="289" customWidth="1"/>
    <col min="9098" max="9098" width="11.625" style="289" customWidth="1"/>
    <col min="9099" max="9099" width="12.125" style="289" customWidth="1"/>
    <col min="9100" max="9101" width="11.625" style="289" customWidth="1"/>
    <col min="9102" max="9102" width="12.5" style="289" customWidth="1"/>
    <col min="9103" max="9277" width="11.625" style="289" customWidth="1"/>
    <col min="9278" max="9278" width="17.75" style="289" customWidth="1"/>
    <col min="9279" max="9280" width="9" style="289" customWidth="1"/>
    <col min="9281" max="9281" width="16.25" style="289" customWidth="1"/>
    <col min="9282" max="9282" width="24" style="289" customWidth="1"/>
    <col min="9283" max="9283" width="9" style="289"/>
    <col min="9284" max="9284" width="11.75" style="289" customWidth="1"/>
    <col min="9285" max="9285" width="8.875" style="289" customWidth="1"/>
    <col min="9286" max="9286" width="17.375" style="289" customWidth="1"/>
    <col min="9287" max="9287" width="13.25" style="289" customWidth="1"/>
    <col min="9288" max="9288" width="25.75" style="289" customWidth="1"/>
    <col min="9289" max="9289" width="11.125" style="289" customWidth="1"/>
    <col min="9290" max="9290" width="10.75" style="289" customWidth="1"/>
    <col min="9291" max="9291" width="9" style="289" customWidth="1"/>
    <col min="9292" max="9292" width="9.75" style="289" customWidth="1"/>
    <col min="9293" max="9293" width="7.5" style="289" customWidth="1"/>
    <col min="9294" max="9294" width="13.25" style="289" customWidth="1"/>
    <col min="9295" max="9295" width="11.75" style="289" customWidth="1"/>
    <col min="9296" max="9296" width="8.875" style="289" customWidth="1"/>
    <col min="9297" max="9297" width="9.625" style="289" customWidth="1"/>
    <col min="9298" max="9299" width="11.875" style="289" customWidth="1"/>
    <col min="9300" max="9300" width="11.5" style="289" customWidth="1"/>
    <col min="9301" max="9316" width="12.25" style="289" customWidth="1"/>
    <col min="9317" max="9317" width="13" style="289" customWidth="1"/>
    <col min="9318" max="9322" width="12.375" style="289" customWidth="1"/>
    <col min="9323" max="9323" width="13" style="289" customWidth="1"/>
    <col min="9324" max="9325" width="12.375" style="289" customWidth="1"/>
    <col min="9326" max="9326" width="13" style="289" customWidth="1"/>
    <col min="9327" max="9327" width="13.125" style="289" customWidth="1"/>
    <col min="9328" max="9328" width="13" style="289" customWidth="1"/>
    <col min="9329" max="9329" width="13.125" style="289" customWidth="1"/>
    <col min="9330" max="9331" width="12.375" style="289" customWidth="1"/>
    <col min="9332" max="9332" width="13" style="289" customWidth="1"/>
    <col min="9333" max="9333" width="12.375" style="289" customWidth="1"/>
    <col min="9334" max="9334" width="12.25" style="289" customWidth="1"/>
    <col min="9335" max="9335" width="12.125" style="289" customWidth="1"/>
    <col min="9336" max="9336" width="11.625" style="289" customWidth="1"/>
    <col min="9337" max="9337" width="12" style="289" customWidth="1"/>
    <col min="9338" max="9338" width="13" style="289" customWidth="1"/>
    <col min="9339" max="9339" width="11.625" style="289" customWidth="1"/>
    <col min="9340" max="9341" width="12" style="289" customWidth="1"/>
    <col min="9342" max="9344" width="11.625" style="289" customWidth="1"/>
    <col min="9345" max="9345" width="11.125" style="289" customWidth="1"/>
    <col min="9346" max="9346" width="12" style="289" customWidth="1"/>
    <col min="9347" max="9347" width="13" style="289" customWidth="1"/>
    <col min="9348" max="9348" width="13.625" style="289" customWidth="1"/>
    <col min="9349" max="9349" width="11.875" style="289" customWidth="1"/>
    <col min="9350" max="9351" width="11.625" style="289" customWidth="1"/>
    <col min="9352" max="9352" width="12" style="289" customWidth="1"/>
    <col min="9353" max="9353" width="12.75" style="289" customWidth="1"/>
    <col min="9354" max="9354" width="11.625" style="289" customWidth="1"/>
    <col min="9355" max="9355" width="12.125" style="289" customWidth="1"/>
    <col min="9356" max="9357" width="11.625" style="289" customWidth="1"/>
    <col min="9358" max="9358" width="12.5" style="289" customWidth="1"/>
    <col min="9359" max="9533" width="11.625" style="289" customWidth="1"/>
    <col min="9534" max="9534" width="17.75" style="289" customWidth="1"/>
    <col min="9535" max="9536" width="9" style="289" customWidth="1"/>
    <col min="9537" max="9537" width="16.25" style="289" customWidth="1"/>
    <col min="9538" max="9538" width="24" style="289" customWidth="1"/>
    <col min="9539" max="9539" width="9" style="289"/>
    <col min="9540" max="9540" width="11.75" style="289" customWidth="1"/>
    <col min="9541" max="9541" width="8.875" style="289" customWidth="1"/>
    <col min="9542" max="9542" width="17.375" style="289" customWidth="1"/>
    <col min="9543" max="9543" width="13.25" style="289" customWidth="1"/>
    <col min="9544" max="9544" width="25.75" style="289" customWidth="1"/>
    <col min="9545" max="9545" width="11.125" style="289" customWidth="1"/>
    <col min="9546" max="9546" width="10.75" style="289" customWidth="1"/>
    <col min="9547" max="9547" width="9" style="289" customWidth="1"/>
    <col min="9548" max="9548" width="9.75" style="289" customWidth="1"/>
    <col min="9549" max="9549" width="7.5" style="289" customWidth="1"/>
    <col min="9550" max="9550" width="13.25" style="289" customWidth="1"/>
    <col min="9551" max="9551" width="11.75" style="289" customWidth="1"/>
    <col min="9552" max="9552" width="8.875" style="289" customWidth="1"/>
    <col min="9553" max="9553" width="9.625" style="289" customWidth="1"/>
    <col min="9554" max="9555" width="11.875" style="289" customWidth="1"/>
    <col min="9556" max="9556" width="11.5" style="289" customWidth="1"/>
    <col min="9557" max="9572" width="12.25" style="289" customWidth="1"/>
    <col min="9573" max="9573" width="13" style="289" customWidth="1"/>
    <col min="9574" max="9578" width="12.375" style="289" customWidth="1"/>
    <col min="9579" max="9579" width="13" style="289" customWidth="1"/>
    <col min="9580" max="9581" width="12.375" style="289" customWidth="1"/>
    <col min="9582" max="9582" width="13" style="289" customWidth="1"/>
    <col min="9583" max="9583" width="13.125" style="289" customWidth="1"/>
    <col min="9584" max="9584" width="13" style="289" customWidth="1"/>
    <col min="9585" max="9585" width="13.125" style="289" customWidth="1"/>
    <col min="9586" max="9587" width="12.375" style="289" customWidth="1"/>
    <col min="9588" max="9588" width="13" style="289" customWidth="1"/>
    <col min="9589" max="9589" width="12.375" style="289" customWidth="1"/>
    <col min="9590" max="9590" width="12.25" style="289" customWidth="1"/>
    <col min="9591" max="9591" width="12.125" style="289" customWidth="1"/>
    <col min="9592" max="9592" width="11.625" style="289" customWidth="1"/>
    <col min="9593" max="9593" width="12" style="289" customWidth="1"/>
    <col min="9594" max="9594" width="13" style="289" customWidth="1"/>
    <col min="9595" max="9595" width="11.625" style="289" customWidth="1"/>
    <col min="9596" max="9597" width="12" style="289" customWidth="1"/>
    <col min="9598" max="9600" width="11.625" style="289" customWidth="1"/>
    <col min="9601" max="9601" width="11.125" style="289" customWidth="1"/>
    <col min="9602" max="9602" width="12" style="289" customWidth="1"/>
    <col min="9603" max="9603" width="13" style="289" customWidth="1"/>
    <col min="9604" max="9604" width="13.625" style="289" customWidth="1"/>
    <col min="9605" max="9605" width="11.875" style="289" customWidth="1"/>
    <col min="9606" max="9607" width="11.625" style="289" customWidth="1"/>
    <col min="9608" max="9608" width="12" style="289" customWidth="1"/>
    <col min="9609" max="9609" width="12.75" style="289" customWidth="1"/>
    <col min="9610" max="9610" width="11.625" style="289" customWidth="1"/>
    <col min="9611" max="9611" width="12.125" style="289" customWidth="1"/>
    <col min="9612" max="9613" width="11.625" style="289" customWidth="1"/>
    <col min="9614" max="9614" width="12.5" style="289" customWidth="1"/>
    <col min="9615" max="9789" width="11.625" style="289" customWidth="1"/>
    <col min="9790" max="9790" width="17.75" style="289" customWidth="1"/>
    <col min="9791" max="9792" width="9" style="289" customWidth="1"/>
    <col min="9793" max="9793" width="16.25" style="289" customWidth="1"/>
    <col min="9794" max="9794" width="24" style="289" customWidth="1"/>
    <col min="9795" max="9795" width="9" style="289"/>
    <col min="9796" max="9796" width="11.75" style="289" customWidth="1"/>
    <col min="9797" max="9797" width="8.875" style="289" customWidth="1"/>
    <col min="9798" max="9798" width="17.375" style="289" customWidth="1"/>
    <col min="9799" max="9799" width="13.25" style="289" customWidth="1"/>
    <col min="9800" max="9800" width="25.75" style="289" customWidth="1"/>
    <col min="9801" max="9801" width="11.125" style="289" customWidth="1"/>
    <col min="9802" max="9802" width="10.75" style="289" customWidth="1"/>
    <col min="9803" max="9803" width="9" style="289" customWidth="1"/>
    <col min="9804" max="9804" width="9.75" style="289" customWidth="1"/>
    <col min="9805" max="9805" width="7.5" style="289" customWidth="1"/>
    <col min="9806" max="9806" width="13.25" style="289" customWidth="1"/>
    <col min="9807" max="9807" width="11.75" style="289" customWidth="1"/>
    <col min="9808" max="9808" width="8.875" style="289" customWidth="1"/>
    <col min="9809" max="9809" width="9.625" style="289" customWidth="1"/>
    <col min="9810" max="9811" width="11.875" style="289" customWidth="1"/>
    <col min="9812" max="9812" width="11.5" style="289" customWidth="1"/>
    <col min="9813" max="9828" width="12.25" style="289" customWidth="1"/>
    <col min="9829" max="9829" width="13" style="289" customWidth="1"/>
    <col min="9830" max="9834" width="12.375" style="289" customWidth="1"/>
    <col min="9835" max="9835" width="13" style="289" customWidth="1"/>
    <col min="9836" max="9837" width="12.375" style="289" customWidth="1"/>
    <col min="9838" max="9838" width="13" style="289" customWidth="1"/>
    <col min="9839" max="9839" width="13.125" style="289" customWidth="1"/>
    <col min="9840" max="9840" width="13" style="289" customWidth="1"/>
    <col min="9841" max="9841" width="13.125" style="289" customWidth="1"/>
    <col min="9842" max="9843" width="12.375" style="289" customWidth="1"/>
    <col min="9844" max="9844" width="13" style="289" customWidth="1"/>
    <col min="9845" max="9845" width="12.375" style="289" customWidth="1"/>
    <col min="9846" max="9846" width="12.25" style="289" customWidth="1"/>
    <col min="9847" max="9847" width="12.125" style="289" customWidth="1"/>
    <col min="9848" max="9848" width="11.625" style="289" customWidth="1"/>
    <col min="9849" max="9849" width="12" style="289" customWidth="1"/>
    <col min="9850" max="9850" width="13" style="289" customWidth="1"/>
    <col min="9851" max="9851" width="11.625" style="289" customWidth="1"/>
    <col min="9852" max="9853" width="12" style="289" customWidth="1"/>
    <col min="9854" max="9856" width="11.625" style="289" customWidth="1"/>
    <col min="9857" max="9857" width="11.125" style="289" customWidth="1"/>
    <col min="9858" max="9858" width="12" style="289" customWidth="1"/>
    <col min="9859" max="9859" width="13" style="289" customWidth="1"/>
    <col min="9860" max="9860" width="13.625" style="289" customWidth="1"/>
    <col min="9861" max="9861" width="11.875" style="289" customWidth="1"/>
    <col min="9862" max="9863" width="11.625" style="289" customWidth="1"/>
    <col min="9864" max="9864" width="12" style="289" customWidth="1"/>
    <col min="9865" max="9865" width="12.75" style="289" customWidth="1"/>
    <col min="9866" max="9866" width="11.625" style="289" customWidth="1"/>
    <col min="9867" max="9867" width="12.125" style="289" customWidth="1"/>
    <col min="9868" max="9869" width="11.625" style="289" customWidth="1"/>
    <col min="9870" max="9870" width="12.5" style="289" customWidth="1"/>
    <col min="9871" max="10045" width="11.625" style="289" customWidth="1"/>
    <col min="10046" max="10046" width="17.75" style="289" customWidth="1"/>
    <col min="10047" max="10048" width="9" style="289" customWidth="1"/>
    <col min="10049" max="10049" width="16.25" style="289" customWidth="1"/>
    <col min="10050" max="10050" width="24" style="289" customWidth="1"/>
    <col min="10051" max="10051" width="9" style="289"/>
    <col min="10052" max="10052" width="11.75" style="289" customWidth="1"/>
    <col min="10053" max="10053" width="8.875" style="289" customWidth="1"/>
    <col min="10054" max="10054" width="17.375" style="289" customWidth="1"/>
    <col min="10055" max="10055" width="13.25" style="289" customWidth="1"/>
    <col min="10056" max="10056" width="25.75" style="289" customWidth="1"/>
    <col min="10057" max="10057" width="11.125" style="289" customWidth="1"/>
    <col min="10058" max="10058" width="10.75" style="289" customWidth="1"/>
    <col min="10059" max="10059" width="9" style="289" customWidth="1"/>
    <col min="10060" max="10060" width="9.75" style="289" customWidth="1"/>
    <col min="10061" max="10061" width="7.5" style="289" customWidth="1"/>
    <col min="10062" max="10062" width="13.25" style="289" customWidth="1"/>
    <col min="10063" max="10063" width="11.75" style="289" customWidth="1"/>
    <col min="10064" max="10064" width="8.875" style="289" customWidth="1"/>
    <col min="10065" max="10065" width="9.625" style="289" customWidth="1"/>
    <col min="10066" max="10067" width="11.875" style="289" customWidth="1"/>
    <col min="10068" max="10068" width="11.5" style="289" customWidth="1"/>
    <col min="10069" max="10084" width="12.25" style="289" customWidth="1"/>
    <col min="10085" max="10085" width="13" style="289" customWidth="1"/>
    <col min="10086" max="10090" width="12.375" style="289" customWidth="1"/>
    <col min="10091" max="10091" width="13" style="289" customWidth="1"/>
    <col min="10092" max="10093" width="12.375" style="289" customWidth="1"/>
    <col min="10094" max="10094" width="13" style="289" customWidth="1"/>
    <col min="10095" max="10095" width="13.125" style="289" customWidth="1"/>
    <col min="10096" max="10096" width="13" style="289" customWidth="1"/>
    <col min="10097" max="10097" width="13.125" style="289" customWidth="1"/>
    <col min="10098" max="10099" width="12.375" style="289" customWidth="1"/>
    <col min="10100" max="10100" width="13" style="289" customWidth="1"/>
    <col min="10101" max="10101" width="12.375" style="289" customWidth="1"/>
    <col min="10102" max="10102" width="12.25" style="289" customWidth="1"/>
    <col min="10103" max="10103" width="12.125" style="289" customWidth="1"/>
    <col min="10104" max="10104" width="11.625" style="289" customWidth="1"/>
    <col min="10105" max="10105" width="12" style="289" customWidth="1"/>
    <col min="10106" max="10106" width="13" style="289" customWidth="1"/>
    <col min="10107" max="10107" width="11.625" style="289" customWidth="1"/>
    <col min="10108" max="10109" width="12" style="289" customWidth="1"/>
    <col min="10110" max="10112" width="11.625" style="289" customWidth="1"/>
    <col min="10113" max="10113" width="11.125" style="289" customWidth="1"/>
    <col min="10114" max="10114" width="12" style="289" customWidth="1"/>
    <col min="10115" max="10115" width="13" style="289" customWidth="1"/>
    <col min="10116" max="10116" width="13.625" style="289" customWidth="1"/>
    <col min="10117" max="10117" width="11.875" style="289" customWidth="1"/>
    <col min="10118" max="10119" width="11.625" style="289" customWidth="1"/>
    <col min="10120" max="10120" width="12" style="289" customWidth="1"/>
    <col min="10121" max="10121" width="12.75" style="289" customWidth="1"/>
    <col min="10122" max="10122" width="11.625" style="289" customWidth="1"/>
    <col min="10123" max="10123" width="12.125" style="289" customWidth="1"/>
    <col min="10124" max="10125" width="11.625" style="289" customWidth="1"/>
    <col min="10126" max="10126" width="12.5" style="289" customWidth="1"/>
    <col min="10127" max="10301" width="11.625" style="289" customWidth="1"/>
    <col min="10302" max="10302" width="17.75" style="289" customWidth="1"/>
    <col min="10303" max="10304" width="9" style="289" customWidth="1"/>
    <col min="10305" max="10305" width="16.25" style="289" customWidth="1"/>
    <col min="10306" max="10306" width="24" style="289" customWidth="1"/>
    <col min="10307" max="10307" width="9" style="289"/>
    <col min="10308" max="10308" width="11.75" style="289" customWidth="1"/>
    <col min="10309" max="10309" width="8.875" style="289" customWidth="1"/>
    <col min="10310" max="10310" width="17.375" style="289" customWidth="1"/>
    <col min="10311" max="10311" width="13.25" style="289" customWidth="1"/>
    <col min="10312" max="10312" width="25.75" style="289" customWidth="1"/>
    <col min="10313" max="10313" width="11.125" style="289" customWidth="1"/>
    <col min="10314" max="10314" width="10.75" style="289" customWidth="1"/>
    <col min="10315" max="10315" width="9" style="289" customWidth="1"/>
    <col min="10316" max="10316" width="9.75" style="289" customWidth="1"/>
    <col min="10317" max="10317" width="7.5" style="289" customWidth="1"/>
    <col min="10318" max="10318" width="13.25" style="289" customWidth="1"/>
    <col min="10319" max="10319" width="11.75" style="289" customWidth="1"/>
    <col min="10320" max="10320" width="8.875" style="289" customWidth="1"/>
    <col min="10321" max="10321" width="9.625" style="289" customWidth="1"/>
    <col min="10322" max="10323" width="11.875" style="289" customWidth="1"/>
    <col min="10324" max="10324" width="11.5" style="289" customWidth="1"/>
    <col min="10325" max="10340" width="12.25" style="289" customWidth="1"/>
    <col min="10341" max="10341" width="13" style="289" customWidth="1"/>
    <col min="10342" max="10346" width="12.375" style="289" customWidth="1"/>
    <col min="10347" max="10347" width="13" style="289" customWidth="1"/>
    <col min="10348" max="10349" width="12.375" style="289" customWidth="1"/>
    <col min="10350" max="10350" width="13" style="289" customWidth="1"/>
    <col min="10351" max="10351" width="13.125" style="289" customWidth="1"/>
    <col min="10352" max="10352" width="13" style="289" customWidth="1"/>
    <col min="10353" max="10353" width="13.125" style="289" customWidth="1"/>
    <col min="10354" max="10355" width="12.375" style="289" customWidth="1"/>
    <col min="10356" max="10356" width="13" style="289" customWidth="1"/>
    <col min="10357" max="10357" width="12.375" style="289" customWidth="1"/>
    <col min="10358" max="10358" width="12.25" style="289" customWidth="1"/>
    <col min="10359" max="10359" width="12.125" style="289" customWidth="1"/>
    <col min="10360" max="10360" width="11.625" style="289" customWidth="1"/>
    <col min="10361" max="10361" width="12" style="289" customWidth="1"/>
    <col min="10362" max="10362" width="13" style="289" customWidth="1"/>
    <col min="10363" max="10363" width="11.625" style="289" customWidth="1"/>
    <col min="10364" max="10365" width="12" style="289" customWidth="1"/>
    <col min="10366" max="10368" width="11.625" style="289" customWidth="1"/>
    <col min="10369" max="10369" width="11.125" style="289" customWidth="1"/>
    <col min="10370" max="10370" width="12" style="289" customWidth="1"/>
    <col min="10371" max="10371" width="13" style="289" customWidth="1"/>
    <col min="10372" max="10372" width="13.625" style="289" customWidth="1"/>
    <col min="10373" max="10373" width="11.875" style="289" customWidth="1"/>
    <col min="10374" max="10375" width="11.625" style="289" customWidth="1"/>
    <col min="10376" max="10376" width="12" style="289" customWidth="1"/>
    <col min="10377" max="10377" width="12.75" style="289" customWidth="1"/>
    <col min="10378" max="10378" width="11.625" style="289" customWidth="1"/>
    <col min="10379" max="10379" width="12.125" style="289" customWidth="1"/>
    <col min="10380" max="10381" width="11.625" style="289" customWidth="1"/>
    <col min="10382" max="10382" width="12.5" style="289" customWidth="1"/>
    <col min="10383" max="10557" width="11.625" style="289" customWidth="1"/>
    <col min="10558" max="10558" width="17.75" style="289" customWidth="1"/>
    <col min="10559" max="10560" width="9" style="289" customWidth="1"/>
    <col min="10561" max="10561" width="16.25" style="289" customWidth="1"/>
    <col min="10562" max="10562" width="24" style="289" customWidth="1"/>
    <col min="10563" max="10563" width="9" style="289"/>
    <col min="10564" max="10564" width="11.75" style="289" customWidth="1"/>
    <col min="10565" max="10565" width="8.875" style="289" customWidth="1"/>
    <col min="10566" max="10566" width="17.375" style="289" customWidth="1"/>
    <col min="10567" max="10567" width="13.25" style="289" customWidth="1"/>
    <col min="10568" max="10568" width="25.75" style="289" customWidth="1"/>
    <col min="10569" max="10569" width="11.125" style="289" customWidth="1"/>
    <col min="10570" max="10570" width="10.75" style="289" customWidth="1"/>
    <col min="10571" max="10571" width="9" style="289" customWidth="1"/>
    <col min="10572" max="10572" width="9.75" style="289" customWidth="1"/>
    <col min="10573" max="10573" width="7.5" style="289" customWidth="1"/>
    <col min="10574" max="10574" width="13.25" style="289" customWidth="1"/>
    <col min="10575" max="10575" width="11.75" style="289" customWidth="1"/>
    <col min="10576" max="10576" width="8.875" style="289" customWidth="1"/>
    <col min="10577" max="10577" width="9.625" style="289" customWidth="1"/>
    <col min="10578" max="10579" width="11.875" style="289" customWidth="1"/>
    <col min="10580" max="10580" width="11.5" style="289" customWidth="1"/>
    <col min="10581" max="10596" width="12.25" style="289" customWidth="1"/>
    <col min="10597" max="10597" width="13" style="289" customWidth="1"/>
    <col min="10598" max="10602" width="12.375" style="289" customWidth="1"/>
    <col min="10603" max="10603" width="13" style="289" customWidth="1"/>
    <col min="10604" max="10605" width="12.375" style="289" customWidth="1"/>
    <col min="10606" max="10606" width="13" style="289" customWidth="1"/>
    <col min="10607" max="10607" width="13.125" style="289" customWidth="1"/>
    <col min="10608" max="10608" width="13" style="289" customWidth="1"/>
    <col min="10609" max="10609" width="13.125" style="289" customWidth="1"/>
    <col min="10610" max="10611" width="12.375" style="289" customWidth="1"/>
    <col min="10612" max="10612" width="13" style="289" customWidth="1"/>
    <col min="10613" max="10613" width="12.375" style="289" customWidth="1"/>
    <col min="10614" max="10614" width="12.25" style="289" customWidth="1"/>
    <col min="10615" max="10615" width="12.125" style="289" customWidth="1"/>
    <col min="10616" max="10616" width="11.625" style="289" customWidth="1"/>
    <col min="10617" max="10617" width="12" style="289" customWidth="1"/>
    <col min="10618" max="10618" width="13" style="289" customWidth="1"/>
    <col min="10619" max="10619" width="11.625" style="289" customWidth="1"/>
    <col min="10620" max="10621" width="12" style="289" customWidth="1"/>
    <col min="10622" max="10624" width="11.625" style="289" customWidth="1"/>
    <col min="10625" max="10625" width="11.125" style="289" customWidth="1"/>
    <col min="10626" max="10626" width="12" style="289" customWidth="1"/>
    <col min="10627" max="10627" width="13" style="289" customWidth="1"/>
    <col min="10628" max="10628" width="13.625" style="289" customWidth="1"/>
    <col min="10629" max="10629" width="11.875" style="289" customWidth="1"/>
    <col min="10630" max="10631" width="11.625" style="289" customWidth="1"/>
    <col min="10632" max="10632" width="12" style="289" customWidth="1"/>
    <col min="10633" max="10633" width="12.75" style="289" customWidth="1"/>
    <col min="10634" max="10634" width="11.625" style="289" customWidth="1"/>
    <col min="10635" max="10635" width="12.125" style="289" customWidth="1"/>
    <col min="10636" max="10637" width="11.625" style="289" customWidth="1"/>
    <col min="10638" max="10638" width="12.5" style="289" customWidth="1"/>
    <col min="10639" max="10813" width="11.625" style="289" customWidth="1"/>
    <col min="10814" max="10814" width="17.75" style="289" customWidth="1"/>
    <col min="10815" max="10816" width="9" style="289" customWidth="1"/>
    <col min="10817" max="10817" width="16.25" style="289" customWidth="1"/>
    <col min="10818" max="10818" width="24" style="289" customWidth="1"/>
    <col min="10819" max="10819" width="9" style="289"/>
    <col min="10820" max="10820" width="11.75" style="289" customWidth="1"/>
    <col min="10821" max="10821" width="8.875" style="289" customWidth="1"/>
    <col min="10822" max="10822" width="17.375" style="289" customWidth="1"/>
    <col min="10823" max="10823" width="13.25" style="289" customWidth="1"/>
    <col min="10824" max="10824" width="25.75" style="289" customWidth="1"/>
    <col min="10825" max="10825" width="11.125" style="289" customWidth="1"/>
    <col min="10826" max="10826" width="10.75" style="289" customWidth="1"/>
    <col min="10827" max="10827" width="9" style="289" customWidth="1"/>
    <col min="10828" max="10828" width="9.75" style="289" customWidth="1"/>
    <col min="10829" max="10829" width="7.5" style="289" customWidth="1"/>
    <col min="10830" max="10830" width="13.25" style="289" customWidth="1"/>
    <col min="10831" max="10831" width="11.75" style="289" customWidth="1"/>
    <col min="10832" max="10832" width="8.875" style="289" customWidth="1"/>
    <col min="10833" max="10833" width="9.625" style="289" customWidth="1"/>
    <col min="10834" max="10835" width="11.875" style="289" customWidth="1"/>
    <col min="10836" max="10836" width="11.5" style="289" customWidth="1"/>
    <col min="10837" max="10852" width="12.25" style="289" customWidth="1"/>
    <col min="10853" max="10853" width="13" style="289" customWidth="1"/>
    <col min="10854" max="10858" width="12.375" style="289" customWidth="1"/>
    <col min="10859" max="10859" width="13" style="289" customWidth="1"/>
    <col min="10860" max="10861" width="12.375" style="289" customWidth="1"/>
    <col min="10862" max="10862" width="13" style="289" customWidth="1"/>
    <col min="10863" max="10863" width="13.125" style="289" customWidth="1"/>
    <col min="10864" max="10864" width="13" style="289" customWidth="1"/>
    <col min="10865" max="10865" width="13.125" style="289" customWidth="1"/>
    <col min="10866" max="10867" width="12.375" style="289" customWidth="1"/>
    <col min="10868" max="10868" width="13" style="289" customWidth="1"/>
    <col min="10869" max="10869" width="12.375" style="289" customWidth="1"/>
    <col min="10870" max="10870" width="12.25" style="289" customWidth="1"/>
    <col min="10871" max="10871" width="12.125" style="289" customWidth="1"/>
    <col min="10872" max="10872" width="11.625" style="289" customWidth="1"/>
    <col min="10873" max="10873" width="12" style="289" customWidth="1"/>
    <col min="10874" max="10874" width="13" style="289" customWidth="1"/>
    <col min="10875" max="10875" width="11.625" style="289" customWidth="1"/>
    <col min="10876" max="10877" width="12" style="289" customWidth="1"/>
    <col min="10878" max="10880" width="11.625" style="289" customWidth="1"/>
    <col min="10881" max="10881" width="11.125" style="289" customWidth="1"/>
    <col min="10882" max="10882" width="12" style="289" customWidth="1"/>
    <col min="10883" max="10883" width="13" style="289" customWidth="1"/>
    <col min="10884" max="10884" width="13.625" style="289" customWidth="1"/>
    <col min="10885" max="10885" width="11.875" style="289" customWidth="1"/>
    <col min="10886" max="10887" width="11.625" style="289" customWidth="1"/>
    <col min="10888" max="10888" width="12" style="289" customWidth="1"/>
    <col min="10889" max="10889" width="12.75" style="289" customWidth="1"/>
    <col min="10890" max="10890" width="11.625" style="289" customWidth="1"/>
    <col min="10891" max="10891" width="12.125" style="289" customWidth="1"/>
    <col min="10892" max="10893" width="11.625" style="289" customWidth="1"/>
    <col min="10894" max="10894" width="12.5" style="289" customWidth="1"/>
    <col min="10895" max="11069" width="11.625" style="289" customWidth="1"/>
    <col min="11070" max="11070" width="17.75" style="289" customWidth="1"/>
    <col min="11071" max="11072" width="9" style="289" customWidth="1"/>
    <col min="11073" max="11073" width="16.25" style="289" customWidth="1"/>
    <col min="11074" max="11074" width="24" style="289" customWidth="1"/>
    <col min="11075" max="11075" width="9" style="289"/>
    <col min="11076" max="11076" width="11.75" style="289" customWidth="1"/>
    <col min="11077" max="11077" width="8.875" style="289" customWidth="1"/>
    <col min="11078" max="11078" width="17.375" style="289" customWidth="1"/>
    <col min="11079" max="11079" width="13.25" style="289" customWidth="1"/>
    <col min="11080" max="11080" width="25.75" style="289" customWidth="1"/>
    <col min="11081" max="11081" width="11.125" style="289" customWidth="1"/>
    <col min="11082" max="11082" width="10.75" style="289" customWidth="1"/>
    <col min="11083" max="11083" width="9" style="289" customWidth="1"/>
    <col min="11084" max="11084" width="9.75" style="289" customWidth="1"/>
    <col min="11085" max="11085" width="7.5" style="289" customWidth="1"/>
    <col min="11086" max="11086" width="13.25" style="289" customWidth="1"/>
    <col min="11087" max="11087" width="11.75" style="289" customWidth="1"/>
    <col min="11088" max="11088" width="8.875" style="289" customWidth="1"/>
    <col min="11089" max="11089" width="9.625" style="289" customWidth="1"/>
    <col min="11090" max="11091" width="11.875" style="289" customWidth="1"/>
    <col min="11092" max="11092" width="11.5" style="289" customWidth="1"/>
    <col min="11093" max="11108" width="12.25" style="289" customWidth="1"/>
    <col min="11109" max="11109" width="13" style="289" customWidth="1"/>
    <col min="11110" max="11114" width="12.375" style="289" customWidth="1"/>
    <col min="11115" max="11115" width="13" style="289" customWidth="1"/>
    <col min="11116" max="11117" width="12.375" style="289" customWidth="1"/>
    <col min="11118" max="11118" width="13" style="289" customWidth="1"/>
    <col min="11119" max="11119" width="13.125" style="289" customWidth="1"/>
    <col min="11120" max="11120" width="13" style="289" customWidth="1"/>
    <col min="11121" max="11121" width="13.125" style="289" customWidth="1"/>
    <col min="11122" max="11123" width="12.375" style="289" customWidth="1"/>
    <col min="11124" max="11124" width="13" style="289" customWidth="1"/>
    <col min="11125" max="11125" width="12.375" style="289" customWidth="1"/>
    <col min="11126" max="11126" width="12.25" style="289" customWidth="1"/>
    <col min="11127" max="11127" width="12.125" style="289" customWidth="1"/>
    <col min="11128" max="11128" width="11.625" style="289" customWidth="1"/>
    <col min="11129" max="11129" width="12" style="289" customWidth="1"/>
    <col min="11130" max="11130" width="13" style="289" customWidth="1"/>
    <col min="11131" max="11131" width="11.625" style="289" customWidth="1"/>
    <col min="11132" max="11133" width="12" style="289" customWidth="1"/>
    <col min="11134" max="11136" width="11.625" style="289" customWidth="1"/>
    <col min="11137" max="11137" width="11.125" style="289" customWidth="1"/>
    <col min="11138" max="11138" width="12" style="289" customWidth="1"/>
    <col min="11139" max="11139" width="13" style="289" customWidth="1"/>
    <col min="11140" max="11140" width="13.625" style="289" customWidth="1"/>
    <col min="11141" max="11141" width="11.875" style="289" customWidth="1"/>
    <col min="11142" max="11143" width="11.625" style="289" customWidth="1"/>
    <col min="11144" max="11144" width="12" style="289" customWidth="1"/>
    <col min="11145" max="11145" width="12.75" style="289" customWidth="1"/>
    <col min="11146" max="11146" width="11.625" style="289" customWidth="1"/>
    <col min="11147" max="11147" width="12.125" style="289" customWidth="1"/>
    <col min="11148" max="11149" width="11.625" style="289" customWidth="1"/>
    <col min="11150" max="11150" width="12.5" style="289" customWidth="1"/>
    <col min="11151" max="11325" width="11.625" style="289" customWidth="1"/>
    <col min="11326" max="11326" width="17.75" style="289" customWidth="1"/>
    <col min="11327" max="11328" width="9" style="289" customWidth="1"/>
    <col min="11329" max="11329" width="16.25" style="289" customWidth="1"/>
    <col min="11330" max="11330" width="24" style="289" customWidth="1"/>
    <col min="11331" max="11331" width="9" style="289"/>
    <col min="11332" max="11332" width="11.75" style="289" customWidth="1"/>
    <col min="11333" max="11333" width="8.875" style="289" customWidth="1"/>
    <col min="11334" max="11334" width="17.375" style="289" customWidth="1"/>
    <col min="11335" max="11335" width="13.25" style="289" customWidth="1"/>
    <col min="11336" max="11336" width="25.75" style="289" customWidth="1"/>
    <col min="11337" max="11337" width="11.125" style="289" customWidth="1"/>
    <col min="11338" max="11338" width="10.75" style="289" customWidth="1"/>
    <col min="11339" max="11339" width="9" style="289" customWidth="1"/>
    <col min="11340" max="11340" width="9.75" style="289" customWidth="1"/>
    <col min="11341" max="11341" width="7.5" style="289" customWidth="1"/>
    <col min="11342" max="11342" width="13.25" style="289" customWidth="1"/>
    <col min="11343" max="11343" width="11.75" style="289" customWidth="1"/>
    <col min="11344" max="11344" width="8.875" style="289" customWidth="1"/>
    <col min="11345" max="11345" width="9.625" style="289" customWidth="1"/>
    <col min="11346" max="11347" width="11.875" style="289" customWidth="1"/>
    <col min="11348" max="11348" width="11.5" style="289" customWidth="1"/>
    <col min="11349" max="11364" width="12.25" style="289" customWidth="1"/>
    <col min="11365" max="11365" width="13" style="289" customWidth="1"/>
    <col min="11366" max="11370" width="12.375" style="289" customWidth="1"/>
    <col min="11371" max="11371" width="13" style="289" customWidth="1"/>
    <col min="11372" max="11373" width="12.375" style="289" customWidth="1"/>
    <col min="11374" max="11374" width="13" style="289" customWidth="1"/>
    <col min="11375" max="11375" width="13.125" style="289" customWidth="1"/>
    <col min="11376" max="11376" width="13" style="289" customWidth="1"/>
    <col min="11377" max="11377" width="13.125" style="289" customWidth="1"/>
    <col min="11378" max="11379" width="12.375" style="289" customWidth="1"/>
    <col min="11380" max="11380" width="13" style="289" customWidth="1"/>
    <col min="11381" max="11381" width="12.375" style="289" customWidth="1"/>
    <col min="11382" max="11382" width="12.25" style="289" customWidth="1"/>
    <col min="11383" max="11383" width="12.125" style="289" customWidth="1"/>
    <col min="11384" max="11384" width="11.625" style="289" customWidth="1"/>
    <col min="11385" max="11385" width="12" style="289" customWidth="1"/>
    <col min="11386" max="11386" width="13" style="289" customWidth="1"/>
    <col min="11387" max="11387" width="11.625" style="289" customWidth="1"/>
    <col min="11388" max="11389" width="12" style="289" customWidth="1"/>
    <col min="11390" max="11392" width="11.625" style="289" customWidth="1"/>
    <col min="11393" max="11393" width="11.125" style="289" customWidth="1"/>
    <col min="11394" max="11394" width="12" style="289" customWidth="1"/>
    <col min="11395" max="11395" width="13" style="289" customWidth="1"/>
    <col min="11396" max="11396" width="13.625" style="289" customWidth="1"/>
    <col min="11397" max="11397" width="11.875" style="289" customWidth="1"/>
    <col min="11398" max="11399" width="11.625" style="289" customWidth="1"/>
    <col min="11400" max="11400" width="12" style="289" customWidth="1"/>
    <col min="11401" max="11401" width="12.75" style="289" customWidth="1"/>
    <col min="11402" max="11402" width="11.625" style="289" customWidth="1"/>
    <col min="11403" max="11403" width="12.125" style="289" customWidth="1"/>
    <col min="11404" max="11405" width="11.625" style="289" customWidth="1"/>
    <col min="11406" max="11406" width="12.5" style="289" customWidth="1"/>
    <col min="11407" max="11581" width="11.625" style="289" customWidth="1"/>
    <col min="11582" max="11582" width="17.75" style="289" customWidth="1"/>
    <col min="11583" max="11584" width="9" style="289" customWidth="1"/>
    <col min="11585" max="11585" width="16.25" style="289" customWidth="1"/>
    <col min="11586" max="11586" width="24" style="289" customWidth="1"/>
    <col min="11587" max="11587" width="9" style="289"/>
    <col min="11588" max="11588" width="11.75" style="289" customWidth="1"/>
    <col min="11589" max="11589" width="8.875" style="289" customWidth="1"/>
    <col min="11590" max="11590" width="17.375" style="289" customWidth="1"/>
    <col min="11591" max="11591" width="13.25" style="289" customWidth="1"/>
    <col min="11592" max="11592" width="25.75" style="289" customWidth="1"/>
    <col min="11593" max="11593" width="11.125" style="289" customWidth="1"/>
    <col min="11594" max="11594" width="10.75" style="289" customWidth="1"/>
    <col min="11595" max="11595" width="9" style="289" customWidth="1"/>
    <col min="11596" max="11596" width="9.75" style="289" customWidth="1"/>
    <col min="11597" max="11597" width="7.5" style="289" customWidth="1"/>
    <col min="11598" max="11598" width="13.25" style="289" customWidth="1"/>
    <col min="11599" max="11599" width="11.75" style="289" customWidth="1"/>
    <col min="11600" max="11600" width="8.875" style="289" customWidth="1"/>
    <col min="11601" max="11601" width="9.625" style="289" customWidth="1"/>
    <col min="11602" max="11603" width="11.875" style="289" customWidth="1"/>
    <col min="11604" max="11604" width="11.5" style="289" customWidth="1"/>
    <col min="11605" max="11620" width="12.25" style="289" customWidth="1"/>
    <col min="11621" max="11621" width="13" style="289" customWidth="1"/>
    <col min="11622" max="11626" width="12.375" style="289" customWidth="1"/>
    <col min="11627" max="11627" width="13" style="289" customWidth="1"/>
    <col min="11628" max="11629" width="12.375" style="289" customWidth="1"/>
    <col min="11630" max="11630" width="13" style="289" customWidth="1"/>
    <col min="11631" max="11631" width="13.125" style="289" customWidth="1"/>
    <col min="11632" max="11632" width="13" style="289" customWidth="1"/>
    <col min="11633" max="11633" width="13.125" style="289" customWidth="1"/>
    <col min="11634" max="11635" width="12.375" style="289" customWidth="1"/>
    <col min="11636" max="11636" width="13" style="289" customWidth="1"/>
    <col min="11637" max="11637" width="12.375" style="289" customWidth="1"/>
    <col min="11638" max="11638" width="12.25" style="289" customWidth="1"/>
    <col min="11639" max="11639" width="12.125" style="289" customWidth="1"/>
    <col min="11640" max="11640" width="11.625" style="289" customWidth="1"/>
    <col min="11641" max="11641" width="12" style="289" customWidth="1"/>
    <col min="11642" max="11642" width="13" style="289" customWidth="1"/>
    <col min="11643" max="11643" width="11.625" style="289" customWidth="1"/>
    <col min="11644" max="11645" width="12" style="289" customWidth="1"/>
    <col min="11646" max="11648" width="11.625" style="289" customWidth="1"/>
    <col min="11649" max="11649" width="11.125" style="289" customWidth="1"/>
    <col min="11650" max="11650" width="12" style="289" customWidth="1"/>
    <col min="11651" max="11651" width="13" style="289" customWidth="1"/>
    <col min="11652" max="11652" width="13.625" style="289" customWidth="1"/>
    <col min="11653" max="11653" width="11.875" style="289" customWidth="1"/>
    <col min="11654" max="11655" width="11.625" style="289" customWidth="1"/>
    <col min="11656" max="11656" width="12" style="289" customWidth="1"/>
    <col min="11657" max="11657" width="12.75" style="289" customWidth="1"/>
    <col min="11658" max="11658" width="11.625" style="289" customWidth="1"/>
    <col min="11659" max="11659" width="12.125" style="289" customWidth="1"/>
    <col min="11660" max="11661" width="11.625" style="289" customWidth="1"/>
    <col min="11662" max="11662" width="12.5" style="289" customWidth="1"/>
    <col min="11663" max="11837" width="11.625" style="289" customWidth="1"/>
    <col min="11838" max="11838" width="17.75" style="289" customWidth="1"/>
    <col min="11839" max="11840" width="9" style="289" customWidth="1"/>
    <col min="11841" max="11841" width="16.25" style="289" customWidth="1"/>
    <col min="11842" max="11842" width="24" style="289" customWidth="1"/>
    <col min="11843" max="11843" width="9" style="289"/>
    <col min="11844" max="11844" width="11.75" style="289" customWidth="1"/>
    <col min="11845" max="11845" width="8.875" style="289" customWidth="1"/>
    <col min="11846" max="11846" width="17.375" style="289" customWidth="1"/>
    <col min="11847" max="11847" width="13.25" style="289" customWidth="1"/>
    <col min="11848" max="11848" width="25.75" style="289" customWidth="1"/>
    <col min="11849" max="11849" width="11.125" style="289" customWidth="1"/>
    <col min="11850" max="11850" width="10.75" style="289" customWidth="1"/>
    <col min="11851" max="11851" width="9" style="289" customWidth="1"/>
    <col min="11852" max="11852" width="9.75" style="289" customWidth="1"/>
    <col min="11853" max="11853" width="7.5" style="289" customWidth="1"/>
    <col min="11854" max="11854" width="13.25" style="289" customWidth="1"/>
    <col min="11855" max="11855" width="11.75" style="289" customWidth="1"/>
    <col min="11856" max="11856" width="8.875" style="289" customWidth="1"/>
    <col min="11857" max="11857" width="9.625" style="289" customWidth="1"/>
    <col min="11858" max="11859" width="11.875" style="289" customWidth="1"/>
    <col min="11860" max="11860" width="11.5" style="289" customWidth="1"/>
    <col min="11861" max="11876" width="12.25" style="289" customWidth="1"/>
    <col min="11877" max="11877" width="13" style="289" customWidth="1"/>
    <col min="11878" max="11882" width="12.375" style="289" customWidth="1"/>
    <col min="11883" max="11883" width="13" style="289" customWidth="1"/>
    <col min="11884" max="11885" width="12.375" style="289" customWidth="1"/>
    <col min="11886" max="11886" width="13" style="289" customWidth="1"/>
    <col min="11887" max="11887" width="13.125" style="289" customWidth="1"/>
    <col min="11888" max="11888" width="13" style="289" customWidth="1"/>
    <col min="11889" max="11889" width="13.125" style="289" customWidth="1"/>
    <col min="11890" max="11891" width="12.375" style="289" customWidth="1"/>
    <col min="11892" max="11892" width="13" style="289" customWidth="1"/>
    <col min="11893" max="11893" width="12.375" style="289" customWidth="1"/>
    <col min="11894" max="11894" width="12.25" style="289" customWidth="1"/>
    <col min="11895" max="11895" width="12.125" style="289" customWidth="1"/>
    <col min="11896" max="11896" width="11.625" style="289" customWidth="1"/>
    <col min="11897" max="11897" width="12" style="289" customWidth="1"/>
    <col min="11898" max="11898" width="13" style="289" customWidth="1"/>
    <col min="11899" max="11899" width="11.625" style="289" customWidth="1"/>
    <col min="11900" max="11901" width="12" style="289" customWidth="1"/>
    <col min="11902" max="11904" width="11.625" style="289" customWidth="1"/>
    <col min="11905" max="11905" width="11.125" style="289" customWidth="1"/>
    <col min="11906" max="11906" width="12" style="289" customWidth="1"/>
    <col min="11907" max="11907" width="13" style="289" customWidth="1"/>
    <col min="11908" max="11908" width="13.625" style="289" customWidth="1"/>
    <col min="11909" max="11909" width="11.875" style="289" customWidth="1"/>
    <col min="11910" max="11911" width="11.625" style="289" customWidth="1"/>
    <col min="11912" max="11912" width="12" style="289" customWidth="1"/>
    <col min="11913" max="11913" width="12.75" style="289" customWidth="1"/>
    <col min="11914" max="11914" width="11.625" style="289" customWidth="1"/>
    <col min="11915" max="11915" width="12.125" style="289" customWidth="1"/>
    <col min="11916" max="11917" width="11.625" style="289" customWidth="1"/>
    <col min="11918" max="11918" width="12.5" style="289" customWidth="1"/>
    <col min="11919" max="12093" width="11.625" style="289" customWidth="1"/>
    <col min="12094" max="12094" width="17.75" style="289" customWidth="1"/>
    <col min="12095" max="12096" width="9" style="289" customWidth="1"/>
    <col min="12097" max="12097" width="16.25" style="289" customWidth="1"/>
    <col min="12098" max="12098" width="24" style="289" customWidth="1"/>
    <col min="12099" max="12099" width="9" style="289"/>
    <col min="12100" max="12100" width="11.75" style="289" customWidth="1"/>
    <col min="12101" max="12101" width="8.875" style="289" customWidth="1"/>
    <col min="12102" max="12102" width="17.375" style="289" customWidth="1"/>
    <col min="12103" max="12103" width="13.25" style="289" customWidth="1"/>
    <col min="12104" max="12104" width="25.75" style="289" customWidth="1"/>
    <col min="12105" max="12105" width="11.125" style="289" customWidth="1"/>
    <col min="12106" max="12106" width="10.75" style="289" customWidth="1"/>
    <col min="12107" max="12107" width="9" style="289" customWidth="1"/>
    <col min="12108" max="12108" width="9.75" style="289" customWidth="1"/>
    <col min="12109" max="12109" width="7.5" style="289" customWidth="1"/>
    <col min="12110" max="12110" width="13.25" style="289" customWidth="1"/>
    <col min="12111" max="12111" width="11.75" style="289" customWidth="1"/>
    <col min="12112" max="12112" width="8.875" style="289" customWidth="1"/>
    <col min="12113" max="12113" width="9.625" style="289" customWidth="1"/>
    <col min="12114" max="12115" width="11.875" style="289" customWidth="1"/>
    <col min="12116" max="12116" width="11.5" style="289" customWidth="1"/>
    <col min="12117" max="12132" width="12.25" style="289" customWidth="1"/>
    <col min="12133" max="12133" width="13" style="289" customWidth="1"/>
    <col min="12134" max="12138" width="12.375" style="289" customWidth="1"/>
    <col min="12139" max="12139" width="13" style="289" customWidth="1"/>
    <col min="12140" max="12141" width="12.375" style="289" customWidth="1"/>
    <col min="12142" max="12142" width="13" style="289" customWidth="1"/>
    <col min="12143" max="12143" width="13.125" style="289" customWidth="1"/>
    <col min="12144" max="12144" width="13" style="289" customWidth="1"/>
    <col min="12145" max="12145" width="13.125" style="289" customWidth="1"/>
    <col min="12146" max="12147" width="12.375" style="289" customWidth="1"/>
    <col min="12148" max="12148" width="13" style="289" customWidth="1"/>
    <col min="12149" max="12149" width="12.375" style="289" customWidth="1"/>
    <col min="12150" max="12150" width="12.25" style="289" customWidth="1"/>
    <col min="12151" max="12151" width="12.125" style="289" customWidth="1"/>
    <col min="12152" max="12152" width="11.625" style="289" customWidth="1"/>
    <col min="12153" max="12153" width="12" style="289" customWidth="1"/>
    <col min="12154" max="12154" width="13" style="289" customWidth="1"/>
    <col min="12155" max="12155" width="11.625" style="289" customWidth="1"/>
    <col min="12156" max="12157" width="12" style="289" customWidth="1"/>
    <col min="12158" max="12160" width="11.625" style="289" customWidth="1"/>
    <col min="12161" max="12161" width="11.125" style="289" customWidth="1"/>
    <col min="12162" max="12162" width="12" style="289" customWidth="1"/>
    <col min="12163" max="12163" width="13" style="289" customWidth="1"/>
    <col min="12164" max="12164" width="13.625" style="289" customWidth="1"/>
    <col min="12165" max="12165" width="11.875" style="289" customWidth="1"/>
    <col min="12166" max="12167" width="11.625" style="289" customWidth="1"/>
    <col min="12168" max="12168" width="12" style="289" customWidth="1"/>
    <col min="12169" max="12169" width="12.75" style="289" customWidth="1"/>
    <col min="12170" max="12170" width="11.625" style="289" customWidth="1"/>
    <col min="12171" max="12171" width="12.125" style="289" customWidth="1"/>
    <col min="12172" max="12173" width="11.625" style="289" customWidth="1"/>
    <col min="12174" max="12174" width="12.5" style="289" customWidth="1"/>
    <col min="12175" max="12349" width="11.625" style="289" customWidth="1"/>
    <col min="12350" max="12350" width="17.75" style="289" customWidth="1"/>
    <col min="12351" max="12352" width="9" style="289" customWidth="1"/>
    <col min="12353" max="12353" width="16.25" style="289" customWidth="1"/>
    <col min="12354" max="12354" width="24" style="289" customWidth="1"/>
    <col min="12355" max="12355" width="9" style="289"/>
    <col min="12356" max="12356" width="11.75" style="289" customWidth="1"/>
    <col min="12357" max="12357" width="8.875" style="289" customWidth="1"/>
    <col min="12358" max="12358" width="17.375" style="289" customWidth="1"/>
    <col min="12359" max="12359" width="13.25" style="289" customWidth="1"/>
    <col min="12360" max="12360" width="25.75" style="289" customWidth="1"/>
    <col min="12361" max="12361" width="11.125" style="289" customWidth="1"/>
    <col min="12362" max="12362" width="10.75" style="289" customWidth="1"/>
    <col min="12363" max="12363" width="9" style="289" customWidth="1"/>
    <col min="12364" max="12364" width="9.75" style="289" customWidth="1"/>
    <col min="12365" max="12365" width="7.5" style="289" customWidth="1"/>
    <col min="12366" max="12366" width="13.25" style="289" customWidth="1"/>
    <col min="12367" max="12367" width="11.75" style="289" customWidth="1"/>
    <col min="12368" max="12368" width="8.875" style="289" customWidth="1"/>
    <col min="12369" max="12369" width="9.625" style="289" customWidth="1"/>
    <col min="12370" max="12371" width="11.875" style="289" customWidth="1"/>
    <col min="12372" max="12372" width="11.5" style="289" customWidth="1"/>
    <col min="12373" max="12388" width="12.25" style="289" customWidth="1"/>
    <col min="12389" max="12389" width="13" style="289" customWidth="1"/>
    <col min="12390" max="12394" width="12.375" style="289" customWidth="1"/>
    <col min="12395" max="12395" width="13" style="289" customWidth="1"/>
    <col min="12396" max="12397" width="12.375" style="289" customWidth="1"/>
    <col min="12398" max="12398" width="13" style="289" customWidth="1"/>
    <col min="12399" max="12399" width="13.125" style="289" customWidth="1"/>
    <col min="12400" max="12400" width="13" style="289" customWidth="1"/>
    <col min="12401" max="12401" width="13.125" style="289" customWidth="1"/>
    <col min="12402" max="12403" width="12.375" style="289" customWidth="1"/>
    <col min="12404" max="12404" width="13" style="289" customWidth="1"/>
    <col min="12405" max="12405" width="12.375" style="289" customWidth="1"/>
    <col min="12406" max="12406" width="12.25" style="289" customWidth="1"/>
    <col min="12407" max="12407" width="12.125" style="289" customWidth="1"/>
    <col min="12408" max="12408" width="11.625" style="289" customWidth="1"/>
    <col min="12409" max="12409" width="12" style="289" customWidth="1"/>
    <col min="12410" max="12410" width="13" style="289" customWidth="1"/>
    <col min="12411" max="12411" width="11.625" style="289" customWidth="1"/>
    <col min="12412" max="12413" width="12" style="289" customWidth="1"/>
    <col min="12414" max="12416" width="11.625" style="289" customWidth="1"/>
    <col min="12417" max="12417" width="11.125" style="289" customWidth="1"/>
    <col min="12418" max="12418" width="12" style="289" customWidth="1"/>
    <col min="12419" max="12419" width="13" style="289" customWidth="1"/>
    <col min="12420" max="12420" width="13.625" style="289" customWidth="1"/>
    <col min="12421" max="12421" width="11.875" style="289" customWidth="1"/>
    <col min="12422" max="12423" width="11.625" style="289" customWidth="1"/>
    <col min="12424" max="12424" width="12" style="289" customWidth="1"/>
    <col min="12425" max="12425" width="12.75" style="289" customWidth="1"/>
    <col min="12426" max="12426" width="11.625" style="289" customWidth="1"/>
    <col min="12427" max="12427" width="12.125" style="289" customWidth="1"/>
    <col min="12428" max="12429" width="11.625" style="289" customWidth="1"/>
    <col min="12430" max="12430" width="12.5" style="289" customWidth="1"/>
    <col min="12431" max="12605" width="11.625" style="289" customWidth="1"/>
    <col min="12606" max="12606" width="17.75" style="289" customWidth="1"/>
    <col min="12607" max="12608" width="9" style="289" customWidth="1"/>
    <col min="12609" max="12609" width="16.25" style="289" customWidth="1"/>
    <col min="12610" max="12610" width="24" style="289" customWidth="1"/>
    <col min="12611" max="12611" width="9" style="289"/>
    <col min="12612" max="12612" width="11.75" style="289" customWidth="1"/>
    <col min="12613" max="12613" width="8.875" style="289" customWidth="1"/>
    <col min="12614" max="12614" width="17.375" style="289" customWidth="1"/>
    <col min="12615" max="12615" width="13.25" style="289" customWidth="1"/>
    <col min="12616" max="12616" width="25.75" style="289" customWidth="1"/>
    <col min="12617" max="12617" width="11.125" style="289" customWidth="1"/>
    <col min="12618" max="12618" width="10.75" style="289" customWidth="1"/>
    <col min="12619" max="12619" width="9" style="289" customWidth="1"/>
    <col min="12620" max="12620" width="9.75" style="289" customWidth="1"/>
    <col min="12621" max="12621" width="7.5" style="289" customWidth="1"/>
    <col min="12622" max="12622" width="13.25" style="289" customWidth="1"/>
    <col min="12623" max="12623" width="11.75" style="289" customWidth="1"/>
    <col min="12624" max="12624" width="8.875" style="289" customWidth="1"/>
    <col min="12625" max="12625" width="9.625" style="289" customWidth="1"/>
    <col min="12626" max="12627" width="11.875" style="289" customWidth="1"/>
    <col min="12628" max="12628" width="11.5" style="289" customWidth="1"/>
    <col min="12629" max="12644" width="12.25" style="289" customWidth="1"/>
    <col min="12645" max="12645" width="13" style="289" customWidth="1"/>
    <col min="12646" max="12650" width="12.375" style="289" customWidth="1"/>
    <col min="12651" max="12651" width="13" style="289" customWidth="1"/>
    <col min="12652" max="12653" width="12.375" style="289" customWidth="1"/>
    <col min="12654" max="12654" width="13" style="289" customWidth="1"/>
    <col min="12655" max="12655" width="13.125" style="289" customWidth="1"/>
    <col min="12656" max="12656" width="13" style="289" customWidth="1"/>
    <col min="12657" max="12657" width="13.125" style="289" customWidth="1"/>
    <col min="12658" max="12659" width="12.375" style="289" customWidth="1"/>
    <col min="12660" max="12660" width="13" style="289" customWidth="1"/>
    <col min="12661" max="12661" width="12.375" style="289" customWidth="1"/>
    <col min="12662" max="12662" width="12.25" style="289" customWidth="1"/>
    <col min="12663" max="12663" width="12.125" style="289" customWidth="1"/>
    <col min="12664" max="12664" width="11.625" style="289" customWidth="1"/>
    <col min="12665" max="12665" width="12" style="289" customWidth="1"/>
    <col min="12666" max="12666" width="13" style="289" customWidth="1"/>
    <col min="12667" max="12667" width="11.625" style="289" customWidth="1"/>
    <col min="12668" max="12669" width="12" style="289" customWidth="1"/>
    <col min="12670" max="12672" width="11.625" style="289" customWidth="1"/>
    <col min="12673" max="12673" width="11.125" style="289" customWidth="1"/>
    <col min="12674" max="12674" width="12" style="289" customWidth="1"/>
    <col min="12675" max="12675" width="13" style="289" customWidth="1"/>
    <col min="12676" max="12676" width="13.625" style="289" customWidth="1"/>
    <col min="12677" max="12677" width="11.875" style="289" customWidth="1"/>
    <col min="12678" max="12679" width="11.625" style="289" customWidth="1"/>
    <col min="12680" max="12680" width="12" style="289" customWidth="1"/>
    <col min="12681" max="12681" width="12.75" style="289" customWidth="1"/>
    <col min="12682" max="12682" width="11.625" style="289" customWidth="1"/>
    <col min="12683" max="12683" width="12.125" style="289" customWidth="1"/>
    <col min="12684" max="12685" width="11.625" style="289" customWidth="1"/>
    <col min="12686" max="12686" width="12.5" style="289" customWidth="1"/>
    <col min="12687" max="12861" width="11.625" style="289" customWidth="1"/>
    <col min="12862" max="12862" width="17.75" style="289" customWidth="1"/>
    <col min="12863" max="12864" width="9" style="289" customWidth="1"/>
    <col min="12865" max="12865" width="16.25" style="289" customWidth="1"/>
    <col min="12866" max="12866" width="24" style="289" customWidth="1"/>
    <col min="12867" max="12867" width="9" style="289"/>
    <col min="12868" max="12868" width="11.75" style="289" customWidth="1"/>
    <col min="12869" max="12869" width="8.875" style="289" customWidth="1"/>
    <col min="12870" max="12870" width="17.375" style="289" customWidth="1"/>
    <col min="12871" max="12871" width="13.25" style="289" customWidth="1"/>
    <col min="12872" max="12872" width="25.75" style="289" customWidth="1"/>
    <col min="12873" max="12873" width="11.125" style="289" customWidth="1"/>
    <col min="12874" max="12874" width="10.75" style="289" customWidth="1"/>
    <col min="12875" max="12875" width="9" style="289" customWidth="1"/>
    <col min="12876" max="12876" width="9.75" style="289" customWidth="1"/>
    <col min="12877" max="12877" width="7.5" style="289" customWidth="1"/>
    <col min="12878" max="12878" width="13.25" style="289" customWidth="1"/>
    <col min="12879" max="12879" width="11.75" style="289" customWidth="1"/>
    <col min="12880" max="12880" width="8.875" style="289" customWidth="1"/>
    <col min="12881" max="12881" width="9.625" style="289" customWidth="1"/>
    <col min="12882" max="12883" width="11.875" style="289" customWidth="1"/>
    <col min="12884" max="12884" width="11.5" style="289" customWidth="1"/>
    <col min="12885" max="12900" width="12.25" style="289" customWidth="1"/>
    <col min="12901" max="12901" width="13" style="289" customWidth="1"/>
    <col min="12902" max="12906" width="12.375" style="289" customWidth="1"/>
    <col min="12907" max="12907" width="13" style="289" customWidth="1"/>
    <col min="12908" max="12909" width="12.375" style="289" customWidth="1"/>
    <col min="12910" max="12910" width="13" style="289" customWidth="1"/>
    <col min="12911" max="12911" width="13.125" style="289" customWidth="1"/>
    <col min="12912" max="12912" width="13" style="289" customWidth="1"/>
    <col min="12913" max="12913" width="13.125" style="289" customWidth="1"/>
    <col min="12914" max="12915" width="12.375" style="289" customWidth="1"/>
    <col min="12916" max="12916" width="13" style="289" customWidth="1"/>
    <col min="12917" max="12917" width="12.375" style="289" customWidth="1"/>
    <col min="12918" max="12918" width="12.25" style="289" customWidth="1"/>
    <col min="12919" max="12919" width="12.125" style="289" customWidth="1"/>
    <col min="12920" max="12920" width="11.625" style="289" customWidth="1"/>
    <col min="12921" max="12921" width="12" style="289" customWidth="1"/>
    <col min="12922" max="12922" width="13" style="289" customWidth="1"/>
    <col min="12923" max="12923" width="11.625" style="289" customWidth="1"/>
    <col min="12924" max="12925" width="12" style="289" customWidth="1"/>
    <col min="12926" max="12928" width="11.625" style="289" customWidth="1"/>
    <col min="12929" max="12929" width="11.125" style="289" customWidth="1"/>
    <col min="12930" max="12930" width="12" style="289" customWidth="1"/>
    <col min="12931" max="12931" width="13" style="289" customWidth="1"/>
    <col min="12932" max="12932" width="13.625" style="289" customWidth="1"/>
    <col min="12933" max="12933" width="11.875" style="289" customWidth="1"/>
    <col min="12934" max="12935" width="11.625" style="289" customWidth="1"/>
    <col min="12936" max="12936" width="12" style="289" customWidth="1"/>
    <col min="12937" max="12937" width="12.75" style="289" customWidth="1"/>
    <col min="12938" max="12938" width="11.625" style="289" customWidth="1"/>
    <col min="12939" max="12939" width="12.125" style="289" customWidth="1"/>
    <col min="12940" max="12941" width="11.625" style="289" customWidth="1"/>
    <col min="12942" max="12942" width="12.5" style="289" customWidth="1"/>
    <col min="12943" max="13117" width="11.625" style="289" customWidth="1"/>
    <col min="13118" max="13118" width="17.75" style="289" customWidth="1"/>
    <col min="13119" max="13120" width="9" style="289" customWidth="1"/>
    <col min="13121" max="13121" width="16.25" style="289" customWidth="1"/>
    <col min="13122" max="13122" width="24" style="289" customWidth="1"/>
    <col min="13123" max="13123" width="9" style="289"/>
    <col min="13124" max="13124" width="11.75" style="289" customWidth="1"/>
    <col min="13125" max="13125" width="8.875" style="289" customWidth="1"/>
    <col min="13126" max="13126" width="17.375" style="289" customWidth="1"/>
    <col min="13127" max="13127" width="13.25" style="289" customWidth="1"/>
    <col min="13128" max="13128" width="25.75" style="289" customWidth="1"/>
    <col min="13129" max="13129" width="11.125" style="289" customWidth="1"/>
    <col min="13130" max="13130" width="10.75" style="289" customWidth="1"/>
    <col min="13131" max="13131" width="9" style="289" customWidth="1"/>
    <col min="13132" max="13132" width="9.75" style="289" customWidth="1"/>
    <col min="13133" max="13133" width="7.5" style="289" customWidth="1"/>
    <col min="13134" max="13134" width="13.25" style="289" customWidth="1"/>
    <col min="13135" max="13135" width="11.75" style="289" customWidth="1"/>
    <col min="13136" max="13136" width="8.875" style="289" customWidth="1"/>
    <col min="13137" max="13137" width="9.625" style="289" customWidth="1"/>
    <col min="13138" max="13139" width="11.875" style="289" customWidth="1"/>
    <col min="13140" max="13140" width="11.5" style="289" customWidth="1"/>
    <col min="13141" max="13156" width="12.25" style="289" customWidth="1"/>
    <col min="13157" max="13157" width="13" style="289" customWidth="1"/>
    <col min="13158" max="13162" width="12.375" style="289" customWidth="1"/>
    <col min="13163" max="13163" width="13" style="289" customWidth="1"/>
    <col min="13164" max="13165" width="12.375" style="289" customWidth="1"/>
    <col min="13166" max="13166" width="13" style="289" customWidth="1"/>
    <col min="13167" max="13167" width="13.125" style="289" customWidth="1"/>
    <col min="13168" max="13168" width="13" style="289" customWidth="1"/>
    <col min="13169" max="13169" width="13.125" style="289" customWidth="1"/>
    <col min="13170" max="13171" width="12.375" style="289" customWidth="1"/>
    <col min="13172" max="13172" width="13" style="289" customWidth="1"/>
    <col min="13173" max="13173" width="12.375" style="289" customWidth="1"/>
    <col min="13174" max="13174" width="12.25" style="289" customWidth="1"/>
    <col min="13175" max="13175" width="12.125" style="289" customWidth="1"/>
    <col min="13176" max="13176" width="11.625" style="289" customWidth="1"/>
    <col min="13177" max="13177" width="12" style="289" customWidth="1"/>
    <col min="13178" max="13178" width="13" style="289" customWidth="1"/>
    <col min="13179" max="13179" width="11.625" style="289" customWidth="1"/>
    <col min="13180" max="13181" width="12" style="289" customWidth="1"/>
    <col min="13182" max="13184" width="11.625" style="289" customWidth="1"/>
    <col min="13185" max="13185" width="11.125" style="289" customWidth="1"/>
    <col min="13186" max="13186" width="12" style="289" customWidth="1"/>
    <col min="13187" max="13187" width="13" style="289" customWidth="1"/>
    <col min="13188" max="13188" width="13.625" style="289" customWidth="1"/>
    <col min="13189" max="13189" width="11.875" style="289" customWidth="1"/>
    <col min="13190" max="13191" width="11.625" style="289" customWidth="1"/>
    <col min="13192" max="13192" width="12" style="289" customWidth="1"/>
    <col min="13193" max="13193" width="12.75" style="289" customWidth="1"/>
    <col min="13194" max="13194" width="11.625" style="289" customWidth="1"/>
    <col min="13195" max="13195" width="12.125" style="289" customWidth="1"/>
    <col min="13196" max="13197" width="11.625" style="289" customWidth="1"/>
    <col min="13198" max="13198" width="12.5" style="289" customWidth="1"/>
    <col min="13199" max="13373" width="11.625" style="289" customWidth="1"/>
    <col min="13374" max="13374" width="17.75" style="289" customWidth="1"/>
    <col min="13375" max="13376" width="9" style="289" customWidth="1"/>
    <col min="13377" max="13377" width="16.25" style="289" customWidth="1"/>
    <col min="13378" max="13378" width="24" style="289" customWidth="1"/>
    <col min="13379" max="13379" width="9" style="289"/>
    <col min="13380" max="13380" width="11.75" style="289" customWidth="1"/>
    <col min="13381" max="13381" width="8.875" style="289" customWidth="1"/>
    <col min="13382" max="13382" width="17.375" style="289" customWidth="1"/>
    <col min="13383" max="13383" width="13.25" style="289" customWidth="1"/>
    <col min="13384" max="13384" width="25.75" style="289" customWidth="1"/>
    <col min="13385" max="13385" width="11.125" style="289" customWidth="1"/>
    <col min="13386" max="13386" width="10.75" style="289" customWidth="1"/>
    <col min="13387" max="13387" width="9" style="289" customWidth="1"/>
    <col min="13388" max="13388" width="9.75" style="289" customWidth="1"/>
    <col min="13389" max="13389" width="7.5" style="289" customWidth="1"/>
    <col min="13390" max="13390" width="13.25" style="289" customWidth="1"/>
    <col min="13391" max="13391" width="11.75" style="289" customWidth="1"/>
    <col min="13392" max="13392" width="8.875" style="289" customWidth="1"/>
    <col min="13393" max="13393" width="9.625" style="289" customWidth="1"/>
    <col min="13394" max="13395" width="11.875" style="289" customWidth="1"/>
    <col min="13396" max="13396" width="11.5" style="289" customWidth="1"/>
    <col min="13397" max="13412" width="12.25" style="289" customWidth="1"/>
    <col min="13413" max="13413" width="13" style="289" customWidth="1"/>
    <col min="13414" max="13418" width="12.375" style="289" customWidth="1"/>
    <col min="13419" max="13419" width="13" style="289" customWidth="1"/>
    <col min="13420" max="13421" width="12.375" style="289" customWidth="1"/>
    <col min="13422" max="13422" width="13" style="289" customWidth="1"/>
    <col min="13423" max="13423" width="13.125" style="289" customWidth="1"/>
    <col min="13424" max="13424" width="13" style="289" customWidth="1"/>
    <col min="13425" max="13425" width="13.125" style="289" customWidth="1"/>
    <col min="13426" max="13427" width="12.375" style="289" customWidth="1"/>
    <col min="13428" max="13428" width="13" style="289" customWidth="1"/>
    <col min="13429" max="13429" width="12.375" style="289" customWidth="1"/>
    <col min="13430" max="13430" width="12.25" style="289" customWidth="1"/>
    <col min="13431" max="13431" width="12.125" style="289" customWidth="1"/>
    <col min="13432" max="13432" width="11.625" style="289" customWidth="1"/>
    <col min="13433" max="13433" width="12" style="289" customWidth="1"/>
    <col min="13434" max="13434" width="13" style="289" customWidth="1"/>
    <col min="13435" max="13435" width="11.625" style="289" customWidth="1"/>
    <col min="13436" max="13437" width="12" style="289" customWidth="1"/>
    <col min="13438" max="13440" width="11.625" style="289" customWidth="1"/>
    <col min="13441" max="13441" width="11.125" style="289" customWidth="1"/>
    <col min="13442" max="13442" width="12" style="289" customWidth="1"/>
    <col min="13443" max="13443" width="13" style="289" customWidth="1"/>
    <col min="13444" max="13444" width="13.625" style="289" customWidth="1"/>
    <col min="13445" max="13445" width="11.875" style="289" customWidth="1"/>
    <col min="13446" max="13447" width="11.625" style="289" customWidth="1"/>
    <col min="13448" max="13448" width="12" style="289" customWidth="1"/>
    <col min="13449" max="13449" width="12.75" style="289" customWidth="1"/>
    <col min="13450" max="13450" width="11.625" style="289" customWidth="1"/>
    <col min="13451" max="13451" width="12.125" style="289" customWidth="1"/>
    <col min="13452" max="13453" width="11.625" style="289" customWidth="1"/>
    <col min="13454" max="13454" width="12.5" style="289" customWidth="1"/>
    <col min="13455" max="13629" width="11.625" style="289" customWidth="1"/>
    <col min="13630" max="13630" width="17.75" style="289" customWidth="1"/>
    <col min="13631" max="13632" width="9" style="289" customWidth="1"/>
    <col min="13633" max="13633" width="16.25" style="289" customWidth="1"/>
    <col min="13634" max="13634" width="24" style="289" customWidth="1"/>
    <col min="13635" max="13635" width="9" style="289"/>
    <col min="13636" max="13636" width="11.75" style="289" customWidth="1"/>
    <col min="13637" max="13637" width="8.875" style="289" customWidth="1"/>
    <col min="13638" max="13638" width="17.375" style="289" customWidth="1"/>
    <col min="13639" max="13639" width="13.25" style="289" customWidth="1"/>
    <col min="13640" max="13640" width="25.75" style="289" customWidth="1"/>
    <col min="13641" max="13641" width="11.125" style="289" customWidth="1"/>
    <col min="13642" max="13642" width="10.75" style="289" customWidth="1"/>
    <col min="13643" max="13643" width="9" style="289" customWidth="1"/>
    <col min="13644" max="13644" width="9.75" style="289" customWidth="1"/>
    <col min="13645" max="13645" width="7.5" style="289" customWidth="1"/>
    <col min="13646" max="13646" width="13.25" style="289" customWidth="1"/>
    <col min="13647" max="13647" width="11.75" style="289" customWidth="1"/>
    <col min="13648" max="13648" width="8.875" style="289" customWidth="1"/>
    <col min="13649" max="13649" width="9.625" style="289" customWidth="1"/>
    <col min="13650" max="13651" width="11.875" style="289" customWidth="1"/>
    <col min="13652" max="13652" width="11.5" style="289" customWidth="1"/>
    <col min="13653" max="13668" width="12.25" style="289" customWidth="1"/>
    <col min="13669" max="13669" width="13" style="289" customWidth="1"/>
    <col min="13670" max="13674" width="12.375" style="289" customWidth="1"/>
    <col min="13675" max="13675" width="13" style="289" customWidth="1"/>
    <col min="13676" max="13677" width="12.375" style="289" customWidth="1"/>
    <col min="13678" max="13678" width="13" style="289" customWidth="1"/>
    <col min="13679" max="13679" width="13.125" style="289" customWidth="1"/>
    <col min="13680" max="13680" width="13" style="289" customWidth="1"/>
    <col min="13681" max="13681" width="13.125" style="289" customWidth="1"/>
    <col min="13682" max="13683" width="12.375" style="289" customWidth="1"/>
    <col min="13684" max="13684" width="13" style="289" customWidth="1"/>
    <col min="13685" max="13685" width="12.375" style="289" customWidth="1"/>
    <col min="13686" max="13686" width="12.25" style="289" customWidth="1"/>
    <col min="13687" max="13687" width="12.125" style="289" customWidth="1"/>
    <col min="13688" max="13688" width="11.625" style="289" customWidth="1"/>
    <col min="13689" max="13689" width="12" style="289" customWidth="1"/>
    <col min="13690" max="13690" width="13" style="289" customWidth="1"/>
    <col min="13691" max="13691" width="11.625" style="289" customWidth="1"/>
    <col min="13692" max="13693" width="12" style="289" customWidth="1"/>
    <col min="13694" max="13696" width="11.625" style="289" customWidth="1"/>
    <col min="13697" max="13697" width="11.125" style="289" customWidth="1"/>
    <col min="13698" max="13698" width="12" style="289" customWidth="1"/>
    <col min="13699" max="13699" width="13" style="289" customWidth="1"/>
    <col min="13700" max="13700" width="13.625" style="289" customWidth="1"/>
    <col min="13701" max="13701" width="11.875" style="289" customWidth="1"/>
    <col min="13702" max="13703" width="11.625" style="289" customWidth="1"/>
    <col min="13704" max="13704" width="12" style="289" customWidth="1"/>
    <col min="13705" max="13705" width="12.75" style="289" customWidth="1"/>
    <col min="13706" max="13706" width="11.625" style="289" customWidth="1"/>
    <col min="13707" max="13707" width="12.125" style="289" customWidth="1"/>
    <col min="13708" max="13709" width="11.625" style="289" customWidth="1"/>
    <col min="13710" max="13710" width="12.5" style="289" customWidth="1"/>
    <col min="13711" max="13885" width="11.625" style="289" customWidth="1"/>
    <col min="13886" max="13886" width="17.75" style="289" customWidth="1"/>
    <col min="13887" max="13888" width="9" style="289" customWidth="1"/>
    <col min="13889" max="13889" width="16.25" style="289" customWidth="1"/>
    <col min="13890" max="13890" width="24" style="289" customWidth="1"/>
    <col min="13891" max="13891" width="9" style="289"/>
    <col min="13892" max="13892" width="11.75" style="289" customWidth="1"/>
    <col min="13893" max="13893" width="8.875" style="289" customWidth="1"/>
    <col min="13894" max="13894" width="17.375" style="289" customWidth="1"/>
    <col min="13895" max="13895" width="13.25" style="289" customWidth="1"/>
    <col min="13896" max="13896" width="25.75" style="289" customWidth="1"/>
    <col min="13897" max="13897" width="11.125" style="289" customWidth="1"/>
    <col min="13898" max="13898" width="10.75" style="289" customWidth="1"/>
    <col min="13899" max="13899" width="9" style="289" customWidth="1"/>
    <col min="13900" max="13900" width="9.75" style="289" customWidth="1"/>
    <col min="13901" max="13901" width="7.5" style="289" customWidth="1"/>
    <col min="13902" max="13902" width="13.25" style="289" customWidth="1"/>
    <col min="13903" max="13903" width="11.75" style="289" customWidth="1"/>
    <col min="13904" max="13904" width="8.875" style="289" customWidth="1"/>
    <col min="13905" max="13905" width="9.625" style="289" customWidth="1"/>
    <col min="13906" max="13907" width="11.875" style="289" customWidth="1"/>
    <col min="13908" max="13908" width="11.5" style="289" customWidth="1"/>
    <col min="13909" max="13924" width="12.25" style="289" customWidth="1"/>
    <col min="13925" max="13925" width="13" style="289" customWidth="1"/>
    <col min="13926" max="13930" width="12.375" style="289" customWidth="1"/>
    <col min="13931" max="13931" width="13" style="289" customWidth="1"/>
    <col min="13932" max="13933" width="12.375" style="289" customWidth="1"/>
    <col min="13934" max="13934" width="13" style="289" customWidth="1"/>
    <col min="13935" max="13935" width="13.125" style="289" customWidth="1"/>
    <col min="13936" max="13936" width="13" style="289" customWidth="1"/>
    <col min="13937" max="13937" width="13.125" style="289" customWidth="1"/>
    <col min="13938" max="13939" width="12.375" style="289" customWidth="1"/>
    <col min="13940" max="13940" width="13" style="289" customWidth="1"/>
    <col min="13941" max="13941" width="12.375" style="289" customWidth="1"/>
    <col min="13942" max="13942" width="12.25" style="289" customWidth="1"/>
    <col min="13943" max="13943" width="12.125" style="289" customWidth="1"/>
    <col min="13944" max="13944" width="11.625" style="289" customWidth="1"/>
    <col min="13945" max="13945" width="12" style="289" customWidth="1"/>
    <col min="13946" max="13946" width="13" style="289" customWidth="1"/>
    <col min="13947" max="13947" width="11.625" style="289" customWidth="1"/>
    <col min="13948" max="13949" width="12" style="289" customWidth="1"/>
    <col min="13950" max="13952" width="11.625" style="289" customWidth="1"/>
    <col min="13953" max="13953" width="11.125" style="289" customWidth="1"/>
    <col min="13954" max="13954" width="12" style="289" customWidth="1"/>
    <col min="13955" max="13955" width="13" style="289" customWidth="1"/>
    <col min="13956" max="13956" width="13.625" style="289" customWidth="1"/>
    <col min="13957" max="13957" width="11.875" style="289" customWidth="1"/>
    <col min="13958" max="13959" width="11.625" style="289" customWidth="1"/>
    <col min="13960" max="13960" width="12" style="289" customWidth="1"/>
    <col min="13961" max="13961" width="12.75" style="289" customWidth="1"/>
    <col min="13962" max="13962" width="11.625" style="289" customWidth="1"/>
    <col min="13963" max="13963" width="12.125" style="289" customWidth="1"/>
    <col min="13964" max="13965" width="11.625" style="289" customWidth="1"/>
    <col min="13966" max="13966" width="12.5" style="289" customWidth="1"/>
    <col min="13967" max="14141" width="11.625" style="289" customWidth="1"/>
    <col min="14142" max="14142" width="17.75" style="289" customWidth="1"/>
    <col min="14143" max="14144" width="9" style="289" customWidth="1"/>
    <col min="14145" max="14145" width="16.25" style="289" customWidth="1"/>
    <col min="14146" max="14146" width="24" style="289" customWidth="1"/>
    <col min="14147" max="14147" width="9" style="289"/>
    <col min="14148" max="14148" width="11.75" style="289" customWidth="1"/>
    <col min="14149" max="14149" width="8.875" style="289" customWidth="1"/>
    <col min="14150" max="14150" width="17.375" style="289" customWidth="1"/>
    <col min="14151" max="14151" width="13.25" style="289" customWidth="1"/>
    <col min="14152" max="14152" width="25.75" style="289" customWidth="1"/>
    <col min="14153" max="14153" width="11.125" style="289" customWidth="1"/>
    <col min="14154" max="14154" width="10.75" style="289" customWidth="1"/>
    <col min="14155" max="14155" width="9" style="289" customWidth="1"/>
    <col min="14156" max="14156" width="9.75" style="289" customWidth="1"/>
    <col min="14157" max="14157" width="7.5" style="289" customWidth="1"/>
    <col min="14158" max="14158" width="13.25" style="289" customWidth="1"/>
    <col min="14159" max="14159" width="11.75" style="289" customWidth="1"/>
    <col min="14160" max="14160" width="8.875" style="289" customWidth="1"/>
    <col min="14161" max="14161" width="9.625" style="289" customWidth="1"/>
    <col min="14162" max="14163" width="11.875" style="289" customWidth="1"/>
    <col min="14164" max="14164" width="11.5" style="289" customWidth="1"/>
    <col min="14165" max="14180" width="12.25" style="289" customWidth="1"/>
    <col min="14181" max="14181" width="13" style="289" customWidth="1"/>
    <col min="14182" max="14186" width="12.375" style="289" customWidth="1"/>
    <col min="14187" max="14187" width="13" style="289" customWidth="1"/>
    <col min="14188" max="14189" width="12.375" style="289" customWidth="1"/>
    <col min="14190" max="14190" width="13" style="289" customWidth="1"/>
    <col min="14191" max="14191" width="13.125" style="289" customWidth="1"/>
    <col min="14192" max="14192" width="13" style="289" customWidth="1"/>
    <col min="14193" max="14193" width="13.125" style="289" customWidth="1"/>
    <col min="14194" max="14195" width="12.375" style="289" customWidth="1"/>
    <col min="14196" max="14196" width="13" style="289" customWidth="1"/>
    <col min="14197" max="14197" width="12.375" style="289" customWidth="1"/>
    <col min="14198" max="14198" width="12.25" style="289" customWidth="1"/>
    <col min="14199" max="14199" width="12.125" style="289" customWidth="1"/>
    <col min="14200" max="14200" width="11.625" style="289" customWidth="1"/>
    <col min="14201" max="14201" width="12" style="289" customWidth="1"/>
    <col min="14202" max="14202" width="13" style="289" customWidth="1"/>
    <col min="14203" max="14203" width="11.625" style="289" customWidth="1"/>
    <col min="14204" max="14205" width="12" style="289" customWidth="1"/>
    <col min="14206" max="14208" width="11.625" style="289" customWidth="1"/>
    <col min="14209" max="14209" width="11.125" style="289" customWidth="1"/>
    <col min="14210" max="14210" width="12" style="289" customWidth="1"/>
    <col min="14211" max="14211" width="13" style="289" customWidth="1"/>
    <col min="14212" max="14212" width="13.625" style="289" customWidth="1"/>
    <col min="14213" max="14213" width="11.875" style="289" customWidth="1"/>
    <col min="14214" max="14215" width="11.625" style="289" customWidth="1"/>
    <col min="14216" max="14216" width="12" style="289" customWidth="1"/>
    <col min="14217" max="14217" width="12.75" style="289" customWidth="1"/>
    <col min="14218" max="14218" width="11.625" style="289" customWidth="1"/>
    <col min="14219" max="14219" width="12.125" style="289" customWidth="1"/>
    <col min="14220" max="14221" width="11.625" style="289" customWidth="1"/>
    <col min="14222" max="14222" width="12.5" style="289" customWidth="1"/>
    <col min="14223" max="14397" width="11.625" style="289" customWidth="1"/>
    <col min="14398" max="14398" width="17.75" style="289" customWidth="1"/>
    <col min="14399" max="14400" width="9" style="289" customWidth="1"/>
    <col min="14401" max="14401" width="16.25" style="289" customWidth="1"/>
    <col min="14402" max="14402" width="24" style="289" customWidth="1"/>
    <col min="14403" max="14403" width="9" style="289"/>
    <col min="14404" max="14404" width="11.75" style="289" customWidth="1"/>
    <col min="14405" max="14405" width="8.875" style="289" customWidth="1"/>
    <col min="14406" max="14406" width="17.375" style="289" customWidth="1"/>
    <col min="14407" max="14407" width="13.25" style="289" customWidth="1"/>
    <col min="14408" max="14408" width="25.75" style="289" customWidth="1"/>
    <col min="14409" max="14409" width="11.125" style="289" customWidth="1"/>
    <col min="14410" max="14410" width="10.75" style="289" customWidth="1"/>
    <col min="14411" max="14411" width="9" style="289" customWidth="1"/>
    <col min="14412" max="14412" width="9.75" style="289" customWidth="1"/>
    <col min="14413" max="14413" width="7.5" style="289" customWidth="1"/>
    <col min="14414" max="14414" width="13.25" style="289" customWidth="1"/>
    <col min="14415" max="14415" width="11.75" style="289" customWidth="1"/>
    <col min="14416" max="14416" width="8.875" style="289" customWidth="1"/>
    <col min="14417" max="14417" width="9.625" style="289" customWidth="1"/>
    <col min="14418" max="14419" width="11.875" style="289" customWidth="1"/>
    <col min="14420" max="14420" width="11.5" style="289" customWidth="1"/>
    <col min="14421" max="14436" width="12.25" style="289" customWidth="1"/>
    <col min="14437" max="14437" width="13" style="289" customWidth="1"/>
    <col min="14438" max="14442" width="12.375" style="289" customWidth="1"/>
    <col min="14443" max="14443" width="13" style="289" customWidth="1"/>
    <col min="14444" max="14445" width="12.375" style="289" customWidth="1"/>
    <col min="14446" max="14446" width="13" style="289" customWidth="1"/>
    <col min="14447" max="14447" width="13.125" style="289" customWidth="1"/>
    <col min="14448" max="14448" width="13" style="289" customWidth="1"/>
    <col min="14449" max="14449" width="13.125" style="289" customWidth="1"/>
    <col min="14450" max="14451" width="12.375" style="289" customWidth="1"/>
    <col min="14452" max="14452" width="13" style="289" customWidth="1"/>
    <col min="14453" max="14453" width="12.375" style="289" customWidth="1"/>
    <col min="14454" max="14454" width="12.25" style="289" customWidth="1"/>
    <col min="14455" max="14455" width="12.125" style="289" customWidth="1"/>
    <col min="14456" max="14456" width="11.625" style="289" customWidth="1"/>
    <col min="14457" max="14457" width="12" style="289" customWidth="1"/>
    <col min="14458" max="14458" width="13" style="289" customWidth="1"/>
    <col min="14459" max="14459" width="11.625" style="289" customWidth="1"/>
    <col min="14460" max="14461" width="12" style="289" customWidth="1"/>
    <col min="14462" max="14464" width="11.625" style="289" customWidth="1"/>
    <col min="14465" max="14465" width="11.125" style="289" customWidth="1"/>
    <col min="14466" max="14466" width="12" style="289" customWidth="1"/>
    <col min="14467" max="14467" width="13" style="289" customWidth="1"/>
    <col min="14468" max="14468" width="13.625" style="289" customWidth="1"/>
    <col min="14469" max="14469" width="11.875" style="289" customWidth="1"/>
    <col min="14470" max="14471" width="11.625" style="289" customWidth="1"/>
    <col min="14472" max="14472" width="12" style="289" customWidth="1"/>
    <col min="14473" max="14473" width="12.75" style="289" customWidth="1"/>
    <col min="14474" max="14474" width="11.625" style="289" customWidth="1"/>
    <col min="14475" max="14475" width="12.125" style="289" customWidth="1"/>
    <col min="14476" max="14477" width="11.625" style="289" customWidth="1"/>
    <col min="14478" max="14478" width="12.5" style="289" customWidth="1"/>
    <col min="14479" max="14653" width="11.625" style="289" customWidth="1"/>
    <col min="14654" max="14654" width="17.75" style="289" customWidth="1"/>
    <col min="14655" max="14656" width="9" style="289" customWidth="1"/>
    <col min="14657" max="14657" width="16.25" style="289" customWidth="1"/>
    <col min="14658" max="14658" width="24" style="289" customWidth="1"/>
    <col min="14659" max="14659" width="9" style="289"/>
    <col min="14660" max="14660" width="11.75" style="289" customWidth="1"/>
    <col min="14661" max="14661" width="8.875" style="289" customWidth="1"/>
    <col min="14662" max="14662" width="17.375" style="289" customWidth="1"/>
    <col min="14663" max="14663" width="13.25" style="289" customWidth="1"/>
    <col min="14664" max="14664" width="25.75" style="289" customWidth="1"/>
    <col min="14665" max="14665" width="11.125" style="289" customWidth="1"/>
    <col min="14666" max="14666" width="10.75" style="289" customWidth="1"/>
    <col min="14667" max="14667" width="9" style="289" customWidth="1"/>
    <col min="14668" max="14668" width="9.75" style="289" customWidth="1"/>
    <col min="14669" max="14669" width="7.5" style="289" customWidth="1"/>
    <col min="14670" max="14670" width="13.25" style="289" customWidth="1"/>
    <col min="14671" max="14671" width="11.75" style="289" customWidth="1"/>
    <col min="14672" max="14672" width="8.875" style="289" customWidth="1"/>
    <col min="14673" max="14673" width="9.625" style="289" customWidth="1"/>
    <col min="14674" max="14675" width="11.875" style="289" customWidth="1"/>
    <col min="14676" max="14676" width="11.5" style="289" customWidth="1"/>
    <col min="14677" max="14692" width="12.25" style="289" customWidth="1"/>
    <col min="14693" max="14693" width="13" style="289" customWidth="1"/>
    <col min="14694" max="14698" width="12.375" style="289" customWidth="1"/>
    <col min="14699" max="14699" width="13" style="289" customWidth="1"/>
    <col min="14700" max="14701" width="12.375" style="289" customWidth="1"/>
    <col min="14702" max="14702" width="13" style="289" customWidth="1"/>
    <col min="14703" max="14703" width="13.125" style="289" customWidth="1"/>
    <col min="14704" max="14704" width="13" style="289" customWidth="1"/>
    <col min="14705" max="14705" width="13.125" style="289" customWidth="1"/>
    <col min="14706" max="14707" width="12.375" style="289" customWidth="1"/>
    <col min="14708" max="14708" width="13" style="289" customWidth="1"/>
    <col min="14709" max="14709" width="12.375" style="289" customWidth="1"/>
    <col min="14710" max="14710" width="12.25" style="289" customWidth="1"/>
    <col min="14711" max="14711" width="12.125" style="289" customWidth="1"/>
    <col min="14712" max="14712" width="11.625" style="289" customWidth="1"/>
    <col min="14713" max="14713" width="12" style="289" customWidth="1"/>
    <col min="14714" max="14714" width="13" style="289" customWidth="1"/>
    <col min="14715" max="14715" width="11.625" style="289" customWidth="1"/>
    <col min="14716" max="14717" width="12" style="289" customWidth="1"/>
    <col min="14718" max="14720" width="11.625" style="289" customWidth="1"/>
    <col min="14721" max="14721" width="11.125" style="289" customWidth="1"/>
    <col min="14722" max="14722" width="12" style="289" customWidth="1"/>
    <col min="14723" max="14723" width="13" style="289" customWidth="1"/>
    <col min="14724" max="14724" width="13.625" style="289" customWidth="1"/>
    <col min="14725" max="14725" width="11.875" style="289" customWidth="1"/>
    <col min="14726" max="14727" width="11.625" style="289" customWidth="1"/>
    <col min="14728" max="14728" width="12" style="289" customWidth="1"/>
    <col min="14729" max="14729" width="12.75" style="289" customWidth="1"/>
    <col min="14730" max="14730" width="11.625" style="289" customWidth="1"/>
    <col min="14731" max="14731" width="12.125" style="289" customWidth="1"/>
    <col min="14732" max="14733" width="11.625" style="289" customWidth="1"/>
    <col min="14734" max="14734" width="12.5" style="289" customWidth="1"/>
    <col min="14735" max="14909" width="11.625" style="289" customWidth="1"/>
    <col min="14910" max="14910" width="17.75" style="289" customWidth="1"/>
    <col min="14911" max="14912" width="9" style="289" customWidth="1"/>
    <col min="14913" max="14913" width="16.25" style="289" customWidth="1"/>
    <col min="14914" max="14914" width="24" style="289" customWidth="1"/>
    <col min="14915" max="14915" width="9" style="289"/>
    <col min="14916" max="14916" width="11.75" style="289" customWidth="1"/>
    <col min="14917" max="14917" width="8.875" style="289" customWidth="1"/>
    <col min="14918" max="14918" width="17.375" style="289" customWidth="1"/>
    <col min="14919" max="14919" width="13.25" style="289" customWidth="1"/>
    <col min="14920" max="14920" width="25.75" style="289" customWidth="1"/>
    <col min="14921" max="14921" width="11.125" style="289" customWidth="1"/>
    <col min="14922" max="14922" width="10.75" style="289" customWidth="1"/>
    <col min="14923" max="14923" width="9" style="289" customWidth="1"/>
    <col min="14924" max="14924" width="9.75" style="289" customWidth="1"/>
    <col min="14925" max="14925" width="7.5" style="289" customWidth="1"/>
    <col min="14926" max="14926" width="13.25" style="289" customWidth="1"/>
    <col min="14927" max="14927" width="11.75" style="289" customWidth="1"/>
    <col min="14928" max="14928" width="8.875" style="289" customWidth="1"/>
    <col min="14929" max="14929" width="9.625" style="289" customWidth="1"/>
    <col min="14930" max="14931" width="11.875" style="289" customWidth="1"/>
    <col min="14932" max="14932" width="11.5" style="289" customWidth="1"/>
    <col min="14933" max="14948" width="12.25" style="289" customWidth="1"/>
    <col min="14949" max="14949" width="13" style="289" customWidth="1"/>
    <col min="14950" max="14954" width="12.375" style="289" customWidth="1"/>
    <col min="14955" max="14955" width="13" style="289" customWidth="1"/>
    <col min="14956" max="14957" width="12.375" style="289" customWidth="1"/>
    <col min="14958" max="14958" width="13" style="289" customWidth="1"/>
    <col min="14959" max="14959" width="13.125" style="289" customWidth="1"/>
    <col min="14960" max="14960" width="13" style="289" customWidth="1"/>
    <col min="14961" max="14961" width="13.125" style="289" customWidth="1"/>
    <col min="14962" max="14963" width="12.375" style="289" customWidth="1"/>
    <col min="14964" max="14964" width="13" style="289" customWidth="1"/>
    <col min="14965" max="14965" width="12.375" style="289" customWidth="1"/>
    <col min="14966" max="14966" width="12.25" style="289" customWidth="1"/>
    <col min="14967" max="14967" width="12.125" style="289" customWidth="1"/>
    <col min="14968" max="14968" width="11.625" style="289" customWidth="1"/>
    <col min="14969" max="14969" width="12" style="289" customWidth="1"/>
    <col min="14970" max="14970" width="13" style="289" customWidth="1"/>
    <col min="14971" max="14971" width="11.625" style="289" customWidth="1"/>
    <col min="14972" max="14973" width="12" style="289" customWidth="1"/>
    <col min="14974" max="14976" width="11.625" style="289" customWidth="1"/>
    <col min="14977" max="14977" width="11.125" style="289" customWidth="1"/>
    <col min="14978" max="14978" width="12" style="289" customWidth="1"/>
    <col min="14979" max="14979" width="13" style="289" customWidth="1"/>
    <col min="14980" max="14980" width="13.625" style="289" customWidth="1"/>
    <col min="14981" max="14981" width="11.875" style="289" customWidth="1"/>
    <col min="14982" max="14983" width="11.625" style="289" customWidth="1"/>
    <col min="14984" max="14984" width="12" style="289" customWidth="1"/>
    <col min="14985" max="14985" width="12.75" style="289" customWidth="1"/>
    <col min="14986" max="14986" width="11.625" style="289" customWidth="1"/>
    <col min="14987" max="14987" width="12.125" style="289" customWidth="1"/>
    <col min="14988" max="14989" width="11.625" style="289" customWidth="1"/>
    <col min="14990" max="14990" width="12.5" style="289" customWidth="1"/>
    <col min="14991" max="15165" width="11.625" style="289" customWidth="1"/>
    <col min="15166" max="15166" width="17.75" style="289" customWidth="1"/>
    <col min="15167" max="15168" width="9" style="289" customWidth="1"/>
    <col min="15169" max="15169" width="16.25" style="289" customWidth="1"/>
    <col min="15170" max="15170" width="24" style="289" customWidth="1"/>
    <col min="15171" max="15171" width="9" style="289"/>
    <col min="15172" max="15172" width="11.75" style="289" customWidth="1"/>
    <col min="15173" max="15173" width="8.875" style="289" customWidth="1"/>
    <col min="15174" max="15174" width="17.375" style="289" customWidth="1"/>
    <col min="15175" max="15175" width="13.25" style="289" customWidth="1"/>
    <col min="15176" max="15176" width="25.75" style="289" customWidth="1"/>
    <col min="15177" max="15177" width="11.125" style="289" customWidth="1"/>
    <col min="15178" max="15178" width="10.75" style="289" customWidth="1"/>
    <col min="15179" max="15179" width="9" style="289" customWidth="1"/>
    <col min="15180" max="15180" width="9.75" style="289" customWidth="1"/>
    <col min="15181" max="15181" width="7.5" style="289" customWidth="1"/>
    <col min="15182" max="15182" width="13.25" style="289" customWidth="1"/>
    <col min="15183" max="15183" width="11.75" style="289" customWidth="1"/>
    <col min="15184" max="15184" width="8.875" style="289" customWidth="1"/>
    <col min="15185" max="15185" width="9.625" style="289" customWidth="1"/>
    <col min="15186" max="15187" width="11.875" style="289" customWidth="1"/>
    <col min="15188" max="15188" width="11.5" style="289" customWidth="1"/>
    <col min="15189" max="15204" width="12.25" style="289" customWidth="1"/>
    <col min="15205" max="15205" width="13" style="289" customWidth="1"/>
    <col min="15206" max="15210" width="12.375" style="289" customWidth="1"/>
    <col min="15211" max="15211" width="13" style="289" customWidth="1"/>
    <col min="15212" max="15213" width="12.375" style="289" customWidth="1"/>
    <col min="15214" max="15214" width="13" style="289" customWidth="1"/>
    <col min="15215" max="15215" width="13.125" style="289" customWidth="1"/>
    <col min="15216" max="15216" width="13" style="289" customWidth="1"/>
    <col min="15217" max="15217" width="13.125" style="289" customWidth="1"/>
    <col min="15218" max="15219" width="12.375" style="289" customWidth="1"/>
    <col min="15220" max="15220" width="13" style="289" customWidth="1"/>
    <col min="15221" max="15221" width="12.375" style="289" customWidth="1"/>
    <col min="15222" max="15222" width="12.25" style="289" customWidth="1"/>
    <col min="15223" max="15223" width="12.125" style="289" customWidth="1"/>
    <col min="15224" max="15224" width="11.625" style="289" customWidth="1"/>
    <col min="15225" max="15225" width="12" style="289" customWidth="1"/>
    <col min="15226" max="15226" width="13" style="289" customWidth="1"/>
    <col min="15227" max="15227" width="11.625" style="289" customWidth="1"/>
    <col min="15228" max="15229" width="12" style="289" customWidth="1"/>
    <col min="15230" max="15232" width="11.625" style="289" customWidth="1"/>
    <col min="15233" max="15233" width="11.125" style="289" customWidth="1"/>
    <col min="15234" max="15234" width="12" style="289" customWidth="1"/>
    <col min="15235" max="15235" width="13" style="289" customWidth="1"/>
    <col min="15236" max="15236" width="13.625" style="289" customWidth="1"/>
    <col min="15237" max="15237" width="11.875" style="289" customWidth="1"/>
    <col min="15238" max="15239" width="11.625" style="289" customWidth="1"/>
    <col min="15240" max="15240" width="12" style="289" customWidth="1"/>
    <col min="15241" max="15241" width="12.75" style="289" customWidth="1"/>
    <col min="15242" max="15242" width="11.625" style="289" customWidth="1"/>
    <col min="15243" max="15243" width="12.125" style="289" customWidth="1"/>
    <col min="15244" max="15245" width="11.625" style="289" customWidth="1"/>
    <col min="15246" max="15246" width="12.5" style="289" customWidth="1"/>
    <col min="15247" max="15421" width="11.625" style="289" customWidth="1"/>
    <col min="15422" max="15422" width="17.75" style="289" customWidth="1"/>
    <col min="15423" max="15424" width="9" style="289" customWidth="1"/>
    <col min="15425" max="15425" width="16.25" style="289" customWidth="1"/>
    <col min="15426" max="15426" width="24" style="289" customWidth="1"/>
    <col min="15427" max="15427" width="9" style="289"/>
    <col min="15428" max="15428" width="11.75" style="289" customWidth="1"/>
    <col min="15429" max="15429" width="8.875" style="289" customWidth="1"/>
    <col min="15430" max="15430" width="17.375" style="289" customWidth="1"/>
    <col min="15431" max="15431" width="13.25" style="289" customWidth="1"/>
    <col min="15432" max="15432" width="25.75" style="289" customWidth="1"/>
    <col min="15433" max="15433" width="11.125" style="289" customWidth="1"/>
    <col min="15434" max="15434" width="10.75" style="289" customWidth="1"/>
    <col min="15435" max="15435" width="9" style="289" customWidth="1"/>
    <col min="15436" max="15436" width="9.75" style="289" customWidth="1"/>
    <col min="15437" max="15437" width="7.5" style="289" customWidth="1"/>
    <col min="15438" max="15438" width="13.25" style="289" customWidth="1"/>
    <col min="15439" max="15439" width="11.75" style="289" customWidth="1"/>
    <col min="15440" max="15440" width="8.875" style="289" customWidth="1"/>
    <col min="15441" max="15441" width="9.625" style="289" customWidth="1"/>
    <col min="15442" max="15443" width="11.875" style="289" customWidth="1"/>
    <col min="15444" max="15444" width="11.5" style="289" customWidth="1"/>
    <col min="15445" max="15460" width="12.25" style="289" customWidth="1"/>
    <col min="15461" max="15461" width="13" style="289" customWidth="1"/>
    <col min="15462" max="15466" width="12.375" style="289" customWidth="1"/>
    <col min="15467" max="15467" width="13" style="289" customWidth="1"/>
    <col min="15468" max="15469" width="12.375" style="289" customWidth="1"/>
    <col min="15470" max="15470" width="13" style="289" customWidth="1"/>
    <col min="15471" max="15471" width="13.125" style="289" customWidth="1"/>
    <col min="15472" max="15472" width="13" style="289" customWidth="1"/>
    <col min="15473" max="15473" width="13.125" style="289" customWidth="1"/>
    <col min="15474" max="15475" width="12.375" style="289" customWidth="1"/>
    <col min="15476" max="15476" width="13" style="289" customWidth="1"/>
    <col min="15477" max="15477" width="12.375" style="289" customWidth="1"/>
    <col min="15478" max="15478" width="12.25" style="289" customWidth="1"/>
    <col min="15479" max="15479" width="12.125" style="289" customWidth="1"/>
    <col min="15480" max="15480" width="11.625" style="289" customWidth="1"/>
    <col min="15481" max="15481" width="12" style="289" customWidth="1"/>
    <col min="15482" max="15482" width="13" style="289" customWidth="1"/>
    <col min="15483" max="15483" width="11.625" style="289" customWidth="1"/>
    <col min="15484" max="15485" width="12" style="289" customWidth="1"/>
    <col min="15486" max="15488" width="11.625" style="289" customWidth="1"/>
    <col min="15489" max="15489" width="11.125" style="289" customWidth="1"/>
    <col min="15490" max="15490" width="12" style="289" customWidth="1"/>
    <col min="15491" max="15491" width="13" style="289" customWidth="1"/>
    <col min="15492" max="15492" width="13.625" style="289" customWidth="1"/>
    <col min="15493" max="15493" width="11.875" style="289" customWidth="1"/>
    <col min="15494" max="15495" width="11.625" style="289" customWidth="1"/>
    <col min="15496" max="15496" width="12" style="289" customWidth="1"/>
    <col min="15497" max="15497" width="12.75" style="289" customWidth="1"/>
    <col min="15498" max="15498" width="11.625" style="289" customWidth="1"/>
    <col min="15499" max="15499" width="12.125" style="289" customWidth="1"/>
    <col min="15500" max="15501" width="11.625" style="289" customWidth="1"/>
    <col min="15502" max="15502" width="12.5" style="289" customWidth="1"/>
    <col min="15503" max="15677" width="11.625" style="289" customWidth="1"/>
    <col min="15678" max="15678" width="17.75" style="289" customWidth="1"/>
    <col min="15679" max="15680" width="9" style="289" customWidth="1"/>
    <col min="15681" max="15681" width="16.25" style="289" customWidth="1"/>
    <col min="15682" max="15682" width="24" style="289" customWidth="1"/>
    <col min="15683" max="15683" width="9" style="289"/>
    <col min="15684" max="15684" width="11.75" style="289" customWidth="1"/>
    <col min="15685" max="15685" width="8.875" style="289" customWidth="1"/>
    <col min="15686" max="15686" width="17.375" style="289" customWidth="1"/>
    <col min="15687" max="15687" width="13.25" style="289" customWidth="1"/>
    <col min="15688" max="15688" width="25.75" style="289" customWidth="1"/>
    <col min="15689" max="15689" width="11.125" style="289" customWidth="1"/>
    <col min="15690" max="15690" width="10.75" style="289" customWidth="1"/>
    <col min="15691" max="15691" width="9" style="289" customWidth="1"/>
    <col min="15692" max="15692" width="9.75" style="289" customWidth="1"/>
    <col min="15693" max="15693" width="7.5" style="289" customWidth="1"/>
    <col min="15694" max="15694" width="13.25" style="289" customWidth="1"/>
    <col min="15695" max="15695" width="11.75" style="289" customWidth="1"/>
    <col min="15696" max="15696" width="8.875" style="289" customWidth="1"/>
    <col min="15697" max="15697" width="9.625" style="289" customWidth="1"/>
    <col min="15698" max="15699" width="11.875" style="289" customWidth="1"/>
    <col min="15700" max="15700" width="11.5" style="289" customWidth="1"/>
    <col min="15701" max="15716" width="12.25" style="289" customWidth="1"/>
    <col min="15717" max="15717" width="13" style="289" customWidth="1"/>
    <col min="15718" max="15722" width="12.375" style="289" customWidth="1"/>
    <col min="15723" max="15723" width="13" style="289" customWidth="1"/>
    <col min="15724" max="15725" width="12.375" style="289" customWidth="1"/>
    <col min="15726" max="15726" width="13" style="289" customWidth="1"/>
    <col min="15727" max="15727" width="13.125" style="289" customWidth="1"/>
    <col min="15728" max="15728" width="13" style="289" customWidth="1"/>
    <col min="15729" max="15729" width="13.125" style="289" customWidth="1"/>
    <col min="15730" max="15731" width="12.375" style="289" customWidth="1"/>
    <col min="15732" max="15732" width="13" style="289" customWidth="1"/>
    <col min="15733" max="15733" width="12.375" style="289" customWidth="1"/>
    <col min="15734" max="15734" width="12.25" style="289" customWidth="1"/>
    <col min="15735" max="15735" width="12.125" style="289" customWidth="1"/>
    <col min="15736" max="15736" width="11.625" style="289" customWidth="1"/>
    <col min="15737" max="15737" width="12" style="289" customWidth="1"/>
    <col min="15738" max="15738" width="13" style="289" customWidth="1"/>
    <col min="15739" max="15739" width="11.625" style="289" customWidth="1"/>
    <col min="15740" max="15741" width="12" style="289" customWidth="1"/>
    <col min="15742" max="15744" width="11.625" style="289" customWidth="1"/>
    <col min="15745" max="15745" width="11.125" style="289" customWidth="1"/>
    <col min="15746" max="15746" width="12" style="289" customWidth="1"/>
    <col min="15747" max="15747" width="13" style="289" customWidth="1"/>
    <col min="15748" max="15748" width="13.625" style="289" customWidth="1"/>
    <col min="15749" max="15749" width="11.875" style="289" customWidth="1"/>
    <col min="15750" max="15751" width="11.625" style="289" customWidth="1"/>
    <col min="15752" max="15752" width="12" style="289" customWidth="1"/>
    <col min="15753" max="15753" width="12.75" style="289" customWidth="1"/>
    <col min="15754" max="15754" width="11.625" style="289" customWidth="1"/>
    <col min="15755" max="15755" width="12.125" style="289" customWidth="1"/>
    <col min="15756" max="15757" width="11.625" style="289" customWidth="1"/>
    <col min="15758" max="15758" width="12.5" style="289" customWidth="1"/>
    <col min="15759" max="15933" width="11.625" style="289" customWidth="1"/>
    <col min="15934" max="15934" width="17.75" style="289" customWidth="1"/>
    <col min="15935" max="15936" width="9" style="289" customWidth="1"/>
    <col min="15937" max="15937" width="16.25" style="289" customWidth="1"/>
    <col min="15938" max="15938" width="24" style="289" customWidth="1"/>
    <col min="15939" max="15939" width="9" style="289"/>
    <col min="15940" max="15940" width="11.75" style="289" customWidth="1"/>
    <col min="15941" max="15941" width="8.875" style="289" customWidth="1"/>
    <col min="15942" max="15942" width="17.375" style="289" customWidth="1"/>
    <col min="15943" max="15943" width="13.25" style="289" customWidth="1"/>
    <col min="15944" max="15944" width="25.75" style="289" customWidth="1"/>
    <col min="15945" max="15945" width="11.125" style="289" customWidth="1"/>
    <col min="15946" max="15946" width="10.75" style="289" customWidth="1"/>
    <col min="15947" max="15947" width="9" style="289" customWidth="1"/>
    <col min="15948" max="15948" width="9.75" style="289" customWidth="1"/>
    <col min="15949" max="15949" width="7.5" style="289" customWidth="1"/>
    <col min="15950" max="15950" width="13.25" style="289" customWidth="1"/>
    <col min="15951" max="15951" width="11.75" style="289" customWidth="1"/>
    <col min="15952" max="15952" width="8.875" style="289" customWidth="1"/>
    <col min="15953" max="15953" width="9.625" style="289" customWidth="1"/>
    <col min="15954" max="15955" width="11.875" style="289" customWidth="1"/>
    <col min="15956" max="15956" width="11.5" style="289" customWidth="1"/>
    <col min="15957" max="15972" width="12.25" style="289" customWidth="1"/>
    <col min="15973" max="15973" width="13" style="289" customWidth="1"/>
    <col min="15974" max="15978" width="12.375" style="289" customWidth="1"/>
    <col min="15979" max="15979" width="13" style="289" customWidth="1"/>
    <col min="15980" max="15981" width="12.375" style="289" customWidth="1"/>
    <col min="15982" max="15982" width="13" style="289" customWidth="1"/>
    <col min="15983" max="15983" width="13.125" style="289" customWidth="1"/>
    <col min="15984" max="15984" width="13" style="289" customWidth="1"/>
    <col min="15985" max="15985" width="13.125" style="289" customWidth="1"/>
    <col min="15986" max="15987" width="12.375" style="289" customWidth="1"/>
    <col min="15988" max="15988" width="13" style="289" customWidth="1"/>
    <col min="15989" max="15989" width="12.375" style="289" customWidth="1"/>
    <col min="15990" max="15990" width="12.25" style="289" customWidth="1"/>
    <col min="15991" max="15991" width="12.125" style="289" customWidth="1"/>
    <col min="15992" max="15992" width="11.625" style="289" customWidth="1"/>
    <col min="15993" max="15993" width="12" style="289" customWidth="1"/>
    <col min="15994" max="15994" width="13" style="289" customWidth="1"/>
    <col min="15995" max="15995" width="11.625" style="289" customWidth="1"/>
    <col min="15996" max="15997" width="12" style="289" customWidth="1"/>
    <col min="15998" max="16000" width="11.625" style="289" customWidth="1"/>
    <col min="16001" max="16001" width="11.125" style="289" customWidth="1"/>
    <col min="16002" max="16002" width="12" style="289" customWidth="1"/>
    <col min="16003" max="16003" width="13" style="289" customWidth="1"/>
    <col min="16004" max="16004" width="13.625" style="289" customWidth="1"/>
    <col min="16005" max="16005" width="11.875" style="289" customWidth="1"/>
    <col min="16006" max="16007" width="11.625" style="289" customWidth="1"/>
    <col min="16008" max="16008" width="12" style="289" customWidth="1"/>
    <col min="16009" max="16009" width="12.75" style="289" customWidth="1"/>
    <col min="16010" max="16010" width="11.625" style="289" customWidth="1"/>
    <col min="16011" max="16011" width="12.125" style="289" customWidth="1"/>
    <col min="16012" max="16013" width="11.625" style="289" customWidth="1"/>
    <col min="16014" max="16014" width="12.5" style="289" customWidth="1"/>
    <col min="16015" max="16188" width="11.625" style="289" customWidth="1"/>
    <col min="16189" max="16384" width="17.75" style="289" customWidth="1"/>
  </cols>
  <sheetData>
    <row r="1" spans="1:94" s="286" customFormat="1" ht="12.75" customHeight="1">
      <c r="A1" s="636" t="s">
        <v>359</v>
      </c>
      <c r="B1" s="637" t="s">
        <v>0</v>
      </c>
      <c r="C1" s="638" t="s">
        <v>1</v>
      </c>
      <c r="D1" s="639" t="s">
        <v>2</v>
      </c>
      <c r="E1" s="640" t="s">
        <v>394</v>
      </c>
      <c r="F1" s="284" t="s">
        <v>3</v>
      </c>
      <c r="G1" s="285" t="s">
        <v>4</v>
      </c>
      <c r="H1" s="641" t="s">
        <v>396</v>
      </c>
      <c r="I1" s="652" t="s">
        <v>5</v>
      </c>
      <c r="J1" s="653" t="s">
        <v>647</v>
      </c>
      <c r="K1" s="649" t="s">
        <v>360</v>
      </c>
      <c r="L1" s="649" t="s">
        <v>361</v>
      </c>
      <c r="M1" s="649" t="s">
        <v>362</v>
      </c>
      <c r="N1" s="649" t="s">
        <v>363</v>
      </c>
      <c r="O1" s="649" t="s">
        <v>364</v>
      </c>
      <c r="P1" s="650" t="s">
        <v>365</v>
      </c>
      <c r="Q1" s="649" t="s">
        <v>366</v>
      </c>
      <c r="R1" s="649" t="s">
        <v>367</v>
      </c>
      <c r="S1" s="649" t="s">
        <v>368</v>
      </c>
      <c r="T1" s="649" t="s">
        <v>369</v>
      </c>
      <c r="U1" s="649" t="s">
        <v>370</v>
      </c>
      <c r="V1" s="649" t="s">
        <v>371</v>
      </c>
      <c r="W1" s="649" t="s">
        <v>372</v>
      </c>
      <c r="X1" s="649" t="s">
        <v>373</v>
      </c>
      <c r="Y1" s="649" t="s">
        <v>648</v>
      </c>
      <c r="Z1" s="649" t="s">
        <v>649</v>
      </c>
      <c r="AA1" s="649" t="s">
        <v>650</v>
      </c>
      <c r="AB1" s="649" t="s">
        <v>651</v>
      </c>
      <c r="AC1" s="649" t="s">
        <v>374</v>
      </c>
      <c r="AD1" s="649" t="s">
        <v>375</v>
      </c>
      <c r="AE1" s="649" t="s">
        <v>376</v>
      </c>
      <c r="AF1" s="649" t="s">
        <v>377</v>
      </c>
      <c r="AG1" s="649" t="s">
        <v>652</v>
      </c>
      <c r="AH1" s="649" t="s">
        <v>653</v>
      </c>
      <c r="AI1" s="649" t="s">
        <v>654</v>
      </c>
      <c r="AJ1" s="649" t="s">
        <v>655</v>
      </c>
      <c r="AK1" s="649" t="s">
        <v>656</v>
      </c>
      <c r="AL1" s="649" t="s">
        <v>657</v>
      </c>
      <c r="AM1" s="649" t="s">
        <v>658</v>
      </c>
      <c r="AN1" s="649" t="s">
        <v>659</v>
      </c>
      <c r="AO1" s="649" t="s">
        <v>660</v>
      </c>
      <c r="AP1" s="649" t="s">
        <v>661</v>
      </c>
      <c r="AQ1" s="649" t="s">
        <v>662</v>
      </c>
      <c r="AR1" s="649" t="s">
        <v>663</v>
      </c>
      <c r="AS1" s="649" t="s">
        <v>664</v>
      </c>
      <c r="AT1" s="649" t="s">
        <v>665</v>
      </c>
      <c r="AU1" s="649" t="s">
        <v>666</v>
      </c>
      <c r="AV1" s="649" t="s">
        <v>667</v>
      </c>
      <c r="AW1" s="649" t="s">
        <v>668</v>
      </c>
      <c r="AX1" s="649" t="s">
        <v>669</v>
      </c>
      <c r="AY1" s="649" t="s">
        <v>670</v>
      </c>
      <c r="AZ1" s="649" t="s">
        <v>671</v>
      </c>
      <c r="BA1" s="649" t="s">
        <v>672</v>
      </c>
      <c r="BB1" s="649" t="s">
        <v>673</v>
      </c>
      <c r="BC1" s="649" t="s">
        <v>674</v>
      </c>
      <c r="BD1" s="649" t="s">
        <v>675</v>
      </c>
      <c r="BE1" s="649" t="s">
        <v>676</v>
      </c>
      <c r="BF1" s="649" t="s">
        <v>677</v>
      </c>
      <c r="BG1" s="649" t="s">
        <v>678</v>
      </c>
      <c r="BH1" s="649" t="s">
        <v>679</v>
      </c>
      <c r="BI1" s="649" t="s">
        <v>378</v>
      </c>
      <c r="BJ1" s="649" t="s">
        <v>379</v>
      </c>
      <c r="BK1" s="649" t="s">
        <v>380</v>
      </c>
      <c r="BL1" s="649" t="s">
        <v>381</v>
      </c>
      <c r="BM1" s="649" t="s">
        <v>382</v>
      </c>
      <c r="BN1" s="649" t="s">
        <v>383</v>
      </c>
      <c r="BO1" s="649" t="s">
        <v>384</v>
      </c>
      <c r="BP1" s="649" t="s">
        <v>385</v>
      </c>
      <c r="BQ1" s="649" t="s">
        <v>680</v>
      </c>
      <c r="BR1" s="649" t="s">
        <v>681</v>
      </c>
      <c r="BS1" s="649" t="s">
        <v>682</v>
      </c>
      <c r="BT1" s="649" t="s">
        <v>683</v>
      </c>
      <c r="BU1" s="649" t="s">
        <v>386</v>
      </c>
      <c r="BV1" s="649" t="s">
        <v>387</v>
      </c>
      <c r="BW1" s="649" t="s">
        <v>388</v>
      </c>
      <c r="BX1" s="649" t="s">
        <v>389</v>
      </c>
      <c r="BY1" s="649" t="s">
        <v>390</v>
      </c>
      <c r="BZ1" s="649" t="s">
        <v>391</v>
      </c>
      <c r="CA1" s="649" t="s">
        <v>392</v>
      </c>
      <c r="CB1" s="649" t="s">
        <v>393</v>
      </c>
      <c r="CC1" s="649" t="s">
        <v>684</v>
      </c>
      <c r="CD1" s="649" t="s">
        <v>685</v>
      </c>
      <c r="CE1" s="649" t="s">
        <v>686</v>
      </c>
      <c r="CF1" s="649" t="s">
        <v>687</v>
      </c>
      <c r="CG1" s="649" t="s">
        <v>688</v>
      </c>
      <c r="CH1" s="649" t="s">
        <v>689</v>
      </c>
      <c r="CI1" s="649" t="s">
        <v>690</v>
      </c>
      <c r="CJ1" s="649" t="s">
        <v>691</v>
      </c>
      <c r="CK1" s="649" t="s">
        <v>692</v>
      </c>
      <c r="CL1" s="649" t="s">
        <v>693</v>
      </c>
      <c r="CM1" s="649" t="s">
        <v>694</v>
      </c>
      <c r="CN1" s="649" t="s">
        <v>695</v>
      </c>
      <c r="CO1" s="649" t="s">
        <v>696</v>
      </c>
      <c r="CP1" s="649" t="s">
        <v>6</v>
      </c>
    </row>
    <row r="2" spans="1:94" ht="12">
      <c r="A2" s="636"/>
      <c r="B2" s="637"/>
      <c r="C2" s="638"/>
      <c r="D2" s="639"/>
      <c r="E2" s="640"/>
      <c r="F2" s="287" t="s">
        <v>7</v>
      </c>
      <c r="G2" s="288" t="s">
        <v>8</v>
      </c>
      <c r="H2" s="641"/>
      <c r="I2" s="652"/>
      <c r="J2" s="653"/>
      <c r="K2" s="649"/>
      <c r="L2" s="649"/>
      <c r="M2" s="649"/>
      <c r="N2" s="649"/>
      <c r="O2" s="649"/>
      <c r="P2" s="651"/>
      <c r="Q2" s="649"/>
      <c r="R2" s="649"/>
      <c r="S2" s="649"/>
      <c r="T2" s="649"/>
      <c r="U2" s="649"/>
      <c r="V2" s="649"/>
      <c r="W2" s="649"/>
      <c r="X2" s="649"/>
      <c r="Y2" s="649"/>
      <c r="Z2" s="649"/>
      <c r="AA2" s="649"/>
      <c r="AB2" s="649"/>
      <c r="AC2" s="649"/>
      <c r="AD2" s="649"/>
      <c r="AE2" s="649"/>
      <c r="AF2" s="649"/>
      <c r="AG2" s="649"/>
      <c r="AH2" s="649"/>
      <c r="AI2" s="649"/>
      <c r="AJ2" s="649"/>
      <c r="AK2" s="649"/>
      <c r="AL2" s="649"/>
      <c r="AM2" s="649"/>
      <c r="AN2" s="649"/>
      <c r="AO2" s="649"/>
      <c r="AP2" s="649"/>
      <c r="AQ2" s="649"/>
      <c r="AR2" s="649"/>
      <c r="AS2" s="649"/>
      <c r="AT2" s="649"/>
      <c r="AU2" s="649"/>
      <c r="AV2" s="649"/>
      <c r="AW2" s="649"/>
      <c r="AX2" s="649"/>
      <c r="AY2" s="649"/>
      <c r="AZ2" s="649"/>
      <c r="BA2" s="649"/>
      <c r="BB2" s="649"/>
      <c r="BC2" s="649"/>
      <c r="BD2" s="649"/>
      <c r="BE2" s="649"/>
      <c r="BF2" s="649"/>
      <c r="BG2" s="649"/>
      <c r="BH2" s="649"/>
      <c r="BI2" s="649"/>
      <c r="BJ2" s="649"/>
      <c r="BK2" s="649"/>
      <c r="BL2" s="649"/>
      <c r="BM2" s="649"/>
      <c r="BN2" s="649"/>
      <c r="BO2" s="649"/>
      <c r="BP2" s="649"/>
      <c r="BQ2" s="649"/>
      <c r="BR2" s="649"/>
      <c r="BS2" s="649"/>
      <c r="BT2" s="649"/>
      <c r="BU2" s="649"/>
      <c r="BV2" s="649"/>
      <c r="BW2" s="649"/>
      <c r="BX2" s="649"/>
      <c r="BY2" s="649"/>
      <c r="BZ2" s="649"/>
      <c r="CA2" s="649"/>
      <c r="CB2" s="649"/>
      <c r="CC2" s="649"/>
      <c r="CD2" s="649"/>
      <c r="CE2" s="649"/>
      <c r="CF2" s="649"/>
      <c r="CG2" s="649"/>
      <c r="CH2" s="649"/>
      <c r="CI2" s="649"/>
      <c r="CJ2" s="649"/>
      <c r="CK2" s="649"/>
      <c r="CL2" s="649"/>
      <c r="CM2" s="649"/>
      <c r="CN2" s="649"/>
      <c r="CO2" s="649"/>
      <c r="CP2" s="649"/>
    </row>
    <row r="3" spans="1:94" ht="12" customHeight="1">
      <c r="A3" s="644">
        <v>1</v>
      </c>
      <c r="B3" s="645" t="s">
        <v>34</v>
      </c>
      <c r="C3" s="646" t="s">
        <v>35</v>
      </c>
      <c r="D3" s="647" t="s">
        <v>438</v>
      </c>
      <c r="E3" s="648" t="s">
        <v>439</v>
      </c>
      <c r="F3" s="642">
        <v>12.6</v>
      </c>
      <c r="G3" s="642">
        <v>41</v>
      </c>
      <c r="H3" s="643">
        <f>F3*G3*365</f>
        <v>188559</v>
      </c>
      <c r="I3" s="291">
        <v>45990</v>
      </c>
      <c r="J3" s="292">
        <f>ROUND(G3*F3*365/4,0)</f>
        <v>47140</v>
      </c>
      <c r="K3" s="293">
        <f>J3</f>
        <v>47140</v>
      </c>
      <c r="L3" s="293">
        <f>K3</f>
        <v>47140</v>
      </c>
      <c r="M3" s="293">
        <f>L3</f>
        <v>47140</v>
      </c>
      <c r="N3" s="293">
        <f>ROUND(M3*(1+取值表!$D$8)*取值表!$I$8,0)</f>
        <v>48484</v>
      </c>
      <c r="O3" s="293">
        <f>N3</f>
        <v>48484</v>
      </c>
      <c r="P3" s="293">
        <f>O3</f>
        <v>48484</v>
      </c>
      <c r="Q3" s="293">
        <f>P3</f>
        <v>48484</v>
      </c>
      <c r="R3" s="294">
        <f>ROUND(Q3*(1+取值表!$D$8),0)</f>
        <v>52993</v>
      </c>
      <c r="S3" s="293">
        <f t="shared" ref="S3:T3" si="0">R3</f>
        <v>52993</v>
      </c>
      <c r="T3" s="293">
        <f t="shared" si="0"/>
        <v>52993</v>
      </c>
      <c r="U3" s="293">
        <f>T3</f>
        <v>52993</v>
      </c>
      <c r="V3" s="293">
        <f>ROUND(U3*(1+取值表!$D$8),0)</f>
        <v>57921</v>
      </c>
      <c r="W3" s="293">
        <f t="shared" ref="W3:Y3" si="1">V3</f>
        <v>57921</v>
      </c>
      <c r="X3" s="293">
        <f t="shared" si="1"/>
        <v>57921</v>
      </c>
      <c r="Y3" s="293">
        <f t="shared" si="1"/>
        <v>57921</v>
      </c>
      <c r="Z3" s="293">
        <f>ROUND(Y3*(1+取值表!$D$8),0)</f>
        <v>63308</v>
      </c>
      <c r="AA3" s="293">
        <f t="shared" ref="AA3" si="2">Z3</f>
        <v>63308</v>
      </c>
      <c r="AB3" s="293">
        <f t="shared" ref="AB3" si="3">AA3</f>
        <v>63308</v>
      </c>
      <c r="AC3" s="293">
        <f>AB3</f>
        <v>63308</v>
      </c>
      <c r="AD3" s="293">
        <f>ROUND(AC3*(1+取值表!$D$8),0)</f>
        <v>69196</v>
      </c>
      <c r="AE3" s="293">
        <f t="shared" ref="AE3" si="4">AD3</f>
        <v>69196</v>
      </c>
      <c r="AF3" s="293">
        <f t="shared" ref="AF3" si="5">AE3</f>
        <v>69196</v>
      </c>
      <c r="AG3" s="293">
        <f t="shared" ref="AG3" si="6">AF3</f>
        <v>69196</v>
      </c>
      <c r="AH3" s="293">
        <f>ROUND(AG3*(1+取值表!$D$8),0)</f>
        <v>75631</v>
      </c>
      <c r="AI3" s="293">
        <f t="shared" ref="AI3" si="7">AH3</f>
        <v>75631</v>
      </c>
      <c r="AJ3" s="293">
        <f t="shared" ref="AJ3" si="8">AI3</f>
        <v>75631</v>
      </c>
      <c r="AK3" s="293">
        <f t="shared" ref="AK3" si="9">AJ3</f>
        <v>75631</v>
      </c>
      <c r="AL3" s="293">
        <f>ROUND(AK3*(1+取值表!$D$8),0)</f>
        <v>82665</v>
      </c>
      <c r="AM3" s="293">
        <f t="shared" ref="AM3" si="10">AL3</f>
        <v>82665</v>
      </c>
      <c r="AN3" s="293">
        <f t="shared" ref="AN3" si="11">AM3</f>
        <v>82665</v>
      </c>
      <c r="AO3" s="293">
        <f t="shared" ref="AO3" si="12">AN3</f>
        <v>82665</v>
      </c>
      <c r="AP3" s="293">
        <f>ROUND(AO3*(1+取值表!$D$8),0)</f>
        <v>90353</v>
      </c>
      <c r="AQ3" s="293">
        <f t="shared" ref="AQ3" si="13">AP3</f>
        <v>90353</v>
      </c>
      <c r="AR3" s="293">
        <f t="shared" ref="AR3" si="14">AQ3</f>
        <v>90353</v>
      </c>
      <c r="AS3" s="293">
        <f t="shared" ref="AS3" si="15">AR3</f>
        <v>90353</v>
      </c>
      <c r="AT3" s="293">
        <f>ROUND(AS3*(1+取值表!$D$8),0)</f>
        <v>98756</v>
      </c>
      <c r="AU3" s="293">
        <f t="shared" ref="AU3" si="16">AT3</f>
        <v>98756</v>
      </c>
      <c r="AV3" s="293">
        <f t="shared" ref="AV3" si="17">AU3</f>
        <v>98756</v>
      </c>
      <c r="AW3" s="293">
        <f t="shared" ref="AW3" si="18">AV3</f>
        <v>98756</v>
      </c>
      <c r="AX3" s="293">
        <f>ROUND(AW3*(1+取值表!$D$8),0)</f>
        <v>107940</v>
      </c>
      <c r="AY3" s="293">
        <f t="shared" ref="AY3" si="19">AX3</f>
        <v>107940</v>
      </c>
      <c r="AZ3" s="293">
        <f t="shared" ref="AZ3" si="20">AY3</f>
        <v>107940</v>
      </c>
      <c r="BA3" s="293">
        <f t="shared" ref="BA3" si="21">AZ3</f>
        <v>107940</v>
      </c>
      <c r="BB3" s="293">
        <f>ROUND(BA3*(1+取值表!$D$8),0)</f>
        <v>117978</v>
      </c>
      <c r="BC3" s="293">
        <f>BB3</f>
        <v>117978</v>
      </c>
      <c r="BD3" s="293">
        <f t="shared" ref="BD3" si="22">BC3</f>
        <v>117978</v>
      </c>
      <c r="BE3" s="293">
        <f>BD3</f>
        <v>117978</v>
      </c>
      <c r="BF3" s="293">
        <f>ROUND(BE3*(1+取值表!$D$8),0)</f>
        <v>128950</v>
      </c>
      <c r="BG3" s="293">
        <f>BF3</f>
        <v>128950</v>
      </c>
      <c r="BH3" s="293">
        <f t="shared" ref="BH3" si="23">BG3</f>
        <v>128950</v>
      </c>
      <c r="BI3" s="293">
        <f t="shared" ref="BI3" si="24">BH3</f>
        <v>128950</v>
      </c>
      <c r="BJ3" s="293">
        <f>ROUND(BI3*(1+取值表!$D$8),0)</f>
        <v>140942</v>
      </c>
      <c r="BK3" s="293">
        <f t="shared" ref="BK3" si="25">BJ3</f>
        <v>140942</v>
      </c>
      <c r="BL3" s="293">
        <f t="shared" ref="BL3" si="26">BK3</f>
        <v>140942</v>
      </c>
      <c r="BM3" s="293">
        <f t="shared" ref="BM3" si="27">BL3</f>
        <v>140942</v>
      </c>
      <c r="BN3" s="293">
        <f>ROUND(BM3*(1+取值表!$D$8),0)</f>
        <v>154050</v>
      </c>
      <c r="BO3" s="293">
        <f t="shared" ref="BO3" si="28">BN3</f>
        <v>154050</v>
      </c>
      <c r="BP3" s="293">
        <f t="shared" ref="BP3" si="29">BO3</f>
        <v>154050</v>
      </c>
      <c r="BQ3" s="293">
        <f t="shared" ref="BQ3" si="30">BP3</f>
        <v>154050</v>
      </c>
      <c r="BR3" s="293">
        <f>ROUND(BQ3*(1+取值表!$D$8),0)</f>
        <v>168377</v>
      </c>
      <c r="BS3" s="293">
        <f t="shared" ref="BS3" si="31">BR3</f>
        <v>168377</v>
      </c>
      <c r="BT3" s="293">
        <f t="shared" ref="BT3" si="32">BS3</f>
        <v>168377</v>
      </c>
      <c r="BU3" s="293">
        <f t="shared" ref="BU3" si="33">BT3</f>
        <v>168377</v>
      </c>
      <c r="BV3" s="293">
        <f>ROUND(BU3*(1+取值表!$D$8),0)</f>
        <v>184036</v>
      </c>
      <c r="BW3" s="293">
        <f t="shared" ref="BW3" si="34">BV3</f>
        <v>184036</v>
      </c>
      <c r="BX3" s="293">
        <f t="shared" ref="BX3" si="35">BW3</f>
        <v>184036</v>
      </c>
      <c r="BY3" s="293">
        <f t="shared" ref="BY3" si="36">BX3</f>
        <v>184036</v>
      </c>
      <c r="BZ3" s="293">
        <f>ROUND(BY3*(1+取值表!$D$8),0)</f>
        <v>201151</v>
      </c>
      <c r="CA3" s="293">
        <f t="shared" ref="CA3" si="37">BZ3</f>
        <v>201151</v>
      </c>
      <c r="CB3" s="293">
        <f t="shared" ref="CB3" si="38">CA3</f>
        <v>201151</v>
      </c>
      <c r="CC3" s="293">
        <f t="shared" ref="CC3" si="39">CB3</f>
        <v>201151</v>
      </c>
      <c r="CD3" s="293">
        <f>ROUND(CC3*(1+取值表!$D$8),0)</f>
        <v>219858</v>
      </c>
      <c r="CE3" s="293">
        <f t="shared" ref="CE3" si="40">CD3</f>
        <v>219858</v>
      </c>
      <c r="CF3" s="293">
        <f t="shared" ref="CF3" si="41">CE3</f>
        <v>219858</v>
      </c>
      <c r="CG3" s="293">
        <f t="shared" ref="CG3" si="42">CF3</f>
        <v>219858</v>
      </c>
      <c r="CH3" s="293">
        <f>ROUND(CG3*(1+取值表!$D$8),0)</f>
        <v>240305</v>
      </c>
      <c r="CI3" s="293">
        <f>CH3</f>
        <v>240305</v>
      </c>
      <c r="CJ3" s="293">
        <f t="shared" ref="CJ3" si="43">CI3</f>
        <v>240305</v>
      </c>
      <c r="CK3" s="293">
        <f t="shared" ref="CK3" si="44">CJ3</f>
        <v>240305</v>
      </c>
      <c r="CL3" s="293">
        <f>ROUND(CK3*(1+取值表!$D$8),0)</f>
        <v>262653</v>
      </c>
      <c r="CM3" s="293">
        <f>CL3</f>
        <v>262653</v>
      </c>
      <c r="CN3" s="293">
        <f t="shared" ref="CN3" si="45">CM3</f>
        <v>262653</v>
      </c>
      <c r="CO3" s="293">
        <f t="shared" ref="CO3" si="46">CN3</f>
        <v>262653</v>
      </c>
      <c r="CP3" s="293">
        <f t="shared" ref="CP3:CP66" si="47">SUM(J3:CO3)</f>
        <v>10450748</v>
      </c>
    </row>
    <row r="4" spans="1:94" ht="12" customHeight="1">
      <c r="A4" s="644"/>
      <c r="B4" s="645"/>
      <c r="C4" s="646"/>
      <c r="D4" s="647"/>
      <c r="E4" s="648"/>
      <c r="F4" s="642"/>
      <c r="G4" s="642"/>
      <c r="H4" s="643"/>
      <c r="I4" s="291"/>
      <c r="J4" s="295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3"/>
      <c r="AE4" s="293"/>
      <c r="AF4" s="293"/>
      <c r="AG4" s="293"/>
      <c r="AH4" s="293"/>
      <c r="AI4" s="293"/>
      <c r="AJ4" s="293"/>
      <c r="AK4" s="293"/>
      <c r="AL4" s="293"/>
      <c r="AM4" s="293"/>
      <c r="AN4" s="293"/>
      <c r="AO4" s="293"/>
      <c r="AP4" s="293"/>
      <c r="AQ4" s="293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  <c r="BI4" s="293"/>
      <c r="BJ4" s="293"/>
      <c r="BK4" s="293"/>
      <c r="BL4" s="293"/>
      <c r="BM4" s="293"/>
      <c r="BN4" s="293"/>
      <c r="BO4" s="293"/>
      <c r="BP4" s="293"/>
      <c r="BQ4" s="293"/>
      <c r="BR4" s="293"/>
      <c r="BS4" s="293"/>
      <c r="BT4" s="293"/>
      <c r="BU4" s="293"/>
      <c r="BV4" s="293"/>
      <c r="BW4" s="293"/>
      <c r="BX4" s="293"/>
      <c r="BY4" s="293"/>
      <c r="BZ4" s="293"/>
      <c r="CA4" s="293"/>
      <c r="CB4" s="293"/>
      <c r="CC4" s="293"/>
      <c r="CD4" s="293"/>
      <c r="CE4" s="293"/>
      <c r="CF4" s="293"/>
      <c r="CG4" s="293"/>
      <c r="CH4" s="293"/>
      <c r="CI4" s="293"/>
      <c r="CJ4" s="293"/>
      <c r="CK4" s="293"/>
      <c r="CL4" s="293"/>
      <c r="CM4" s="293"/>
      <c r="CN4" s="293"/>
      <c r="CO4" s="293"/>
      <c r="CP4" s="293">
        <f t="shared" si="47"/>
        <v>0</v>
      </c>
    </row>
    <row r="5" spans="1:94" ht="12" customHeight="1">
      <c r="A5" s="644">
        <v>2</v>
      </c>
      <c r="B5" s="645" t="s">
        <v>36</v>
      </c>
      <c r="C5" s="646" t="s">
        <v>37</v>
      </c>
      <c r="D5" s="647" t="s">
        <v>440</v>
      </c>
      <c r="E5" s="648" t="s">
        <v>439</v>
      </c>
      <c r="F5" s="642">
        <v>20.3</v>
      </c>
      <c r="G5" s="642">
        <v>45</v>
      </c>
      <c r="H5" s="643">
        <f>F5*G5*365</f>
        <v>333427.5</v>
      </c>
      <c r="I5" s="291">
        <v>83356.88</v>
      </c>
      <c r="J5" s="295">
        <f>ROUND(F5*G5*365/4,0)</f>
        <v>83357</v>
      </c>
      <c r="K5" s="292">
        <f>J5</f>
        <v>83357</v>
      </c>
      <c r="L5" s="293">
        <f>K5</f>
        <v>83357</v>
      </c>
      <c r="M5" s="293">
        <f>L5</f>
        <v>83357</v>
      </c>
      <c r="N5" s="293">
        <f>ROUND(M5*(1+取值表!$D$8)*取值表!$I$8,0)</f>
        <v>85734</v>
      </c>
      <c r="O5" s="293">
        <f>N5</f>
        <v>85734</v>
      </c>
      <c r="P5" s="293">
        <f>O5</f>
        <v>85734</v>
      </c>
      <c r="Q5" s="293">
        <f>P5</f>
        <v>85734</v>
      </c>
      <c r="R5" s="294">
        <f>ROUND(Q5*(1+取值表!$D$8),0)</f>
        <v>93707</v>
      </c>
      <c r="S5" s="293">
        <f t="shared" ref="S5:T5" si="48">R5</f>
        <v>93707</v>
      </c>
      <c r="T5" s="293">
        <f t="shared" si="48"/>
        <v>93707</v>
      </c>
      <c r="U5" s="293">
        <f>T5</f>
        <v>93707</v>
      </c>
      <c r="V5" s="293">
        <f>ROUND(U5*(1+取值表!$D$8),0)</f>
        <v>102422</v>
      </c>
      <c r="W5" s="293">
        <f t="shared" ref="W5:Y5" si="49">V5</f>
        <v>102422</v>
      </c>
      <c r="X5" s="293">
        <f t="shared" si="49"/>
        <v>102422</v>
      </c>
      <c r="Y5" s="293">
        <f t="shared" si="49"/>
        <v>102422</v>
      </c>
      <c r="Z5" s="293">
        <f>ROUND(Y5*(1+取值表!$D$8),0)</f>
        <v>111947</v>
      </c>
      <c r="AA5" s="293">
        <f t="shared" ref="AA5" si="50">Z5</f>
        <v>111947</v>
      </c>
      <c r="AB5" s="293">
        <f t="shared" ref="AB5" si="51">AA5</f>
        <v>111947</v>
      </c>
      <c r="AC5" s="293">
        <f>AB5</f>
        <v>111947</v>
      </c>
      <c r="AD5" s="293">
        <f>ROUND(AC5*(1+取值表!$D$8),0)</f>
        <v>122358</v>
      </c>
      <c r="AE5" s="293">
        <f t="shared" ref="AE5" si="52">AD5</f>
        <v>122358</v>
      </c>
      <c r="AF5" s="293">
        <f t="shared" ref="AF5" si="53">AE5</f>
        <v>122358</v>
      </c>
      <c r="AG5" s="293">
        <f t="shared" ref="AG5" si="54">AF5</f>
        <v>122358</v>
      </c>
      <c r="AH5" s="293">
        <f>ROUND(AG5*(1+取值表!$D$8),0)</f>
        <v>133737</v>
      </c>
      <c r="AI5" s="293">
        <f t="shared" ref="AI5" si="55">AH5</f>
        <v>133737</v>
      </c>
      <c r="AJ5" s="293">
        <f t="shared" ref="AJ5" si="56">AI5</f>
        <v>133737</v>
      </c>
      <c r="AK5" s="293">
        <f t="shared" ref="AK5" si="57">AJ5</f>
        <v>133737</v>
      </c>
      <c r="AL5" s="293">
        <f>ROUND(AK5*(1+取值表!$D$8),0)</f>
        <v>146175</v>
      </c>
      <c r="AM5" s="293">
        <f t="shared" ref="AM5" si="58">AL5</f>
        <v>146175</v>
      </c>
      <c r="AN5" s="293">
        <f t="shared" ref="AN5" si="59">AM5</f>
        <v>146175</v>
      </c>
      <c r="AO5" s="293">
        <f t="shared" ref="AO5" si="60">AN5</f>
        <v>146175</v>
      </c>
      <c r="AP5" s="293">
        <f>ROUND(AO5*(1+取值表!$D$8),0)</f>
        <v>159769</v>
      </c>
      <c r="AQ5" s="293">
        <f t="shared" ref="AQ5" si="61">AP5</f>
        <v>159769</v>
      </c>
      <c r="AR5" s="293">
        <f t="shared" ref="AR5" si="62">AQ5</f>
        <v>159769</v>
      </c>
      <c r="AS5" s="293">
        <f t="shared" ref="AS5" si="63">AR5</f>
        <v>159769</v>
      </c>
      <c r="AT5" s="293">
        <f>ROUND(AS5*(1+取值表!$D$8),0)</f>
        <v>174628</v>
      </c>
      <c r="AU5" s="293">
        <f t="shared" ref="AU5" si="64">AT5</f>
        <v>174628</v>
      </c>
      <c r="AV5" s="293">
        <f t="shared" ref="AV5" si="65">AU5</f>
        <v>174628</v>
      </c>
      <c r="AW5" s="293">
        <f t="shared" ref="AW5" si="66">AV5</f>
        <v>174628</v>
      </c>
      <c r="AX5" s="293">
        <f>ROUND(AW5*(1+取值表!$D$8),0)</f>
        <v>190868</v>
      </c>
      <c r="AY5" s="293">
        <f t="shared" ref="AY5" si="67">AX5</f>
        <v>190868</v>
      </c>
      <c r="AZ5" s="293">
        <f t="shared" ref="AZ5" si="68">AY5</f>
        <v>190868</v>
      </c>
      <c r="BA5" s="293">
        <f t="shared" ref="BA5" si="69">AZ5</f>
        <v>190868</v>
      </c>
      <c r="BB5" s="293">
        <f>ROUND(BA5*(1+取值表!$D$8),0)</f>
        <v>208619</v>
      </c>
      <c r="BC5" s="293">
        <f>BB5</f>
        <v>208619</v>
      </c>
      <c r="BD5" s="293">
        <f t="shared" ref="BD5" si="70">BC5</f>
        <v>208619</v>
      </c>
      <c r="BE5" s="293">
        <f>BD5</f>
        <v>208619</v>
      </c>
      <c r="BF5" s="293">
        <f>ROUND(BE5*(1+取值表!$D$8),0)</f>
        <v>228021</v>
      </c>
      <c r="BG5" s="293">
        <f>BF5</f>
        <v>228021</v>
      </c>
      <c r="BH5" s="293">
        <f t="shared" ref="BH5" si="71">BG5</f>
        <v>228021</v>
      </c>
      <c r="BI5" s="293">
        <f t="shared" ref="BI5" si="72">BH5</f>
        <v>228021</v>
      </c>
      <c r="BJ5" s="293">
        <f>ROUND(BI5*(1+取值表!$D$8),0)</f>
        <v>249227</v>
      </c>
      <c r="BK5" s="293">
        <f t="shared" ref="BK5" si="73">BJ5</f>
        <v>249227</v>
      </c>
      <c r="BL5" s="293">
        <f t="shared" ref="BL5" si="74">BK5</f>
        <v>249227</v>
      </c>
      <c r="BM5" s="293">
        <f t="shared" ref="BM5" si="75">BL5</f>
        <v>249227</v>
      </c>
      <c r="BN5" s="293">
        <f>ROUND(BM5*(1+取值表!$D$8),0)</f>
        <v>272405</v>
      </c>
      <c r="BO5" s="293">
        <f t="shared" ref="BO5" si="76">BN5</f>
        <v>272405</v>
      </c>
      <c r="BP5" s="293">
        <f t="shared" ref="BP5" si="77">BO5</f>
        <v>272405</v>
      </c>
      <c r="BQ5" s="293">
        <f t="shared" ref="BQ5" si="78">BP5</f>
        <v>272405</v>
      </c>
      <c r="BR5" s="293">
        <f>ROUND(BQ5*(1+取值表!$D$8),0)</f>
        <v>297739</v>
      </c>
      <c r="BS5" s="293">
        <f t="shared" ref="BS5" si="79">BR5</f>
        <v>297739</v>
      </c>
      <c r="BT5" s="293">
        <f t="shared" ref="BT5" si="80">BS5</f>
        <v>297739</v>
      </c>
      <c r="BU5" s="293">
        <f t="shared" ref="BU5" si="81">BT5</f>
        <v>297739</v>
      </c>
      <c r="BV5" s="293">
        <f>ROUND(BU5*(1+取值表!$D$8),0)</f>
        <v>325429</v>
      </c>
      <c r="BW5" s="293">
        <f t="shared" ref="BW5" si="82">BV5</f>
        <v>325429</v>
      </c>
      <c r="BX5" s="293">
        <f t="shared" ref="BX5" si="83">BW5</f>
        <v>325429</v>
      </c>
      <c r="BY5" s="293">
        <f t="shared" ref="BY5" si="84">BX5</f>
        <v>325429</v>
      </c>
      <c r="BZ5" s="293">
        <f>ROUND(BY5*(1+取值表!$D$8),0)</f>
        <v>355694</v>
      </c>
      <c r="CA5" s="293">
        <f t="shared" ref="CA5" si="85">BZ5</f>
        <v>355694</v>
      </c>
      <c r="CB5" s="293">
        <f t="shared" ref="CB5" si="86">CA5</f>
        <v>355694</v>
      </c>
      <c r="CC5" s="293">
        <f t="shared" ref="CC5" si="87">CB5</f>
        <v>355694</v>
      </c>
      <c r="CD5" s="293">
        <f>ROUND(CC5*(1+取值表!$D$8),0)</f>
        <v>388774</v>
      </c>
      <c r="CE5" s="293">
        <f t="shared" ref="CE5" si="88">CD5</f>
        <v>388774</v>
      </c>
      <c r="CF5" s="293">
        <f t="shared" ref="CF5" si="89">CE5</f>
        <v>388774</v>
      </c>
      <c r="CG5" s="293">
        <f t="shared" ref="CG5" si="90">CF5</f>
        <v>388774</v>
      </c>
      <c r="CH5" s="293">
        <f>ROUND(CG5*(1+取值表!$D$8),0)</f>
        <v>424930</v>
      </c>
      <c r="CI5" s="293">
        <f>CH5</f>
        <v>424930</v>
      </c>
      <c r="CJ5" s="293">
        <f t="shared" ref="CJ5" si="91">CI5</f>
        <v>424930</v>
      </c>
      <c r="CK5" s="293">
        <f t="shared" ref="CK5" si="92">CJ5</f>
        <v>424930</v>
      </c>
      <c r="CL5" s="293">
        <f>ROUND(CK5*(1+取值表!$D$8),0)</f>
        <v>464448</v>
      </c>
      <c r="CM5" s="293">
        <f>CL5</f>
        <v>464448</v>
      </c>
      <c r="CN5" s="293">
        <f t="shared" ref="CN5" si="93">CM5</f>
        <v>464448</v>
      </c>
      <c r="CO5" s="293">
        <f t="shared" ref="CO5" si="94">CN5</f>
        <v>464448</v>
      </c>
      <c r="CP5" s="293">
        <f t="shared" si="47"/>
        <v>18479952</v>
      </c>
    </row>
    <row r="6" spans="1:94" ht="12" customHeight="1">
      <c r="A6" s="644"/>
      <c r="B6" s="645"/>
      <c r="C6" s="646"/>
      <c r="D6" s="647"/>
      <c r="E6" s="648"/>
      <c r="F6" s="642"/>
      <c r="G6" s="642"/>
      <c r="H6" s="643"/>
      <c r="I6" s="291"/>
      <c r="J6" s="295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293"/>
      <c r="AH6" s="293"/>
      <c r="AI6" s="293"/>
      <c r="AJ6" s="293"/>
      <c r="AK6" s="293"/>
      <c r="AL6" s="293"/>
      <c r="AM6" s="293"/>
      <c r="AN6" s="293"/>
      <c r="AO6" s="293"/>
      <c r="AP6" s="293"/>
      <c r="AQ6" s="293"/>
      <c r="AR6" s="293"/>
      <c r="AS6" s="293"/>
      <c r="AT6" s="293"/>
      <c r="AU6" s="293"/>
      <c r="AV6" s="293"/>
      <c r="AW6" s="293"/>
      <c r="AX6" s="293"/>
      <c r="AY6" s="293"/>
      <c r="AZ6" s="293"/>
      <c r="BA6" s="293"/>
      <c r="BB6" s="293"/>
      <c r="BC6" s="293"/>
      <c r="BD6" s="293"/>
      <c r="BE6" s="293"/>
      <c r="BF6" s="293"/>
      <c r="BG6" s="293"/>
      <c r="BH6" s="293"/>
      <c r="BI6" s="293"/>
      <c r="BJ6" s="293"/>
      <c r="BK6" s="293"/>
      <c r="BL6" s="293"/>
      <c r="BM6" s="293"/>
      <c r="BN6" s="293"/>
      <c r="BO6" s="293"/>
      <c r="BP6" s="293"/>
      <c r="BQ6" s="293"/>
      <c r="BR6" s="293"/>
      <c r="BS6" s="293"/>
      <c r="BT6" s="293"/>
      <c r="BU6" s="293"/>
      <c r="BV6" s="293"/>
      <c r="BW6" s="293"/>
      <c r="BX6" s="293"/>
      <c r="BY6" s="293"/>
      <c r="BZ6" s="293"/>
      <c r="CA6" s="293"/>
      <c r="CB6" s="293"/>
      <c r="CC6" s="293"/>
      <c r="CD6" s="293"/>
      <c r="CE6" s="293"/>
      <c r="CF6" s="293"/>
      <c r="CG6" s="293"/>
      <c r="CH6" s="293"/>
      <c r="CI6" s="293"/>
      <c r="CJ6" s="293"/>
      <c r="CK6" s="293"/>
      <c r="CL6" s="293"/>
      <c r="CM6" s="293"/>
      <c r="CN6" s="293"/>
      <c r="CO6" s="293"/>
      <c r="CP6" s="293">
        <f t="shared" si="47"/>
        <v>0</v>
      </c>
    </row>
    <row r="7" spans="1:94">
      <c r="A7" s="644">
        <v>3</v>
      </c>
      <c r="B7" s="645" t="s">
        <v>38</v>
      </c>
      <c r="C7" s="646" t="s">
        <v>39</v>
      </c>
      <c r="D7" s="647" t="s">
        <v>441</v>
      </c>
      <c r="E7" s="648" t="s">
        <v>439</v>
      </c>
      <c r="F7" s="642">
        <v>50.69</v>
      </c>
      <c r="G7" s="642">
        <v>44</v>
      </c>
      <c r="H7" s="643">
        <f>F7*G7*365</f>
        <v>814081.39999999991</v>
      </c>
      <c r="I7" s="291">
        <v>203520.35</v>
      </c>
      <c r="J7" s="292">
        <f>ROUND(F7*G7*365/4,0)</f>
        <v>203520</v>
      </c>
      <c r="K7" s="293">
        <f>J7</f>
        <v>203520</v>
      </c>
      <c r="L7" s="293">
        <f>K7</f>
        <v>203520</v>
      </c>
      <c r="M7" s="293">
        <f>L7</f>
        <v>203520</v>
      </c>
      <c r="N7" s="293">
        <f>ROUND(M7*(1+取值表!$D$8)*取值表!$I$8,0)</f>
        <v>209323</v>
      </c>
      <c r="O7" s="293">
        <f>N7</f>
        <v>209323</v>
      </c>
      <c r="P7" s="293">
        <f>O7</f>
        <v>209323</v>
      </c>
      <c r="Q7" s="293">
        <f>P7</f>
        <v>209323</v>
      </c>
      <c r="R7" s="294">
        <f>ROUND(Q7*(1+取值表!$D$8),0)</f>
        <v>228790</v>
      </c>
      <c r="S7" s="293">
        <f t="shared" ref="S7:T7" si="95">R7</f>
        <v>228790</v>
      </c>
      <c r="T7" s="293">
        <f t="shared" si="95"/>
        <v>228790</v>
      </c>
      <c r="U7" s="293">
        <f>T7</f>
        <v>228790</v>
      </c>
      <c r="V7" s="293">
        <f>ROUND(U7*(1+取值表!$D$8),0)</f>
        <v>250067</v>
      </c>
      <c r="W7" s="293">
        <f t="shared" ref="W7:Y7" si="96">V7</f>
        <v>250067</v>
      </c>
      <c r="X7" s="293">
        <f t="shared" si="96"/>
        <v>250067</v>
      </c>
      <c r="Y7" s="293">
        <f t="shared" si="96"/>
        <v>250067</v>
      </c>
      <c r="Z7" s="293">
        <f>ROUND(Y7*(1+取值表!$D$8),0)</f>
        <v>273323</v>
      </c>
      <c r="AA7" s="293">
        <f t="shared" ref="AA7" si="97">Z7</f>
        <v>273323</v>
      </c>
      <c r="AB7" s="293">
        <f t="shared" ref="AB7" si="98">AA7</f>
        <v>273323</v>
      </c>
      <c r="AC7" s="293">
        <f>AB7</f>
        <v>273323</v>
      </c>
      <c r="AD7" s="293">
        <f>ROUND(AC7*(1+取值表!$D$8),0)</f>
        <v>298742</v>
      </c>
      <c r="AE7" s="293">
        <f t="shared" ref="AE7" si="99">AD7</f>
        <v>298742</v>
      </c>
      <c r="AF7" s="293">
        <f t="shared" ref="AF7" si="100">AE7</f>
        <v>298742</v>
      </c>
      <c r="AG7" s="293">
        <f t="shared" ref="AG7" si="101">AF7</f>
        <v>298742</v>
      </c>
      <c r="AH7" s="293">
        <f>ROUND(AG7*(1+取值表!$D$8),0)</f>
        <v>326525</v>
      </c>
      <c r="AI7" s="293">
        <f t="shared" ref="AI7" si="102">AH7</f>
        <v>326525</v>
      </c>
      <c r="AJ7" s="293">
        <f t="shared" ref="AJ7" si="103">AI7</f>
        <v>326525</v>
      </c>
      <c r="AK7" s="293">
        <f t="shared" ref="AK7" si="104">AJ7</f>
        <v>326525</v>
      </c>
      <c r="AL7" s="293">
        <f>ROUND(AK7*(1+取值表!$D$8),0)</f>
        <v>356892</v>
      </c>
      <c r="AM7" s="293">
        <f t="shared" ref="AM7" si="105">AL7</f>
        <v>356892</v>
      </c>
      <c r="AN7" s="293">
        <f t="shared" ref="AN7" si="106">AM7</f>
        <v>356892</v>
      </c>
      <c r="AO7" s="293">
        <f t="shared" ref="AO7" si="107">AN7</f>
        <v>356892</v>
      </c>
      <c r="AP7" s="293">
        <f>ROUND(AO7*(1+取值表!$D$8),0)</f>
        <v>390083</v>
      </c>
      <c r="AQ7" s="293">
        <f t="shared" ref="AQ7" si="108">AP7</f>
        <v>390083</v>
      </c>
      <c r="AR7" s="293">
        <f t="shared" ref="AR7" si="109">AQ7</f>
        <v>390083</v>
      </c>
      <c r="AS7" s="293">
        <f t="shared" ref="AS7" si="110">AR7</f>
        <v>390083</v>
      </c>
      <c r="AT7" s="293">
        <f>ROUND(AS7*(1+取值表!$D$8),0)</f>
        <v>426361</v>
      </c>
      <c r="AU7" s="293">
        <f t="shared" ref="AU7" si="111">AT7</f>
        <v>426361</v>
      </c>
      <c r="AV7" s="293">
        <f t="shared" ref="AV7" si="112">AU7</f>
        <v>426361</v>
      </c>
      <c r="AW7" s="293">
        <f t="shared" ref="AW7" si="113">AV7</f>
        <v>426361</v>
      </c>
      <c r="AX7" s="293">
        <f>ROUND(AW7*(1+取值表!$D$8),0)</f>
        <v>466013</v>
      </c>
      <c r="AY7" s="293">
        <f t="shared" ref="AY7" si="114">AX7</f>
        <v>466013</v>
      </c>
      <c r="AZ7" s="293">
        <f t="shared" ref="AZ7" si="115">AY7</f>
        <v>466013</v>
      </c>
      <c r="BA7" s="293">
        <f t="shared" ref="BA7" si="116">AZ7</f>
        <v>466013</v>
      </c>
      <c r="BB7" s="293">
        <f>ROUND(BA7*(1+取值表!$D$8),0)</f>
        <v>509352</v>
      </c>
      <c r="BC7" s="293">
        <f>BB7</f>
        <v>509352</v>
      </c>
      <c r="BD7" s="293">
        <f t="shared" ref="BD7" si="117">BC7</f>
        <v>509352</v>
      </c>
      <c r="BE7" s="293">
        <f>BD7</f>
        <v>509352</v>
      </c>
      <c r="BF7" s="293">
        <f>ROUND(BE7*(1+取值表!$D$8),0)</f>
        <v>556722</v>
      </c>
      <c r="BG7" s="293">
        <f>BF7</f>
        <v>556722</v>
      </c>
      <c r="BH7" s="293">
        <f t="shared" ref="BH7" si="118">BG7</f>
        <v>556722</v>
      </c>
      <c r="BI7" s="293">
        <f t="shared" ref="BI7" si="119">BH7</f>
        <v>556722</v>
      </c>
      <c r="BJ7" s="293">
        <f>ROUND(BI7*(1+取值表!$D$8),0)</f>
        <v>608497</v>
      </c>
      <c r="BK7" s="293">
        <f t="shared" ref="BK7" si="120">BJ7</f>
        <v>608497</v>
      </c>
      <c r="BL7" s="293">
        <f t="shared" ref="BL7" si="121">BK7</f>
        <v>608497</v>
      </c>
      <c r="BM7" s="293">
        <f t="shared" ref="BM7" si="122">BL7</f>
        <v>608497</v>
      </c>
      <c r="BN7" s="293">
        <f>ROUND(BM7*(1+取值表!$D$8),0)</f>
        <v>665087</v>
      </c>
      <c r="BO7" s="293">
        <f t="shared" ref="BO7" si="123">BN7</f>
        <v>665087</v>
      </c>
      <c r="BP7" s="293">
        <f t="shared" ref="BP7" si="124">BO7</f>
        <v>665087</v>
      </c>
      <c r="BQ7" s="293">
        <f t="shared" ref="BQ7" si="125">BP7</f>
        <v>665087</v>
      </c>
      <c r="BR7" s="293">
        <f>ROUND(BQ7*(1+取值表!$D$8),0)</f>
        <v>726940</v>
      </c>
      <c r="BS7" s="293">
        <f t="shared" ref="BS7" si="126">BR7</f>
        <v>726940</v>
      </c>
      <c r="BT7" s="293">
        <f t="shared" ref="BT7" si="127">BS7</f>
        <v>726940</v>
      </c>
      <c r="BU7" s="293">
        <f t="shared" ref="BU7" si="128">BT7</f>
        <v>726940</v>
      </c>
      <c r="BV7" s="293">
        <f>ROUND(BU7*(1+取值表!$D$8),0)</f>
        <v>794545</v>
      </c>
      <c r="BW7" s="293">
        <f t="shared" ref="BW7" si="129">BV7</f>
        <v>794545</v>
      </c>
      <c r="BX7" s="293">
        <f t="shared" ref="BX7" si="130">BW7</f>
        <v>794545</v>
      </c>
      <c r="BY7" s="293">
        <f t="shared" ref="BY7" si="131">BX7</f>
        <v>794545</v>
      </c>
      <c r="BZ7" s="293">
        <f>ROUND(BY7*(1+取值表!$D$8),0)</f>
        <v>868438</v>
      </c>
      <c r="CA7" s="293">
        <f t="shared" ref="CA7" si="132">BZ7</f>
        <v>868438</v>
      </c>
      <c r="CB7" s="293">
        <f t="shared" ref="CB7" si="133">CA7</f>
        <v>868438</v>
      </c>
      <c r="CC7" s="293">
        <f t="shared" ref="CC7" si="134">CB7</f>
        <v>868438</v>
      </c>
      <c r="CD7" s="293">
        <f>ROUND(CC7*(1+取值表!$D$8),0)</f>
        <v>949203</v>
      </c>
      <c r="CE7" s="293">
        <f t="shared" ref="CE7" si="135">CD7</f>
        <v>949203</v>
      </c>
      <c r="CF7" s="293">
        <f t="shared" ref="CF7" si="136">CE7</f>
        <v>949203</v>
      </c>
      <c r="CG7" s="293">
        <f t="shared" ref="CG7" si="137">CF7</f>
        <v>949203</v>
      </c>
      <c r="CH7" s="293">
        <f>ROUND(CG7*(1+取值表!$D$8),0)</f>
        <v>1037479</v>
      </c>
      <c r="CI7" s="293">
        <f>CH7</f>
        <v>1037479</v>
      </c>
      <c r="CJ7" s="293">
        <f t="shared" ref="CJ7" si="138">CI7</f>
        <v>1037479</v>
      </c>
      <c r="CK7" s="293">
        <f t="shared" ref="CK7" si="139">CJ7</f>
        <v>1037479</v>
      </c>
      <c r="CL7" s="293">
        <f>ROUND(CK7*(1+取值表!$D$8),0)</f>
        <v>1133965</v>
      </c>
      <c r="CM7" s="293">
        <f>CL7</f>
        <v>1133965</v>
      </c>
      <c r="CN7" s="293">
        <f t="shared" ref="CN7" si="140">CM7</f>
        <v>1133965</v>
      </c>
      <c r="CO7" s="293">
        <f t="shared" ref="CO7" si="141">CN7</f>
        <v>1133965</v>
      </c>
      <c r="CP7" s="293">
        <f t="shared" si="47"/>
        <v>45119468</v>
      </c>
    </row>
    <row r="8" spans="1:94">
      <c r="A8" s="644"/>
      <c r="B8" s="645"/>
      <c r="C8" s="646"/>
      <c r="D8" s="647"/>
      <c r="E8" s="648"/>
      <c r="F8" s="642"/>
      <c r="G8" s="642"/>
      <c r="H8" s="643"/>
      <c r="I8" s="291"/>
      <c r="J8" s="295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3"/>
      <c r="W8" s="293"/>
      <c r="X8" s="293"/>
      <c r="Y8" s="293"/>
      <c r="Z8" s="293"/>
      <c r="AA8" s="293"/>
      <c r="AB8" s="293"/>
      <c r="AC8" s="293"/>
      <c r="AD8" s="293"/>
      <c r="AE8" s="293"/>
      <c r="AF8" s="293"/>
      <c r="AG8" s="293"/>
      <c r="AH8" s="293"/>
      <c r="AI8" s="293"/>
      <c r="AJ8" s="293"/>
      <c r="AK8" s="293"/>
      <c r="AL8" s="293"/>
      <c r="AM8" s="293"/>
      <c r="AN8" s="293"/>
      <c r="AO8" s="293"/>
      <c r="AP8" s="293"/>
      <c r="AQ8" s="293"/>
      <c r="AR8" s="293"/>
      <c r="AS8" s="293"/>
      <c r="AT8" s="293"/>
      <c r="AU8" s="293"/>
      <c r="AV8" s="293"/>
      <c r="AW8" s="293"/>
      <c r="AX8" s="293"/>
      <c r="AY8" s="293"/>
      <c r="AZ8" s="293"/>
      <c r="BA8" s="293"/>
      <c r="BB8" s="293"/>
      <c r="BC8" s="293"/>
      <c r="BD8" s="293"/>
      <c r="BE8" s="293"/>
      <c r="BF8" s="293"/>
      <c r="BG8" s="293"/>
      <c r="BH8" s="293"/>
      <c r="BI8" s="293"/>
      <c r="BJ8" s="293"/>
      <c r="BK8" s="293"/>
      <c r="BL8" s="293"/>
      <c r="BM8" s="293"/>
      <c r="BN8" s="293"/>
      <c r="BO8" s="293"/>
      <c r="BP8" s="293"/>
      <c r="BQ8" s="293"/>
      <c r="BR8" s="293"/>
      <c r="BS8" s="293"/>
      <c r="BT8" s="293"/>
      <c r="BU8" s="293"/>
      <c r="BV8" s="293"/>
      <c r="BW8" s="293"/>
      <c r="BX8" s="293"/>
      <c r="BY8" s="293"/>
      <c r="BZ8" s="293"/>
      <c r="CA8" s="293"/>
      <c r="CB8" s="293"/>
      <c r="CC8" s="293"/>
      <c r="CD8" s="293"/>
      <c r="CE8" s="293"/>
      <c r="CF8" s="293"/>
      <c r="CG8" s="293"/>
      <c r="CH8" s="293"/>
      <c r="CI8" s="293"/>
      <c r="CJ8" s="293"/>
      <c r="CK8" s="293"/>
      <c r="CL8" s="293"/>
      <c r="CM8" s="293"/>
      <c r="CN8" s="293"/>
      <c r="CO8" s="293"/>
      <c r="CP8" s="293">
        <f t="shared" si="47"/>
        <v>0</v>
      </c>
    </row>
    <row r="9" spans="1:94">
      <c r="A9" s="644">
        <v>4</v>
      </c>
      <c r="B9" s="645" t="s">
        <v>40</v>
      </c>
      <c r="C9" s="646" t="s">
        <v>717</v>
      </c>
      <c r="D9" s="647" t="s">
        <v>442</v>
      </c>
      <c r="E9" s="648" t="s">
        <v>439</v>
      </c>
      <c r="F9" s="642">
        <v>20.3</v>
      </c>
      <c r="G9" s="642">
        <f>AVERAGE(44,46)</f>
        <v>45</v>
      </c>
      <c r="H9" s="643">
        <f>F9*G9*365</f>
        <v>333427.5</v>
      </c>
      <c r="I9" s="291">
        <v>85209.25</v>
      </c>
      <c r="J9" s="295">
        <f>ROUND(F9*G9*365/4,0)</f>
        <v>83357</v>
      </c>
      <c r="K9" s="292">
        <f>J9</f>
        <v>83357</v>
      </c>
      <c r="L9" s="293">
        <f>K9</f>
        <v>83357</v>
      </c>
      <c r="M9" s="293">
        <f>L9</f>
        <v>83357</v>
      </c>
      <c r="N9" s="293">
        <f>ROUND(M9*(1+取值表!$D$8)*取值表!$I$8,0)</f>
        <v>85734</v>
      </c>
      <c r="O9" s="293">
        <f>N9</f>
        <v>85734</v>
      </c>
      <c r="P9" s="293">
        <f>O9</f>
        <v>85734</v>
      </c>
      <c r="Q9" s="293">
        <f>P9</f>
        <v>85734</v>
      </c>
      <c r="R9" s="294">
        <f>ROUND(Q9*(1+取值表!$D$8),0)</f>
        <v>93707</v>
      </c>
      <c r="S9" s="293">
        <f t="shared" ref="S9:T9" si="142">R9</f>
        <v>93707</v>
      </c>
      <c r="T9" s="293">
        <f t="shared" si="142"/>
        <v>93707</v>
      </c>
      <c r="U9" s="293">
        <f>T9</f>
        <v>93707</v>
      </c>
      <c r="V9" s="293">
        <f>ROUND(U9*(1+取值表!$D$8),0)</f>
        <v>102422</v>
      </c>
      <c r="W9" s="293">
        <f t="shared" ref="W9:Y9" si="143">V9</f>
        <v>102422</v>
      </c>
      <c r="X9" s="293">
        <f t="shared" si="143"/>
        <v>102422</v>
      </c>
      <c r="Y9" s="293">
        <f t="shared" si="143"/>
        <v>102422</v>
      </c>
      <c r="Z9" s="293">
        <f>ROUND(Y9*(1+取值表!$D$8),0)</f>
        <v>111947</v>
      </c>
      <c r="AA9" s="293">
        <f t="shared" ref="AA9" si="144">Z9</f>
        <v>111947</v>
      </c>
      <c r="AB9" s="293">
        <f t="shared" ref="AB9" si="145">AA9</f>
        <v>111947</v>
      </c>
      <c r="AC9" s="293">
        <f>AB9</f>
        <v>111947</v>
      </c>
      <c r="AD9" s="293">
        <f>ROUND(AC9*(1+取值表!$D$8),0)</f>
        <v>122358</v>
      </c>
      <c r="AE9" s="293">
        <f t="shared" ref="AE9" si="146">AD9</f>
        <v>122358</v>
      </c>
      <c r="AF9" s="293">
        <f t="shared" ref="AF9" si="147">AE9</f>
        <v>122358</v>
      </c>
      <c r="AG9" s="293">
        <f t="shared" ref="AG9" si="148">AF9</f>
        <v>122358</v>
      </c>
      <c r="AH9" s="293">
        <f>ROUND(AG9*(1+取值表!$D$8),0)</f>
        <v>133737</v>
      </c>
      <c r="AI9" s="293">
        <f t="shared" ref="AI9" si="149">AH9</f>
        <v>133737</v>
      </c>
      <c r="AJ9" s="293">
        <f t="shared" ref="AJ9" si="150">AI9</f>
        <v>133737</v>
      </c>
      <c r="AK9" s="293">
        <f t="shared" ref="AK9" si="151">AJ9</f>
        <v>133737</v>
      </c>
      <c r="AL9" s="293">
        <f>ROUND(AK9*(1+取值表!$D$8),0)</f>
        <v>146175</v>
      </c>
      <c r="AM9" s="293">
        <f t="shared" ref="AM9" si="152">AL9</f>
        <v>146175</v>
      </c>
      <c r="AN9" s="293">
        <f t="shared" ref="AN9" si="153">AM9</f>
        <v>146175</v>
      </c>
      <c r="AO9" s="293">
        <f t="shared" ref="AO9" si="154">AN9</f>
        <v>146175</v>
      </c>
      <c r="AP9" s="293">
        <f>ROUND(AO9*(1+取值表!$D$8),0)</f>
        <v>159769</v>
      </c>
      <c r="AQ9" s="293">
        <f t="shared" ref="AQ9" si="155">AP9</f>
        <v>159769</v>
      </c>
      <c r="AR9" s="293">
        <f t="shared" ref="AR9" si="156">AQ9</f>
        <v>159769</v>
      </c>
      <c r="AS9" s="293">
        <f t="shared" ref="AS9" si="157">AR9</f>
        <v>159769</v>
      </c>
      <c r="AT9" s="293">
        <f>ROUND(AS9*(1+取值表!$D$8),0)</f>
        <v>174628</v>
      </c>
      <c r="AU9" s="293">
        <f t="shared" ref="AU9" si="158">AT9</f>
        <v>174628</v>
      </c>
      <c r="AV9" s="293">
        <f t="shared" ref="AV9" si="159">AU9</f>
        <v>174628</v>
      </c>
      <c r="AW9" s="293">
        <f t="shared" ref="AW9" si="160">AV9</f>
        <v>174628</v>
      </c>
      <c r="AX9" s="293">
        <f>ROUND(AW9*(1+取值表!$D$8),0)</f>
        <v>190868</v>
      </c>
      <c r="AY9" s="293">
        <f t="shared" ref="AY9" si="161">AX9</f>
        <v>190868</v>
      </c>
      <c r="AZ9" s="293">
        <f t="shared" ref="AZ9" si="162">AY9</f>
        <v>190868</v>
      </c>
      <c r="BA9" s="293">
        <f t="shared" ref="BA9" si="163">AZ9</f>
        <v>190868</v>
      </c>
      <c r="BB9" s="293">
        <f>ROUND(BA9*(1+取值表!$D$8),0)</f>
        <v>208619</v>
      </c>
      <c r="BC9" s="293">
        <f>BB9</f>
        <v>208619</v>
      </c>
      <c r="BD9" s="293">
        <f t="shared" ref="BD9" si="164">BC9</f>
        <v>208619</v>
      </c>
      <c r="BE9" s="293">
        <f>BD9</f>
        <v>208619</v>
      </c>
      <c r="BF9" s="293">
        <f>ROUND(BE9*(1+取值表!$D$8),0)</f>
        <v>228021</v>
      </c>
      <c r="BG9" s="293">
        <f>BF9</f>
        <v>228021</v>
      </c>
      <c r="BH9" s="293">
        <f t="shared" ref="BH9" si="165">BG9</f>
        <v>228021</v>
      </c>
      <c r="BI9" s="293">
        <f t="shared" ref="BI9" si="166">BH9</f>
        <v>228021</v>
      </c>
      <c r="BJ9" s="293">
        <f>ROUND(BI9*(1+取值表!$D$8),0)</f>
        <v>249227</v>
      </c>
      <c r="BK9" s="293">
        <f t="shared" ref="BK9" si="167">BJ9</f>
        <v>249227</v>
      </c>
      <c r="BL9" s="293">
        <f t="shared" ref="BL9" si="168">BK9</f>
        <v>249227</v>
      </c>
      <c r="BM9" s="293">
        <f t="shared" ref="BM9" si="169">BL9</f>
        <v>249227</v>
      </c>
      <c r="BN9" s="293">
        <f>ROUND(BM9*(1+取值表!$D$8),0)</f>
        <v>272405</v>
      </c>
      <c r="BO9" s="293">
        <f t="shared" ref="BO9" si="170">BN9</f>
        <v>272405</v>
      </c>
      <c r="BP9" s="293">
        <f t="shared" ref="BP9" si="171">BO9</f>
        <v>272405</v>
      </c>
      <c r="BQ9" s="293">
        <f t="shared" ref="BQ9" si="172">BP9</f>
        <v>272405</v>
      </c>
      <c r="BR9" s="293">
        <f>ROUND(BQ9*(1+取值表!$D$8),0)</f>
        <v>297739</v>
      </c>
      <c r="BS9" s="293">
        <f t="shared" ref="BS9" si="173">BR9</f>
        <v>297739</v>
      </c>
      <c r="BT9" s="293">
        <f t="shared" ref="BT9" si="174">BS9</f>
        <v>297739</v>
      </c>
      <c r="BU9" s="293">
        <f t="shared" ref="BU9" si="175">BT9</f>
        <v>297739</v>
      </c>
      <c r="BV9" s="293">
        <f>ROUND(BU9*(1+取值表!$D$8),0)</f>
        <v>325429</v>
      </c>
      <c r="BW9" s="293">
        <f t="shared" ref="BW9" si="176">BV9</f>
        <v>325429</v>
      </c>
      <c r="BX9" s="293">
        <f t="shared" ref="BX9" si="177">BW9</f>
        <v>325429</v>
      </c>
      <c r="BY9" s="293">
        <f t="shared" ref="BY9" si="178">BX9</f>
        <v>325429</v>
      </c>
      <c r="BZ9" s="293">
        <f>ROUND(BY9*(1+取值表!$D$8),0)</f>
        <v>355694</v>
      </c>
      <c r="CA9" s="293">
        <f t="shared" ref="CA9" si="179">BZ9</f>
        <v>355694</v>
      </c>
      <c r="CB9" s="293">
        <f t="shared" ref="CB9" si="180">CA9</f>
        <v>355694</v>
      </c>
      <c r="CC9" s="293">
        <f t="shared" ref="CC9" si="181">CB9</f>
        <v>355694</v>
      </c>
      <c r="CD9" s="293">
        <f>ROUND(CC9*(1+取值表!$D$8),0)</f>
        <v>388774</v>
      </c>
      <c r="CE9" s="293">
        <f t="shared" ref="CE9" si="182">CD9</f>
        <v>388774</v>
      </c>
      <c r="CF9" s="293">
        <f t="shared" ref="CF9" si="183">CE9</f>
        <v>388774</v>
      </c>
      <c r="CG9" s="293">
        <f t="shared" ref="CG9" si="184">CF9</f>
        <v>388774</v>
      </c>
      <c r="CH9" s="293">
        <f>ROUND(CG9*(1+取值表!$D$8),0)</f>
        <v>424930</v>
      </c>
      <c r="CI9" s="293">
        <f>CH9</f>
        <v>424930</v>
      </c>
      <c r="CJ9" s="293">
        <f t="shared" ref="CJ9" si="185">CI9</f>
        <v>424930</v>
      </c>
      <c r="CK9" s="293">
        <f t="shared" ref="CK9" si="186">CJ9</f>
        <v>424930</v>
      </c>
      <c r="CL9" s="293">
        <f>ROUND(CK9*(1+取值表!$D$8),0)</f>
        <v>464448</v>
      </c>
      <c r="CM9" s="293">
        <f>CL9</f>
        <v>464448</v>
      </c>
      <c r="CN9" s="293">
        <f t="shared" ref="CN9" si="187">CM9</f>
        <v>464448</v>
      </c>
      <c r="CO9" s="293">
        <f t="shared" ref="CO9" si="188">CN9</f>
        <v>464448</v>
      </c>
      <c r="CP9" s="293">
        <f t="shared" si="47"/>
        <v>18479952</v>
      </c>
    </row>
    <row r="10" spans="1:94">
      <c r="A10" s="644"/>
      <c r="B10" s="645"/>
      <c r="C10" s="646"/>
      <c r="D10" s="647"/>
      <c r="E10" s="648"/>
      <c r="F10" s="642"/>
      <c r="G10" s="642"/>
      <c r="H10" s="643"/>
      <c r="I10" s="291"/>
      <c r="J10" s="295"/>
      <c r="K10" s="293"/>
      <c r="L10" s="293"/>
      <c r="M10" s="293"/>
      <c r="N10" s="293"/>
      <c r="O10" s="293"/>
      <c r="P10" s="293"/>
      <c r="Q10" s="293"/>
      <c r="R10" s="29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  <c r="AI10" s="293"/>
      <c r="AJ10" s="293"/>
      <c r="AK10" s="293"/>
      <c r="AL10" s="293"/>
      <c r="AM10" s="293"/>
      <c r="AN10" s="293"/>
      <c r="AO10" s="293"/>
      <c r="AP10" s="293"/>
      <c r="AQ10" s="293"/>
      <c r="AR10" s="293"/>
      <c r="AS10" s="293"/>
      <c r="AT10" s="293"/>
      <c r="AU10" s="293"/>
      <c r="AV10" s="293"/>
      <c r="AW10" s="293"/>
      <c r="AX10" s="293"/>
      <c r="AY10" s="293"/>
      <c r="AZ10" s="293"/>
      <c r="BA10" s="293"/>
      <c r="BB10" s="293"/>
      <c r="BC10" s="293"/>
      <c r="BD10" s="293"/>
      <c r="BE10" s="293"/>
      <c r="BF10" s="293"/>
      <c r="BG10" s="293"/>
      <c r="BH10" s="293"/>
      <c r="BI10" s="293"/>
      <c r="BJ10" s="293"/>
      <c r="BK10" s="293"/>
      <c r="BL10" s="293"/>
      <c r="BM10" s="293"/>
      <c r="BN10" s="293"/>
      <c r="BO10" s="293"/>
      <c r="BP10" s="293"/>
      <c r="BQ10" s="293"/>
      <c r="BR10" s="293"/>
      <c r="BS10" s="293"/>
      <c r="BT10" s="293"/>
      <c r="BU10" s="293"/>
      <c r="BV10" s="293"/>
      <c r="BW10" s="293"/>
      <c r="BX10" s="293"/>
      <c r="BY10" s="293"/>
      <c r="BZ10" s="293"/>
      <c r="CA10" s="293"/>
      <c r="CB10" s="293"/>
      <c r="CC10" s="293"/>
      <c r="CD10" s="293"/>
      <c r="CE10" s="293"/>
      <c r="CF10" s="293"/>
      <c r="CG10" s="293"/>
      <c r="CH10" s="293"/>
      <c r="CI10" s="293"/>
      <c r="CJ10" s="293"/>
      <c r="CK10" s="293"/>
      <c r="CL10" s="293"/>
      <c r="CM10" s="293"/>
      <c r="CN10" s="293"/>
      <c r="CO10" s="293"/>
      <c r="CP10" s="293">
        <f t="shared" si="47"/>
        <v>0</v>
      </c>
    </row>
    <row r="11" spans="1:94" s="296" customFormat="1" ht="12.75" customHeight="1">
      <c r="A11" s="644">
        <v>5</v>
      </c>
      <c r="B11" s="645" t="s">
        <v>43</v>
      </c>
      <c r="C11" s="646" t="s">
        <v>44</v>
      </c>
      <c r="D11" s="647" t="s">
        <v>45</v>
      </c>
      <c r="E11" s="648" t="s">
        <v>439</v>
      </c>
      <c r="F11" s="642">
        <v>8.6999999999999993</v>
      </c>
      <c r="G11" s="642">
        <v>45</v>
      </c>
      <c r="H11" s="643">
        <f>F11*G11*365</f>
        <v>142897.49999999997</v>
      </c>
      <c r="I11" s="291">
        <v>35724.379999999997</v>
      </c>
      <c r="J11" s="295">
        <f>ROUND(F11*G11*365/4,0)</f>
        <v>35724</v>
      </c>
      <c r="K11" s="292">
        <f>J11</f>
        <v>35724</v>
      </c>
      <c r="L11" s="293">
        <f>K11</f>
        <v>35724</v>
      </c>
      <c r="M11" s="293">
        <f>L11</f>
        <v>35724</v>
      </c>
      <c r="N11" s="293">
        <f>ROUND(M11*(1+取值表!$D$8)*取值表!$I$8,0)</f>
        <v>36743</v>
      </c>
      <c r="O11" s="293">
        <f>N11</f>
        <v>36743</v>
      </c>
      <c r="P11" s="293">
        <f>O11</f>
        <v>36743</v>
      </c>
      <c r="Q11" s="293">
        <f>P11</f>
        <v>36743</v>
      </c>
      <c r="R11" s="294">
        <f>ROUND(Q11*(1+取值表!$D$8),0)</f>
        <v>40160</v>
      </c>
      <c r="S11" s="293">
        <f t="shared" ref="S11:T11" si="189">R11</f>
        <v>40160</v>
      </c>
      <c r="T11" s="293">
        <f t="shared" si="189"/>
        <v>40160</v>
      </c>
      <c r="U11" s="293">
        <f>T11</f>
        <v>40160</v>
      </c>
      <c r="V11" s="293">
        <f>ROUND(U11*(1+取值表!$D$8),0)</f>
        <v>43895</v>
      </c>
      <c r="W11" s="293">
        <f t="shared" ref="W11:Y11" si="190">V11</f>
        <v>43895</v>
      </c>
      <c r="X11" s="293">
        <f t="shared" si="190"/>
        <v>43895</v>
      </c>
      <c r="Y11" s="293">
        <f t="shared" si="190"/>
        <v>43895</v>
      </c>
      <c r="Z11" s="293">
        <f>ROUND(Y11*(1+取值表!$D$8),0)</f>
        <v>47977</v>
      </c>
      <c r="AA11" s="293">
        <f t="shared" ref="AA11" si="191">Z11</f>
        <v>47977</v>
      </c>
      <c r="AB11" s="293">
        <f t="shared" ref="AB11" si="192">AA11</f>
        <v>47977</v>
      </c>
      <c r="AC11" s="293">
        <f>AB11</f>
        <v>47977</v>
      </c>
      <c r="AD11" s="293">
        <f>ROUND(AC11*(1+取值表!$D$8),0)</f>
        <v>52439</v>
      </c>
      <c r="AE11" s="293">
        <f t="shared" ref="AE11" si="193">AD11</f>
        <v>52439</v>
      </c>
      <c r="AF11" s="293">
        <f t="shared" ref="AF11" si="194">AE11</f>
        <v>52439</v>
      </c>
      <c r="AG11" s="293">
        <f t="shared" ref="AG11" si="195">AF11</f>
        <v>52439</v>
      </c>
      <c r="AH11" s="293">
        <f>ROUND(AG11*(1+取值表!$D$8),0)</f>
        <v>57316</v>
      </c>
      <c r="AI11" s="293">
        <f t="shared" ref="AI11" si="196">AH11</f>
        <v>57316</v>
      </c>
      <c r="AJ11" s="293">
        <f t="shared" ref="AJ11" si="197">AI11</f>
        <v>57316</v>
      </c>
      <c r="AK11" s="293">
        <f t="shared" ref="AK11" si="198">AJ11</f>
        <v>57316</v>
      </c>
      <c r="AL11" s="293">
        <f>ROUND(AK11*(1+取值表!$D$8),0)</f>
        <v>62646</v>
      </c>
      <c r="AM11" s="293">
        <f t="shared" ref="AM11" si="199">AL11</f>
        <v>62646</v>
      </c>
      <c r="AN11" s="293">
        <f t="shared" ref="AN11" si="200">AM11</f>
        <v>62646</v>
      </c>
      <c r="AO11" s="293">
        <f t="shared" ref="AO11" si="201">AN11</f>
        <v>62646</v>
      </c>
      <c r="AP11" s="293">
        <f>ROUND(AO11*(1+取值表!$D$8),0)</f>
        <v>68472</v>
      </c>
      <c r="AQ11" s="293">
        <f t="shared" ref="AQ11" si="202">AP11</f>
        <v>68472</v>
      </c>
      <c r="AR11" s="293">
        <f t="shared" ref="AR11" si="203">AQ11</f>
        <v>68472</v>
      </c>
      <c r="AS11" s="293">
        <f t="shared" ref="AS11" si="204">AR11</f>
        <v>68472</v>
      </c>
      <c r="AT11" s="293">
        <f>ROUND(AS11*(1+取值表!$D$8),0)</f>
        <v>74840</v>
      </c>
      <c r="AU11" s="293">
        <f t="shared" ref="AU11" si="205">AT11</f>
        <v>74840</v>
      </c>
      <c r="AV11" s="293">
        <f t="shared" ref="AV11" si="206">AU11</f>
        <v>74840</v>
      </c>
      <c r="AW11" s="293">
        <f t="shared" ref="AW11" si="207">AV11</f>
        <v>74840</v>
      </c>
      <c r="AX11" s="293">
        <f>ROUND(AW11*(1+取值表!$D$8),0)</f>
        <v>81800</v>
      </c>
      <c r="AY11" s="293">
        <f t="shared" ref="AY11" si="208">AX11</f>
        <v>81800</v>
      </c>
      <c r="AZ11" s="293">
        <f t="shared" ref="AZ11" si="209">AY11</f>
        <v>81800</v>
      </c>
      <c r="BA11" s="293">
        <f t="shared" ref="BA11" si="210">AZ11</f>
        <v>81800</v>
      </c>
      <c r="BB11" s="293">
        <f>ROUND(BA11*(1+取值表!$D$8),0)</f>
        <v>89407</v>
      </c>
      <c r="BC11" s="293">
        <f>BB11</f>
        <v>89407</v>
      </c>
      <c r="BD11" s="293">
        <f t="shared" ref="BD11" si="211">BC11</f>
        <v>89407</v>
      </c>
      <c r="BE11" s="293">
        <f>BD11</f>
        <v>89407</v>
      </c>
      <c r="BF11" s="293">
        <f>ROUND(BE11*(1+取值表!$D$8),0)</f>
        <v>97722</v>
      </c>
      <c r="BG11" s="293">
        <f>BF11</f>
        <v>97722</v>
      </c>
      <c r="BH11" s="293">
        <f t="shared" ref="BH11" si="212">BG11</f>
        <v>97722</v>
      </c>
      <c r="BI11" s="293">
        <f t="shared" ref="BI11" si="213">BH11</f>
        <v>97722</v>
      </c>
      <c r="BJ11" s="293">
        <f>ROUND(BI11*(1+取值表!$D$8),0)</f>
        <v>106810</v>
      </c>
      <c r="BK11" s="293">
        <f t="shared" ref="BK11" si="214">BJ11</f>
        <v>106810</v>
      </c>
      <c r="BL11" s="293">
        <f t="shared" ref="BL11" si="215">BK11</f>
        <v>106810</v>
      </c>
      <c r="BM11" s="293">
        <f t="shared" ref="BM11" si="216">BL11</f>
        <v>106810</v>
      </c>
      <c r="BN11" s="293">
        <f>ROUND(BM11*(1+取值表!$D$8),0)</f>
        <v>116743</v>
      </c>
      <c r="BO11" s="293">
        <f t="shared" ref="BO11" si="217">BN11</f>
        <v>116743</v>
      </c>
      <c r="BP11" s="293">
        <f t="shared" ref="BP11" si="218">BO11</f>
        <v>116743</v>
      </c>
      <c r="BQ11" s="293">
        <f t="shared" ref="BQ11" si="219">BP11</f>
        <v>116743</v>
      </c>
      <c r="BR11" s="293">
        <f>ROUND(BQ11*(1+取值表!$D$8),0)</f>
        <v>127600</v>
      </c>
      <c r="BS11" s="293">
        <f t="shared" ref="BS11" si="220">BR11</f>
        <v>127600</v>
      </c>
      <c r="BT11" s="293">
        <f t="shared" ref="BT11" si="221">BS11</f>
        <v>127600</v>
      </c>
      <c r="BU11" s="293">
        <f t="shared" ref="BU11" si="222">BT11</f>
        <v>127600</v>
      </c>
      <c r="BV11" s="293">
        <f>ROUND(BU11*(1+取值表!$D$8),0)</f>
        <v>139467</v>
      </c>
      <c r="BW11" s="293">
        <f t="shared" ref="BW11" si="223">BV11</f>
        <v>139467</v>
      </c>
      <c r="BX11" s="293">
        <f t="shared" ref="BX11" si="224">BW11</f>
        <v>139467</v>
      </c>
      <c r="BY11" s="293">
        <f t="shared" ref="BY11" si="225">BX11</f>
        <v>139467</v>
      </c>
      <c r="BZ11" s="293">
        <f>ROUND(BY11*(1+取值表!$D$8),0)</f>
        <v>152437</v>
      </c>
      <c r="CA11" s="293">
        <f t="shared" ref="CA11" si="226">BZ11</f>
        <v>152437</v>
      </c>
      <c r="CB11" s="293">
        <f t="shared" ref="CB11" si="227">CA11</f>
        <v>152437</v>
      </c>
      <c r="CC11" s="293">
        <f t="shared" ref="CC11" si="228">CB11</f>
        <v>152437</v>
      </c>
      <c r="CD11" s="293">
        <f>ROUND(CC11*(1+取值表!$D$8),0)</f>
        <v>166614</v>
      </c>
      <c r="CE11" s="293">
        <f t="shared" ref="CE11" si="229">CD11</f>
        <v>166614</v>
      </c>
      <c r="CF11" s="293">
        <f t="shared" ref="CF11" si="230">CE11</f>
        <v>166614</v>
      </c>
      <c r="CG11" s="293">
        <f t="shared" ref="CG11" si="231">CF11</f>
        <v>166614</v>
      </c>
      <c r="CH11" s="293">
        <f>ROUND(CG11*(1+取值表!$D$8),0)</f>
        <v>182109</v>
      </c>
      <c r="CI11" s="293">
        <f>CH11</f>
        <v>182109</v>
      </c>
      <c r="CJ11" s="293">
        <f t="shared" ref="CJ11" si="232">CI11</f>
        <v>182109</v>
      </c>
      <c r="CK11" s="293">
        <f t="shared" ref="CK11" si="233">CJ11</f>
        <v>182109</v>
      </c>
      <c r="CL11" s="293">
        <f>ROUND(CK11*(1+取值表!$D$8),0)</f>
        <v>199045</v>
      </c>
      <c r="CM11" s="293">
        <f>CL11</f>
        <v>199045</v>
      </c>
      <c r="CN11" s="293">
        <f t="shared" ref="CN11" si="234">CM11</f>
        <v>199045</v>
      </c>
      <c r="CO11" s="293">
        <f t="shared" ref="CO11" si="235">CN11</f>
        <v>199045</v>
      </c>
      <c r="CP11" s="293">
        <f t="shared" si="47"/>
        <v>7919864</v>
      </c>
    </row>
    <row r="12" spans="1:94" s="296" customFormat="1">
      <c r="A12" s="644"/>
      <c r="B12" s="645"/>
      <c r="C12" s="646"/>
      <c r="D12" s="647"/>
      <c r="E12" s="648"/>
      <c r="F12" s="642"/>
      <c r="G12" s="642"/>
      <c r="H12" s="643"/>
      <c r="I12" s="291"/>
      <c r="J12" s="295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3"/>
      <c r="AB12" s="293"/>
      <c r="AC12" s="293"/>
      <c r="AD12" s="293"/>
      <c r="AE12" s="293"/>
      <c r="AF12" s="293"/>
      <c r="AG12" s="293"/>
      <c r="AH12" s="293"/>
      <c r="AI12" s="293"/>
      <c r="AJ12" s="293"/>
      <c r="AK12" s="293"/>
      <c r="AL12" s="293"/>
      <c r="AM12" s="293"/>
      <c r="AN12" s="293"/>
      <c r="AO12" s="293"/>
      <c r="AP12" s="293"/>
      <c r="AQ12" s="293"/>
      <c r="AR12" s="293"/>
      <c r="AS12" s="293"/>
      <c r="AT12" s="293"/>
      <c r="AU12" s="293"/>
      <c r="AV12" s="293"/>
      <c r="AW12" s="293"/>
      <c r="AX12" s="293"/>
      <c r="AY12" s="293"/>
      <c r="AZ12" s="293"/>
      <c r="BA12" s="293"/>
      <c r="BB12" s="293"/>
      <c r="BC12" s="293"/>
      <c r="BD12" s="293"/>
      <c r="BE12" s="293"/>
      <c r="BF12" s="293"/>
      <c r="BG12" s="293"/>
      <c r="BH12" s="293"/>
      <c r="BI12" s="293"/>
      <c r="BJ12" s="293"/>
      <c r="BK12" s="293"/>
      <c r="BL12" s="293"/>
      <c r="BM12" s="293"/>
      <c r="BN12" s="293"/>
      <c r="BO12" s="293"/>
      <c r="BP12" s="293"/>
      <c r="BQ12" s="293"/>
      <c r="BR12" s="293"/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  <c r="CC12" s="293"/>
      <c r="CD12" s="293"/>
      <c r="CE12" s="293"/>
      <c r="CF12" s="293"/>
      <c r="CG12" s="293"/>
      <c r="CH12" s="293"/>
      <c r="CI12" s="293"/>
      <c r="CJ12" s="293"/>
      <c r="CK12" s="293"/>
      <c r="CL12" s="293"/>
      <c r="CM12" s="293"/>
      <c r="CN12" s="293"/>
      <c r="CO12" s="293"/>
      <c r="CP12" s="293">
        <f t="shared" si="47"/>
        <v>0</v>
      </c>
    </row>
    <row r="13" spans="1:94" ht="12" customHeight="1">
      <c r="A13" s="644">
        <v>6</v>
      </c>
      <c r="B13" s="645" t="s">
        <v>46</v>
      </c>
      <c r="C13" s="646" t="s">
        <v>47</v>
      </c>
      <c r="D13" s="647" t="s">
        <v>443</v>
      </c>
      <c r="E13" s="648" t="s">
        <v>439</v>
      </c>
      <c r="F13" s="642">
        <v>15.84</v>
      </c>
      <c r="G13" s="642">
        <v>46</v>
      </c>
      <c r="H13" s="643">
        <f>F13*G13*365</f>
        <v>265953.59999999998</v>
      </c>
      <c r="I13" s="291">
        <v>63597.599999999999</v>
      </c>
      <c r="J13" s="295">
        <f>ROUND(F13*G13*365/4,0)</f>
        <v>66488</v>
      </c>
      <c r="K13" s="292">
        <f>J13</f>
        <v>66488</v>
      </c>
      <c r="L13" s="293">
        <f>K13</f>
        <v>66488</v>
      </c>
      <c r="M13" s="293">
        <f>L13</f>
        <v>66488</v>
      </c>
      <c r="N13" s="293">
        <f>ROUND(M13*(1+取值表!$D$8)*取值表!$I$8,0)</f>
        <v>68384</v>
      </c>
      <c r="O13" s="293">
        <f>N13</f>
        <v>68384</v>
      </c>
      <c r="P13" s="293">
        <f>O13</f>
        <v>68384</v>
      </c>
      <c r="Q13" s="293">
        <f>P13</f>
        <v>68384</v>
      </c>
      <c r="R13" s="294">
        <f>ROUND(Q13*(1+取值表!$D$8),0)</f>
        <v>74744</v>
      </c>
      <c r="S13" s="293">
        <f t="shared" ref="S13:T13" si="236">R13</f>
        <v>74744</v>
      </c>
      <c r="T13" s="293">
        <f t="shared" si="236"/>
        <v>74744</v>
      </c>
      <c r="U13" s="293">
        <f>T13</f>
        <v>74744</v>
      </c>
      <c r="V13" s="293">
        <f>ROUND(U13*(1+取值表!$D$8),0)</f>
        <v>81695</v>
      </c>
      <c r="W13" s="293">
        <f t="shared" ref="W13:Y13" si="237">V13</f>
        <v>81695</v>
      </c>
      <c r="X13" s="293">
        <f t="shared" si="237"/>
        <v>81695</v>
      </c>
      <c r="Y13" s="293">
        <f t="shared" si="237"/>
        <v>81695</v>
      </c>
      <c r="Z13" s="293">
        <f>ROUND(Y13*(1+取值表!$D$8),0)</f>
        <v>89293</v>
      </c>
      <c r="AA13" s="293">
        <f t="shared" ref="AA13" si="238">Z13</f>
        <v>89293</v>
      </c>
      <c r="AB13" s="293">
        <f t="shared" ref="AB13" si="239">AA13</f>
        <v>89293</v>
      </c>
      <c r="AC13" s="293">
        <f>AB13</f>
        <v>89293</v>
      </c>
      <c r="AD13" s="293">
        <f>ROUND(AC13*(1+取值表!$D$8),0)</f>
        <v>97597</v>
      </c>
      <c r="AE13" s="293">
        <f t="shared" ref="AE13" si="240">AD13</f>
        <v>97597</v>
      </c>
      <c r="AF13" s="293">
        <f t="shared" ref="AF13" si="241">AE13</f>
        <v>97597</v>
      </c>
      <c r="AG13" s="293">
        <f t="shared" ref="AG13" si="242">AF13</f>
        <v>97597</v>
      </c>
      <c r="AH13" s="293">
        <f>ROUND(AG13*(1+取值表!$D$8),0)</f>
        <v>106674</v>
      </c>
      <c r="AI13" s="293">
        <f t="shared" ref="AI13" si="243">AH13</f>
        <v>106674</v>
      </c>
      <c r="AJ13" s="293">
        <f t="shared" ref="AJ13" si="244">AI13</f>
        <v>106674</v>
      </c>
      <c r="AK13" s="293">
        <f t="shared" ref="AK13" si="245">AJ13</f>
        <v>106674</v>
      </c>
      <c r="AL13" s="293">
        <f>ROUND(AK13*(1+取值表!$D$8),0)</f>
        <v>116595</v>
      </c>
      <c r="AM13" s="293">
        <f t="shared" ref="AM13" si="246">AL13</f>
        <v>116595</v>
      </c>
      <c r="AN13" s="293">
        <f t="shared" ref="AN13" si="247">AM13</f>
        <v>116595</v>
      </c>
      <c r="AO13" s="293">
        <f t="shared" ref="AO13" si="248">AN13</f>
        <v>116595</v>
      </c>
      <c r="AP13" s="293">
        <f>ROUND(AO13*(1+取值表!$D$8),0)</f>
        <v>127438</v>
      </c>
      <c r="AQ13" s="293">
        <f t="shared" ref="AQ13" si="249">AP13</f>
        <v>127438</v>
      </c>
      <c r="AR13" s="293">
        <f t="shared" ref="AR13" si="250">AQ13</f>
        <v>127438</v>
      </c>
      <c r="AS13" s="293">
        <f t="shared" ref="AS13" si="251">AR13</f>
        <v>127438</v>
      </c>
      <c r="AT13" s="293">
        <f>ROUND(AS13*(1+取值表!$D$8),0)</f>
        <v>139290</v>
      </c>
      <c r="AU13" s="293">
        <f t="shared" ref="AU13" si="252">AT13</f>
        <v>139290</v>
      </c>
      <c r="AV13" s="293">
        <f t="shared" ref="AV13" si="253">AU13</f>
        <v>139290</v>
      </c>
      <c r="AW13" s="293">
        <f t="shared" ref="AW13" si="254">AV13</f>
        <v>139290</v>
      </c>
      <c r="AX13" s="293">
        <f>ROUND(AW13*(1+取值表!$D$8),0)</f>
        <v>152244</v>
      </c>
      <c r="AY13" s="293">
        <f t="shared" ref="AY13" si="255">AX13</f>
        <v>152244</v>
      </c>
      <c r="AZ13" s="293">
        <f t="shared" ref="AZ13" si="256">AY13</f>
        <v>152244</v>
      </c>
      <c r="BA13" s="293">
        <f t="shared" ref="BA13" si="257">AZ13</f>
        <v>152244</v>
      </c>
      <c r="BB13" s="293">
        <f>ROUND(BA13*(1+取值表!$D$8),0)</f>
        <v>166403</v>
      </c>
      <c r="BC13" s="293">
        <f>BB13</f>
        <v>166403</v>
      </c>
      <c r="BD13" s="293">
        <f t="shared" ref="BD13" si="258">BC13</f>
        <v>166403</v>
      </c>
      <c r="BE13" s="293">
        <f>BD13</f>
        <v>166403</v>
      </c>
      <c r="BF13" s="293">
        <f>ROUND(BE13*(1+取值表!$D$8),0)</f>
        <v>181878</v>
      </c>
      <c r="BG13" s="293">
        <f>BF13</f>
        <v>181878</v>
      </c>
      <c r="BH13" s="293">
        <f t="shared" ref="BH13" si="259">BG13</f>
        <v>181878</v>
      </c>
      <c r="BI13" s="293">
        <f t="shared" ref="BI13" si="260">BH13</f>
        <v>181878</v>
      </c>
      <c r="BJ13" s="293">
        <f>ROUND(BI13*(1+取值表!$D$8),0)</f>
        <v>198793</v>
      </c>
      <c r="BK13" s="293">
        <f t="shared" ref="BK13" si="261">BJ13</f>
        <v>198793</v>
      </c>
      <c r="BL13" s="293">
        <f t="shared" ref="BL13" si="262">BK13</f>
        <v>198793</v>
      </c>
      <c r="BM13" s="293">
        <f t="shared" ref="BM13" si="263">BL13</f>
        <v>198793</v>
      </c>
      <c r="BN13" s="293">
        <f>ROUND(BM13*(1+取值表!$D$8),0)</f>
        <v>217281</v>
      </c>
      <c r="BO13" s="293">
        <f t="shared" ref="BO13" si="264">BN13</f>
        <v>217281</v>
      </c>
      <c r="BP13" s="293">
        <f t="shared" ref="BP13" si="265">BO13</f>
        <v>217281</v>
      </c>
      <c r="BQ13" s="293">
        <f t="shared" ref="BQ13" si="266">BP13</f>
        <v>217281</v>
      </c>
      <c r="BR13" s="293">
        <f>ROUND(BQ13*(1+取值表!$D$8),0)</f>
        <v>237488</v>
      </c>
      <c r="BS13" s="293">
        <f t="shared" ref="BS13" si="267">BR13</f>
        <v>237488</v>
      </c>
      <c r="BT13" s="293">
        <f t="shared" ref="BT13" si="268">BS13</f>
        <v>237488</v>
      </c>
      <c r="BU13" s="293">
        <f t="shared" ref="BU13" si="269">BT13</f>
        <v>237488</v>
      </c>
      <c r="BV13" s="293">
        <f>ROUND(BU13*(1+取值表!$D$8),0)</f>
        <v>259574</v>
      </c>
      <c r="BW13" s="293">
        <f t="shared" ref="BW13" si="270">BV13</f>
        <v>259574</v>
      </c>
      <c r="BX13" s="293">
        <f t="shared" ref="BX13" si="271">BW13</f>
        <v>259574</v>
      </c>
      <c r="BY13" s="293">
        <f t="shared" ref="BY13" si="272">BX13</f>
        <v>259574</v>
      </c>
      <c r="BZ13" s="293">
        <f>ROUND(BY13*(1+取值表!$D$8),0)</f>
        <v>283714</v>
      </c>
      <c r="CA13" s="293">
        <f t="shared" ref="CA13" si="273">BZ13</f>
        <v>283714</v>
      </c>
      <c r="CB13" s="293">
        <f t="shared" ref="CB13" si="274">CA13</f>
        <v>283714</v>
      </c>
      <c r="CC13" s="293">
        <f t="shared" ref="CC13" si="275">CB13</f>
        <v>283714</v>
      </c>
      <c r="CD13" s="293">
        <f>ROUND(CC13*(1+取值表!$D$8),0)</f>
        <v>310099</v>
      </c>
      <c r="CE13" s="293">
        <f t="shared" ref="CE13" si="276">CD13</f>
        <v>310099</v>
      </c>
      <c r="CF13" s="293">
        <f t="shared" ref="CF13" si="277">CE13</f>
        <v>310099</v>
      </c>
      <c r="CG13" s="293">
        <f t="shared" ref="CG13" si="278">CF13</f>
        <v>310099</v>
      </c>
      <c r="CH13" s="293">
        <f>ROUND(CG13*(1+取值表!$D$8),0)</f>
        <v>338938</v>
      </c>
      <c r="CI13" s="293">
        <f>CH13</f>
        <v>338938</v>
      </c>
      <c r="CJ13" s="293">
        <f t="shared" ref="CJ13" si="279">CI13</f>
        <v>338938</v>
      </c>
      <c r="CK13" s="293">
        <f t="shared" ref="CK13" si="280">CJ13</f>
        <v>338938</v>
      </c>
      <c r="CL13" s="293">
        <f>ROUND(CK13*(1+取值表!$D$8),0)</f>
        <v>370459</v>
      </c>
      <c r="CM13" s="293">
        <f>CL13</f>
        <v>370459</v>
      </c>
      <c r="CN13" s="293">
        <f t="shared" ref="CN13" si="281">CM13</f>
        <v>370459</v>
      </c>
      <c r="CO13" s="293">
        <f t="shared" ref="CO13" si="282">CN13</f>
        <v>370459</v>
      </c>
      <c r="CP13" s="293">
        <f t="shared" si="47"/>
        <v>14740276</v>
      </c>
    </row>
    <row r="14" spans="1:94" ht="12" customHeight="1">
      <c r="A14" s="644"/>
      <c r="B14" s="645"/>
      <c r="C14" s="646"/>
      <c r="D14" s="647"/>
      <c r="E14" s="648"/>
      <c r="F14" s="642"/>
      <c r="G14" s="642"/>
      <c r="H14" s="643"/>
      <c r="I14" s="291"/>
      <c r="J14" s="295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293"/>
      <c r="V14" s="293"/>
      <c r="W14" s="293"/>
      <c r="X14" s="293"/>
      <c r="Y14" s="293"/>
      <c r="Z14" s="293"/>
      <c r="AA14" s="293"/>
      <c r="AB14" s="293"/>
      <c r="AC14" s="293"/>
      <c r="AD14" s="293"/>
      <c r="AE14" s="293"/>
      <c r="AF14" s="293"/>
      <c r="AG14" s="293"/>
      <c r="AH14" s="293"/>
      <c r="AI14" s="293"/>
      <c r="AJ14" s="293"/>
      <c r="AK14" s="293"/>
      <c r="AL14" s="293"/>
      <c r="AM14" s="293"/>
      <c r="AN14" s="293"/>
      <c r="AO14" s="293"/>
      <c r="AP14" s="293"/>
      <c r="AQ14" s="293"/>
      <c r="AR14" s="293"/>
      <c r="AS14" s="293"/>
      <c r="AT14" s="293"/>
      <c r="AU14" s="293"/>
      <c r="AV14" s="293"/>
      <c r="AW14" s="293"/>
      <c r="AX14" s="293"/>
      <c r="AY14" s="293"/>
      <c r="AZ14" s="293"/>
      <c r="BA14" s="293"/>
      <c r="BB14" s="293"/>
      <c r="BC14" s="293"/>
      <c r="BD14" s="293"/>
      <c r="BE14" s="293"/>
      <c r="BF14" s="293"/>
      <c r="BG14" s="293"/>
      <c r="BH14" s="293"/>
      <c r="BI14" s="293"/>
      <c r="BJ14" s="293"/>
      <c r="BK14" s="293"/>
      <c r="BL14" s="293"/>
      <c r="BM14" s="293"/>
      <c r="BN14" s="293"/>
      <c r="BO14" s="293"/>
      <c r="BP14" s="293"/>
      <c r="BQ14" s="293"/>
      <c r="BR14" s="293"/>
      <c r="BS14" s="293"/>
      <c r="BT14" s="293"/>
      <c r="BU14" s="293"/>
      <c r="BV14" s="293"/>
      <c r="BW14" s="293"/>
      <c r="BX14" s="293"/>
      <c r="BY14" s="293"/>
      <c r="BZ14" s="293"/>
      <c r="CA14" s="293"/>
      <c r="CB14" s="293"/>
      <c r="CC14" s="293"/>
      <c r="CD14" s="293"/>
      <c r="CE14" s="293"/>
      <c r="CF14" s="293"/>
      <c r="CG14" s="293"/>
      <c r="CH14" s="293"/>
      <c r="CI14" s="293"/>
      <c r="CJ14" s="293"/>
      <c r="CK14" s="293"/>
      <c r="CL14" s="293"/>
      <c r="CM14" s="293"/>
      <c r="CN14" s="293"/>
      <c r="CO14" s="293"/>
      <c r="CP14" s="293">
        <f t="shared" si="47"/>
        <v>0</v>
      </c>
    </row>
    <row r="15" spans="1:94" ht="12" customHeight="1">
      <c r="A15" s="644">
        <v>7</v>
      </c>
      <c r="B15" s="645" t="s">
        <v>48</v>
      </c>
      <c r="C15" s="646" t="s">
        <v>42</v>
      </c>
      <c r="D15" s="647" t="s">
        <v>218</v>
      </c>
      <c r="E15" s="648" t="s">
        <v>439</v>
      </c>
      <c r="F15" s="642">
        <v>29</v>
      </c>
      <c r="G15" s="642">
        <v>40</v>
      </c>
      <c r="H15" s="643">
        <f>F15*G15*365</f>
        <v>423400</v>
      </c>
      <c r="I15" s="291">
        <v>105850</v>
      </c>
      <c r="J15" s="295">
        <f>ROUND(F15*G15*365/4,0)</f>
        <v>105850</v>
      </c>
      <c r="K15" s="292">
        <f>J15</f>
        <v>105850</v>
      </c>
      <c r="L15" s="293">
        <f>K15</f>
        <v>105850</v>
      </c>
      <c r="M15" s="293">
        <f>L15</f>
        <v>105850</v>
      </c>
      <c r="N15" s="293">
        <f>ROUND(M15*(1+取值表!$D$8)*取值表!$I$8,0)</f>
        <v>108868</v>
      </c>
      <c r="O15" s="293">
        <f>N15</f>
        <v>108868</v>
      </c>
      <c r="P15" s="293">
        <f>O15</f>
        <v>108868</v>
      </c>
      <c r="Q15" s="293">
        <f>P15</f>
        <v>108868</v>
      </c>
      <c r="R15" s="294">
        <f>ROUND(Q15*(1+取值表!$D$8),0)</f>
        <v>118993</v>
      </c>
      <c r="S15" s="293">
        <f t="shared" ref="S15:T15" si="283">R15</f>
        <v>118993</v>
      </c>
      <c r="T15" s="293">
        <f t="shared" si="283"/>
        <v>118993</v>
      </c>
      <c r="U15" s="293">
        <f>T15</f>
        <v>118993</v>
      </c>
      <c r="V15" s="293">
        <f>ROUND(U15*(1+取值表!$D$8),0)</f>
        <v>130059</v>
      </c>
      <c r="W15" s="293">
        <f t="shared" ref="W15:Y15" si="284">V15</f>
        <v>130059</v>
      </c>
      <c r="X15" s="293">
        <f t="shared" si="284"/>
        <v>130059</v>
      </c>
      <c r="Y15" s="293">
        <f t="shared" si="284"/>
        <v>130059</v>
      </c>
      <c r="Z15" s="293">
        <f>ROUND(Y15*(1+取值表!$D$8),0)</f>
        <v>142154</v>
      </c>
      <c r="AA15" s="293">
        <f t="shared" ref="AA15" si="285">Z15</f>
        <v>142154</v>
      </c>
      <c r="AB15" s="293">
        <f t="shared" ref="AB15" si="286">AA15</f>
        <v>142154</v>
      </c>
      <c r="AC15" s="293">
        <f>AB15</f>
        <v>142154</v>
      </c>
      <c r="AD15" s="293">
        <f>ROUND(AC15*(1+取值表!$D$8),0)</f>
        <v>155374</v>
      </c>
      <c r="AE15" s="293">
        <f t="shared" ref="AE15" si="287">AD15</f>
        <v>155374</v>
      </c>
      <c r="AF15" s="293">
        <f t="shared" ref="AF15" si="288">AE15</f>
        <v>155374</v>
      </c>
      <c r="AG15" s="293">
        <f t="shared" ref="AG15" si="289">AF15</f>
        <v>155374</v>
      </c>
      <c r="AH15" s="293">
        <f>ROUND(AG15*(1+取值表!$D$8),0)</f>
        <v>169824</v>
      </c>
      <c r="AI15" s="293">
        <f t="shared" ref="AI15" si="290">AH15</f>
        <v>169824</v>
      </c>
      <c r="AJ15" s="293">
        <f t="shared" ref="AJ15" si="291">AI15</f>
        <v>169824</v>
      </c>
      <c r="AK15" s="293">
        <f t="shared" ref="AK15" si="292">AJ15</f>
        <v>169824</v>
      </c>
      <c r="AL15" s="293">
        <f>ROUND(AK15*(1+取值表!$D$8),0)</f>
        <v>185618</v>
      </c>
      <c r="AM15" s="293">
        <f t="shared" ref="AM15" si="293">AL15</f>
        <v>185618</v>
      </c>
      <c r="AN15" s="293">
        <f t="shared" ref="AN15" si="294">AM15</f>
        <v>185618</v>
      </c>
      <c r="AO15" s="293">
        <f t="shared" ref="AO15" si="295">AN15</f>
        <v>185618</v>
      </c>
      <c r="AP15" s="293">
        <f>ROUND(AO15*(1+取值表!$D$8),0)</f>
        <v>202880</v>
      </c>
      <c r="AQ15" s="293">
        <f t="shared" ref="AQ15" si="296">AP15</f>
        <v>202880</v>
      </c>
      <c r="AR15" s="293">
        <f t="shared" ref="AR15" si="297">AQ15</f>
        <v>202880</v>
      </c>
      <c r="AS15" s="293">
        <f t="shared" ref="AS15" si="298">AR15</f>
        <v>202880</v>
      </c>
      <c r="AT15" s="293">
        <f>ROUND(AS15*(1+取值表!$D$8),0)</f>
        <v>221748</v>
      </c>
      <c r="AU15" s="293">
        <f t="shared" ref="AU15" si="299">AT15</f>
        <v>221748</v>
      </c>
      <c r="AV15" s="293">
        <f t="shared" ref="AV15" si="300">AU15</f>
        <v>221748</v>
      </c>
      <c r="AW15" s="293">
        <f t="shared" ref="AW15" si="301">AV15</f>
        <v>221748</v>
      </c>
      <c r="AX15" s="293">
        <f>ROUND(AW15*(1+取值表!$D$8),0)</f>
        <v>242371</v>
      </c>
      <c r="AY15" s="293">
        <f t="shared" ref="AY15" si="302">AX15</f>
        <v>242371</v>
      </c>
      <c r="AZ15" s="293">
        <f t="shared" ref="AZ15" si="303">AY15</f>
        <v>242371</v>
      </c>
      <c r="BA15" s="293">
        <f t="shared" ref="BA15" si="304">AZ15</f>
        <v>242371</v>
      </c>
      <c r="BB15" s="293">
        <f>ROUND(BA15*(1+取值表!$D$8),0)</f>
        <v>264912</v>
      </c>
      <c r="BC15" s="293">
        <f>BB15</f>
        <v>264912</v>
      </c>
      <c r="BD15" s="293">
        <f t="shared" ref="BD15" si="305">BC15</f>
        <v>264912</v>
      </c>
      <c r="BE15" s="293">
        <f>BD15</f>
        <v>264912</v>
      </c>
      <c r="BF15" s="293">
        <f>ROUND(BE15*(1+取值表!$D$8),0)</f>
        <v>289549</v>
      </c>
      <c r="BG15" s="293">
        <f>BF15</f>
        <v>289549</v>
      </c>
      <c r="BH15" s="293">
        <f t="shared" ref="BH15" si="306">BG15</f>
        <v>289549</v>
      </c>
      <c r="BI15" s="293">
        <f t="shared" ref="BI15" si="307">BH15</f>
        <v>289549</v>
      </c>
      <c r="BJ15" s="293">
        <f>ROUND(BI15*(1+取值表!$D$8),0)</f>
        <v>316477</v>
      </c>
      <c r="BK15" s="293">
        <f t="shared" ref="BK15" si="308">BJ15</f>
        <v>316477</v>
      </c>
      <c r="BL15" s="293">
        <f t="shared" ref="BL15" si="309">BK15</f>
        <v>316477</v>
      </c>
      <c r="BM15" s="293">
        <f t="shared" ref="BM15" si="310">BL15</f>
        <v>316477</v>
      </c>
      <c r="BN15" s="293">
        <f>ROUND(BM15*(1+取值表!$D$8),0)</f>
        <v>345909</v>
      </c>
      <c r="BO15" s="293">
        <f t="shared" ref="BO15" si="311">BN15</f>
        <v>345909</v>
      </c>
      <c r="BP15" s="293">
        <f t="shared" ref="BP15" si="312">BO15</f>
        <v>345909</v>
      </c>
      <c r="BQ15" s="293">
        <f t="shared" ref="BQ15" si="313">BP15</f>
        <v>345909</v>
      </c>
      <c r="BR15" s="293">
        <f>ROUND(BQ15*(1+取值表!$D$8),0)</f>
        <v>378079</v>
      </c>
      <c r="BS15" s="293">
        <f t="shared" ref="BS15" si="314">BR15</f>
        <v>378079</v>
      </c>
      <c r="BT15" s="293">
        <f t="shared" ref="BT15" si="315">BS15</f>
        <v>378079</v>
      </c>
      <c r="BU15" s="293">
        <f t="shared" ref="BU15" si="316">BT15</f>
        <v>378079</v>
      </c>
      <c r="BV15" s="293">
        <f>ROUND(BU15*(1+取值表!$D$8),0)</f>
        <v>413240</v>
      </c>
      <c r="BW15" s="293">
        <f t="shared" ref="BW15" si="317">BV15</f>
        <v>413240</v>
      </c>
      <c r="BX15" s="293">
        <f t="shared" ref="BX15" si="318">BW15</f>
        <v>413240</v>
      </c>
      <c r="BY15" s="293">
        <f t="shared" ref="BY15" si="319">BX15</f>
        <v>413240</v>
      </c>
      <c r="BZ15" s="293">
        <f>ROUND(BY15*(1+取值表!$D$8),0)</f>
        <v>451671</v>
      </c>
      <c r="CA15" s="293">
        <f t="shared" ref="CA15" si="320">BZ15</f>
        <v>451671</v>
      </c>
      <c r="CB15" s="293">
        <f t="shared" ref="CB15" si="321">CA15</f>
        <v>451671</v>
      </c>
      <c r="CC15" s="293">
        <f t="shared" ref="CC15" si="322">CB15</f>
        <v>451671</v>
      </c>
      <c r="CD15" s="293">
        <f>ROUND(CC15*(1+取值表!$D$8),0)</f>
        <v>493676</v>
      </c>
      <c r="CE15" s="293">
        <f t="shared" ref="CE15" si="323">CD15</f>
        <v>493676</v>
      </c>
      <c r="CF15" s="293">
        <f t="shared" ref="CF15" si="324">CE15</f>
        <v>493676</v>
      </c>
      <c r="CG15" s="293">
        <f t="shared" ref="CG15" si="325">CF15</f>
        <v>493676</v>
      </c>
      <c r="CH15" s="293">
        <f>ROUND(CG15*(1+取值表!$D$8),0)</f>
        <v>539588</v>
      </c>
      <c r="CI15" s="293">
        <f>CH15</f>
        <v>539588</v>
      </c>
      <c r="CJ15" s="293">
        <f t="shared" ref="CJ15" si="326">CI15</f>
        <v>539588</v>
      </c>
      <c r="CK15" s="293">
        <f t="shared" ref="CK15" si="327">CJ15</f>
        <v>539588</v>
      </c>
      <c r="CL15" s="293">
        <f>ROUND(CK15*(1+取值表!$D$8),0)</f>
        <v>589770</v>
      </c>
      <c r="CM15" s="293">
        <f>CL15</f>
        <v>589770</v>
      </c>
      <c r="CN15" s="293">
        <f t="shared" ref="CN15" si="328">CM15</f>
        <v>589770</v>
      </c>
      <c r="CO15" s="293">
        <f t="shared" ref="CO15" si="329">CN15</f>
        <v>589770</v>
      </c>
      <c r="CP15" s="293">
        <f t="shared" si="47"/>
        <v>23466440</v>
      </c>
    </row>
    <row r="16" spans="1:94" ht="12" customHeight="1">
      <c r="A16" s="644"/>
      <c r="B16" s="645"/>
      <c r="C16" s="646"/>
      <c r="D16" s="647"/>
      <c r="E16" s="648"/>
      <c r="F16" s="642"/>
      <c r="G16" s="642"/>
      <c r="H16" s="643"/>
      <c r="I16" s="291"/>
      <c r="J16" s="295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3"/>
      <c r="AV16" s="293"/>
      <c r="AW16" s="293"/>
      <c r="AX16" s="293"/>
      <c r="AY16" s="293"/>
      <c r="AZ16" s="293"/>
      <c r="BA16" s="293"/>
      <c r="BB16" s="293"/>
      <c r="BC16" s="293"/>
      <c r="BD16" s="293"/>
      <c r="BE16" s="293"/>
      <c r="BF16" s="293"/>
      <c r="BG16" s="293"/>
      <c r="BH16" s="293"/>
      <c r="BI16" s="293"/>
      <c r="BJ16" s="293"/>
      <c r="BK16" s="293"/>
      <c r="BL16" s="293"/>
      <c r="BM16" s="293"/>
      <c r="BN16" s="293"/>
      <c r="BO16" s="293"/>
      <c r="BP16" s="293"/>
      <c r="BQ16" s="293"/>
      <c r="BR16" s="293"/>
      <c r="BS16" s="293"/>
      <c r="BT16" s="293"/>
      <c r="BU16" s="293"/>
      <c r="BV16" s="293"/>
      <c r="BW16" s="293"/>
      <c r="BX16" s="293"/>
      <c r="BY16" s="293"/>
      <c r="BZ16" s="293"/>
      <c r="CA16" s="293"/>
      <c r="CB16" s="293"/>
      <c r="CC16" s="293"/>
      <c r="CD16" s="293"/>
      <c r="CE16" s="293"/>
      <c r="CF16" s="293"/>
      <c r="CG16" s="293"/>
      <c r="CH16" s="293"/>
      <c r="CI16" s="293"/>
      <c r="CJ16" s="293"/>
      <c r="CK16" s="293"/>
      <c r="CL16" s="293"/>
      <c r="CM16" s="293"/>
      <c r="CN16" s="293"/>
      <c r="CO16" s="293"/>
      <c r="CP16" s="293">
        <f t="shared" si="47"/>
        <v>0</v>
      </c>
    </row>
    <row r="17" spans="1:94" ht="12" customHeight="1">
      <c r="A17" s="644">
        <v>8</v>
      </c>
      <c r="B17" s="645" t="s">
        <v>49</v>
      </c>
      <c r="C17" s="646" t="s">
        <v>718</v>
      </c>
      <c r="D17" s="647" t="s">
        <v>50</v>
      </c>
      <c r="E17" s="648" t="s">
        <v>439</v>
      </c>
      <c r="F17" s="642">
        <v>153</v>
      </c>
      <c r="G17" s="642">
        <v>11.9</v>
      </c>
      <c r="H17" s="643">
        <f>F17*G17*365</f>
        <v>664555.5</v>
      </c>
      <c r="I17" s="291">
        <v>73529.259999999995</v>
      </c>
      <c r="J17" s="295">
        <f>ROUND(F17*G17*365/4,0)</f>
        <v>166139</v>
      </c>
      <c r="K17" s="292">
        <f>J17</f>
        <v>166139</v>
      </c>
      <c r="L17" s="293">
        <f>K17</f>
        <v>166139</v>
      </c>
      <c r="M17" s="293">
        <f>L17</f>
        <v>166139</v>
      </c>
      <c r="N17" s="293">
        <f>ROUND(M17*(1+取值表!$D$8)*取值表!$I$8,0)</f>
        <v>170876</v>
      </c>
      <c r="O17" s="293">
        <f>N17</f>
        <v>170876</v>
      </c>
      <c r="P17" s="293">
        <f>O17</f>
        <v>170876</v>
      </c>
      <c r="Q17" s="293">
        <f>P17</f>
        <v>170876</v>
      </c>
      <c r="R17" s="294">
        <f>ROUND(Q17*(1+取值表!$D$8),0)</f>
        <v>186767</v>
      </c>
      <c r="S17" s="293">
        <f t="shared" ref="S17:T17" si="330">R17</f>
        <v>186767</v>
      </c>
      <c r="T17" s="293">
        <f t="shared" si="330"/>
        <v>186767</v>
      </c>
      <c r="U17" s="293">
        <f>T17</f>
        <v>186767</v>
      </c>
      <c r="V17" s="293">
        <f>ROUND(U17*(1+取值表!$D$8),0)</f>
        <v>204136</v>
      </c>
      <c r="W17" s="293">
        <f t="shared" ref="W17:Y17" si="331">V17</f>
        <v>204136</v>
      </c>
      <c r="X17" s="293">
        <f t="shared" si="331"/>
        <v>204136</v>
      </c>
      <c r="Y17" s="293">
        <f t="shared" si="331"/>
        <v>204136</v>
      </c>
      <c r="Z17" s="293">
        <f>ROUND(Y17*(1+取值表!$D$8),0)</f>
        <v>223121</v>
      </c>
      <c r="AA17" s="293">
        <f t="shared" ref="AA17" si="332">Z17</f>
        <v>223121</v>
      </c>
      <c r="AB17" s="293">
        <f t="shared" ref="AB17" si="333">AA17</f>
        <v>223121</v>
      </c>
      <c r="AC17" s="293">
        <f>AB17</f>
        <v>223121</v>
      </c>
      <c r="AD17" s="293">
        <f>ROUND(AC17*(1+取值表!$D$8),0)</f>
        <v>243871</v>
      </c>
      <c r="AE17" s="293">
        <f t="shared" ref="AE17" si="334">AD17</f>
        <v>243871</v>
      </c>
      <c r="AF17" s="293">
        <f t="shared" ref="AF17" si="335">AE17</f>
        <v>243871</v>
      </c>
      <c r="AG17" s="293">
        <f t="shared" ref="AG17" si="336">AF17</f>
        <v>243871</v>
      </c>
      <c r="AH17" s="293">
        <f>ROUND(AG17*(1+取值表!$D$8),0)</f>
        <v>266551</v>
      </c>
      <c r="AI17" s="293">
        <f t="shared" ref="AI17" si="337">AH17</f>
        <v>266551</v>
      </c>
      <c r="AJ17" s="293">
        <f t="shared" ref="AJ17" si="338">AI17</f>
        <v>266551</v>
      </c>
      <c r="AK17" s="293">
        <f t="shared" ref="AK17" si="339">AJ17</f>
        <v>266551</v>
      </c>
      <c r="AL17" s="293">
        <f>ROUND(AK17*(1+取值表!$D$8),0)</f>
        <v>291340</v>
      </c>
      <c r="AM17" s="293">
        <f t="shared" ref="AM17" si="340">AL17</f>
        <v>291340</v>
      </c>
      <c r="AN17" s="293">
        <f t="shared" ref="AN17" si="341">AM17</f>
        <v>291340</v>
      </c>
      <c r="AO17" s="293">
        <f t="shared" ref="AO17" si="342">AN17</f>
        <v>291340</v>
      </c>
      <c r="AP17" s="293">
        <f>ROUND(AO17*(1+取值表!$D$8),0)</f>
        <v>318435</v>
      </c>
      <c r="AQ17" s="293">
        <f t="shared" ref="AQ17" si="343">AP17</f>
        <v>318435</v>
      </c>
      <c r="AR17" s="293">
        <f t="shared" ref="AR17" si="344">AQ17</f>
        <v>318435</v>
      </c>
      <c r="AS17" s="293">
        <f t="shared" ref="AS17" si="345">AR17</f>
        <v>318435</v>
      </c>
      <c r="AT17" s="293">
        <f>ROUND(AS17*(1+取值表!$D$8),0)</f>
        <v>348049</v>
      </c>
      <c r="AU17" s="293">
        <f t="shared" ref="AU17" si="346">AT17</f>
        <v>348049</v>
      </c>
      <c r="AV17" s="293">
        <f t="shared" ref="AV17" si="347">AU17</f>
        <v>348049</v>
      </c>
      <c r="AW17" s="293">
        <f t="shared" ref="AW17" si="348">AV17</f>
        <v>348049</v>
      </c>
      <c r="AX17" s="293">
        <f>ROUND(AW17*(1+取值表!$D$8),0)</f>
        <v>380418</v>
      </c>
      <c r="AY17" s="293">
        <f t="shared" ref="AY17" si="349">AX17</f>
        <v>380418</v>
      </c>
      <c r="AZ17" s="293">
        <f t="shared" ref="AZ17" si="350">AY17</f>
        <v>380418</v>
      </c>
      <c r="BA17" s="293">
        <f t="shared" ref="BA17" si="351">AZ17</f>
        <v>380418</v>
      </c>
      <c r="BB17" s="293">
        <f>ROUND(BA17*(1+取值表!$D$8),0)</f>
        <v>415797</v>
      </c>
      <c r="BC17" s="293">
        <f>BB17</f>
        <v>415797</v>
      </c>
      <c r="BD17" s="293">
        <f t="shared" ref="BD17" si="352">BC17</f>
        <v>415797</v>
      </c>
      <c r="BE17" s="293">
        <f>BD17</f>
        <v>415797</v>
      </c>
      <c r="BF17" s="293">
        <f>ROUND(BE17*(1+取值表!$D$8),0)</f>
        <v>454466</v>
      </c>
      <c r="BG17" s="293">
        <f>BF17</f>
        <v>454466</v>
      </c>
      <c r="BH17" s="293">
        <f t="shared" ref="BH17" si="353">BG17</f>
        <v>454466</v>
      </c>
      <c r="BI17" s="293">
        <f t="shared" ref="BI17" si="354">BH17</f>
        <v>454466</v>
      </c>
      <c r="BJ17" s="293">
        <f>ROUND(BI17*(1+取值表!$D$8),0)</f>
        <v>496731</v>
      </c>
      <c r="BK17" s="293">
        <f t="shared" ref="BK17" si="355">BJ17</f>
        <v>496731</v>
      </c>
      <c r="BL17" s="293">
        <f t="shared" ref="BL17" si="356">BK17</f>
        <v>496731</v>
      </c>
      <c r="BM17" s="293">
        <f t="shared" ref="BM17" si="357">BL17</f>
        <v>496731</v>
      </c>
      <c r="BN17" s="293">
        <f>ROUND(BM17*(1+取值表!$D$8),0)</f>
        <v>542927</v>
      </c>
      <c r="BO17" s="293">
        <f t="shared" ref="BO17" si="358">BN17</f>
        <v>542927</v>
      </c>
      <c r="BP17" s="293">
        <f t="shared" ref="BP17" si="359">BO17</f>
        <v>542927</v>
      </c>
      <c r="BQ17" s="293">
        <f t="shared" ref="BQ17" si="360">BP17</f>
        <v>542927</v>
      </c>
      <c r="BR17" s="293">
        <f>ROUND(BQ17*(1+取值表!$D$8),0)</f>
        <v>593419</v>
      </c>
      <c r="BS17" s="293">
        <f t="shared" ref="BS17" si="361">BR17</f>
        <v>593419</v>
      </c>
      <c r="BT17" s="293">
        <f t="shared" ref="BT17" si="362">BS17</f>
        <v>593419</v>
      </c>
      <c r="BU17" s="293">
        <f t="shared" ref="BU17" si="363">BT17</f>
        <v>593419</v>
      </c>
      <c r="BV17" s="293">
        <f>ROUND(BU17*(1+取值表!$D$8),0)</f>
        <v>648607</v>
      </c>
      <c r="BW17" s="293">
        <f t="shared" ref="BW17" si="364">BV17</f>
        <v>648607</v>
      </c>
      <c r="BX17" s="293">
        <f t="shared" ref="BX17" si="365">BW17</f>
        <v>648607</v>
      </c>
      <c r="BY17" s="293">
        <f t="shared" ref="BY17" si="366">BX17</f>
        <v>648607</v>
      </c>
      <c r="BZ17" s="293">
        <f>ROUND(BY17*(1+取值表!$D$8),0)</f>
        <v>708927</v>
      </c>
      <c r="CA17" s="293">
        <f t="shared" ref="CA17" si="367">BZ17</f>
        <v>708927</v>
      </c>
      <c r="CB17" s="293">
        <f t="shared" ref="CB17" si="368">CA17</f>
        <v>708927</v>
      </c>
      <c r="CC17" s="293">
        <f t="shared" ref="CC17" si="369">CB17</f>
        <v>708927</v>
      </c>
      <c r="CD17" s="293">
        <f>ROUND(CC17*(1+取值表!$D$8),0)</f>
        <v>774857</v>
      </c>
      <c r="CE17" s="293">
        <f t="shared" ref="CE17" si="370">CD17</f>
        <v>774857</v>
      </c>
      <c r="CF17" s="293">
        <f t="shared" ref="CF17" si="371">CE17</f>
        <v>774857</v>
      </c>
      <c r="CG17" s="293">
        <f t="shared" ref="CG17" si="372">CF17</f>
        <v>774857</v>
      </c>
      <c r="CH17" s="293">
        <f>ROUND(CG17*(1+取值表!$D$8),0)</f>
        <v>846919</v>
      </c>
      <c r="CI17" s="293">
        <f>CH17</f>
        <v>846919</v>
      </c>
      <c r="CJ17" s="293">
        <f t="shared" ref="CJ17" si="373">CI17</f>
        <v>846919</v>
      </c>
      <c r="CK17" s="293">
        <f t="shared" ref="CK17" si="374">CJ17</f>
        <v>846919</v>
      </c>
      <c r="CL17" s="293">
        <f>ROUND(CK17*(1+取值表!$D$8),0)</f>
        <v>925682</v>
      </c>
      <c r="CM17" s="293">
        <f>CL17</f>
        <v>925682</v>
      </c>
      <c r="CN17" s="293">
        <f t="shared" ref="CN17" si="375">CM17</f>
        <v>925682</v>
      </c>
      <c r="CO17" s="293">
        <f t="shared" ref="CO17" si="376">CN17</f>
        <v>925682</v>
      </c>
      <c r="CP17" s="293">
        <f t="shared" si="47"/>
        <v>36832140</v>
      </c>
    </row>
    <row r="18" spans="1:94" ht="12" customHeight="1">
      <c r="A18" s="644"/>
      <c r="B18" s="645"/>
      <c r="C18" s="646"/>
      <c r="D18" s="647"/>
      <c r="E18" s="648"/>
      <c r="F18" s="642"/>
      <c r="G18" s="642"/>
      <c r="H18" s="643"/>
      <c r="I18" s="291"/>
      <c r="J18" s="295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  <c r="AY18" s="293"/>
      <c r="AZ18" s="293"/>
      <c r="BA18" s="293"/>
      <c r="BB18" s="293"/>
      <c r="BC18" s="293"/>
      <c r="BD18" s="293"/>
      <c r="BE18" s="293"/>
      <c r="BF18" s="293"/>
      <c r="BG18" s="293"/>
      <c r="BH18" s="293"/>
      <c r="BI18" s="293"/>
      <c r="BJ18" s="293"/>
      <c r="BK18" s="293"/>
      <c r="BL18" s="293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>
        <f t="shared" si="47"/>
        <v>0</v>
      </c>
    </row>
    <row r="19" spans="1:94">
      <c r="A19" s="644">
        <v>9</v>
      </c>
      <c r="B19" s="645" t="s">
        <v>51</v>
      </c>
      <c r="C19" s="646" t="s">
        <v>41</v>
      </c>
      <c r="D19" s="647" t="s">
        <v>444</v>
      </c>
      <c r="E19" s="648" t="s">
        <v>439</v>
      </c>
      <c r="F19" s="642">
        <v>12.9</v>
      </c>
      <c r="G19" s="642">
        <v>44</v>
      </c>
      <c r="H19" s="643">
        <f>F19*G19*365</f>
        <v>207174</v>
      </c>
      <c r="I19" s="291">
        <v>51793.5</v>
      </c>
      <c r="J19" s="292">
        <f>ROUND(F19*G19*365/4,0)</f>
        <v>51794</v>
      </c>
      <c r="K19" s="293">
        <f>J19</f>
        <v>51794</v>
      </c>
      <c r="L19" s="293">
        <f>K19</f>
        <v>51794</v>
      </c>
      <c r="M19" s="293">
        <f>L19</f>
        <v>51794</v>
      </c>
      <c r="N19" s="293">
        <f>ROUND(M19*(1+取值表!$D$8)*取值表!$I$8,0)</f>
        <v>53271</v>
      </c>
      <c r="O19" s="293">
        <f>N19</f>
        <v>53271</v>
      </c>
      <c r="P19" s="293">
        <f>O19</f>
        <v>53271</v>
      </c>
      <c r="Q19" s="293">
        <f>P19</f>
        <v>53271</v>
      </c>
      <c r="R19" s="294">
        <f>ROUND(Q19*(1+取值表!$D$8),0)</f>
        <v>58225</v>
      </c>
      <c r="S19" s="293">
        <f t="shared" ref="S19:T19" si="377">R19</f>
        <v>58225</v>
      </c>
      <c r="T19" s="293">
        <f t="shared" si="377"/>
        <v>58225</v>
      </c>
      <c r="U19" s="293">
        <f>T19</f>
        <v>58225</v>
      </c>
      <c r="V19" s="293">
        <f>ROUND(U19*(1+取值表!$D$8),0)</f>
        <v>63640</v>
      </c>
      <c r="W19" s="293">
        <f t="shared" ref="W19:Y19" si="378">V19</f>
        <v>63640</v>
      </c>
      <c r="X19" s="293">
        <f t="shared" si="378"/>
        <v>63640</v>
      </c>
      <c r="Y19" s="293">
        <f t="shared" si="378"/>
        <v>63640</v>
      </c>
      <c r="Z19" s="293">
        <f>ROUND(Y19*(1+取值表!$D$8),0)</f>
        <v>69559</v>
      </c>
      <c r="AA19" s="293">
        <f t="shared" ref="AA19" si="379">Z19</f>
        <v>69559</v>
      </c>
      <c r="AB19" s="293">
        <f t="shared" ref="AB19" si="380">AA19</f>
        <v>69559</v>
      </c>
      <c r="AC19" s="293">
        <f>AB19</f>
        <v>69559</v>
      </c>
      <c r="AD19" s="293">
        <f>ROUND(AC19*(1+取值表!$D$8),0)</f>
        <v>76028</v>
      </c>
      <c r="AE19" s="293">
        <f t="shared" ref="AE19" si="381">AD19</f>
        <v>76028</v>
      </c>
      <c r="AF19" s="293">
        <f t="shared" ref="AF19" si="382">AE19</f>
        <v>76028</v>
      </c>
      <c r="AG19" s="293">
        <f t="shared" ref="AG19" si="383">AF19</f>
        <v>76028</v>
      </c>
      <c r="AH19" s="293">
        <f>ROUND(AG19*(1+取值表!$D$8),0)</f>
        <v>83099</v>
      </c>
      <c r="AI19" s="293">
        <f t="shared" ref="AI19" si="384">AH19</f>
        <v>83099</v>
      </c>
      <c r="AJ19" s="293">
        <f t="shared" ref="AJ19" si="385">AI19</f>
        <v>83099</v>
      </c>
      <c r="AK19" s="293">
        <f t="shared" ref="AK19" si="386">AJ19</f>
        <v>83099</v>
      </c>
      <c r="AL19" s="293">
        <f>ROUND(AK19*(1+取值表!$D$8),0)</f>
        <v>90827</v>
      </c>
      <c r="AM19" s="293">
        <f t="shared" ref="AM19" si="387">AL19</f>
        <v>90827</v>
      </c>
      <c r="AN19" s="293">
        <f t="shared" ref="AN19" si="388">AM19</f>
        <v>90827</v>
      </c>
      <c r="AO19" s="293">
        <f t="shared" ref="AO19" si="389">AN19</f>
        <v>90827</v>
      </c>
      <c r="AP19" s="293">
        <f>ROUND(AO19*(1+取值表!$D$8),0)</f>
        <v>99274</v>
      </c>
      <c r="AQ19" s="293">
        <f t="shared" ref="AQ19" si="390">AP19</f>
        <v>99274</v>
      </c>
      <c r="AR19" s="293">
        <f t="shared" ref="AR19" si="391">AQ19</f>
        <v>99274</v>
      </c>
      <c r="AS19" s="293">
        <f t="shared" ref="AS19" si="392">AR19</f>
        <v>99274</v>
      </c>
      <c r="AT19" s="293">
        <f>ROUND(AS19*(1+取值表!$D$8),0)</f>
        <v>108506</v>
      </c>
      <c r="AU19" s="293">
        <f t="shared" ref="AU19" si="393">AT19</f>
        <v>108506</v>
      </c>
      <c r="AV19" s="293">
        <f t="shared" ref="AV19" si="394">AU19</f>
        <v>108506</v>
      </c>
      <c r="AW19" s="293">
        <f t="shared" ref="AW19" si="395">AV19</f>
        <v>108506</v>
      </c>
      <c r="AX19" s="293">
        <f>ROUND(AW19*(1+取值表!$D$8),0)</f>
        <v>118597</v>
      </c>
      <c r="AY19" s="293">
        <f t="shared" ref="AY19" si="396">AX19</f>
        <v>118597</v>
      </c>
      <c r="AZ19" s="293">
        <f t="shared" ref="AZ19" si="397">AY19</f>
        <v>118597</v>
      </c>
      <c r="BA19" s="293">
        <f t="shared" ref="BA19" si="398">AZ19</f>
        <v>118597</v>
      </c>
      <c r="BB19" s="293">
        <f>ROUND(BA19*(1+取值表!$D$8),0)</f>
        <v>129627</v>
      </c>
      <c r="BC19" s="293">
        <f>BB19</f>
        <v>129627</v>
      </c>
      <c r="BD19" s="293">
        <f t="shared" ref="BD19" si="399">BC19</f>
        <v>129627</v>
      </c>
      <c r="BE19" s="293">
        <f>BD19</f>
        <v>129627</v>
      </c>
      <c r="BF19" s="293">
        <f>ROUND(BE19*(1+取值表!$D$8),0)</f>
        <v>141682</v>
      </c>
      <c r="BG19" s="293">
        <f>BF19</f>
        <v>141682</v>
      </c>
      <c r="BH19" s="293">
        <f t="shared" ref="BH19" si="400">BG19</f>
        <v>141682</v>
      </c>
      <c r="BI19" s="293">
        <f t="shared" ref="BI19" si="401">BH19</f>
        <v>141682</v>
      </c>
      <c r="BJ19" s="293">
        <f>ROUND(BI19*(1+取值表!$D$8),0)</f>
        <v>154858</v>
      </c>
      <c r="BK19" s="293">
        <f t="shared" ref="BK19" si="402">BJ19</f>
        <v>154858</v>
      </c>
      <c r="BL19" s="293">
        <f t="shared" ref="BL19" si="403">BK19</f>
        <v>154858</v>
      </c>
      <c r="BM19" s="293">
        <f t="shared" ref="BM19" si="404">BL19</f>
        <v>154858</v>
      </c>
      <c r="BN19" s="293">
        <f>ROUND(BM19*(1+取值表!$D$8),0)</f>
        <v>169260</v>
      </c>
      <c r="BO19" s="293">
        <f t="shared" ref="BO19" si="405">BN19</f>
        <v>169260</v>
      </c>
      <c r="BP19" s="293">
        <f t="shared" ref="BP19" si="406">BO19</f>
        <v>169260</v>
      </c>
      <c r="BQ19" s="293">
        <f t="shared" ref="BQ19" si="407">BP19</f>
        <v>169260</v>
      </c>
      <c r="BR19" s="293">
        <f>ROUND(BQ19*(1+取值表!$D$8),0)</f>
        <v>185001</v>
      </c>
      <c r="BS19" s="293">
        <f t="shared" ref="BS19" si="408">BR19</f>
        <v>185001</v>
      </c>
      <c r="BT19" s="293">
        <f t="shared" ref="BT19" si="409">BS19</f>
        <v>185001</v>
      </c>
      <c r="BU19" s="293">
        <f t="shared" ref="BU19" si="410">BT19</f>
        <v>185001</v>
      </c>
      <c r="BV19" s="293">
        <f>ROUND(BU19*(1+取值表!$D$8),0)</f>
        <v>202206</v>
      </c>
      <c r="BW19" s="293">
        <f t="shared" ref="BW19" si="411">BV19</f>
        <v>202206</v>
      </c>
      <c r="BX19" s="293">
        <f t="shared" ref="BX19" si="412">BW19</f>
        <v>202206</v>
      </c>
      <c r="BY19" s="293">
        <f t="shared" ref="BY19" si="413">BX19</f>
        <v>202206</v>
      </c>
      <c r="BZ19" s="293">
        <f>ROUND(BY19*(1+取值表!$D$8),0)</f>
        <v>221011</v>
      </c>
      <c r="CA19" s="293">
        <f t="shared" ref="CA19" si="414">BZ19</f>
        <v>221011</v>
      </c>
      <c r="CB19" s="293">
        <f t="shared" ref="CB19" si="415">CA19</f>
        <v>221011</v>
      </c>
      <c r="CC19" s="293">
        <f t="shared" ref="CC19" si="416">CB19</f>
        <v>221011</v>
      </c>
      <c r="CD19" s="293">
        <f>ROUND(CC19*(1+取值表!$D$8),0)</f>
        <v>241565</v>
      </c>
      <c r="CE19" s="293">
        <f t="shared" ref="CE19" si="417">CD19</f>
        <v>241565</v>
      </c>
      <c r="CF19" s="293">
        <f t="shared" ref="CF19" si="418">CE19</f>
        <v>241565</v>
      </c>
      <c r="CG19" s="293">
        <f t="shared" ref="CG19" si="419">CF19</f>
        <v>241565</v>
      </c>
      <c r="CH19" s="293">
        <f>ROUND(CG19*(1+取值表!$D$8),0)</f>
        <v>264031</v>
      </c>
      <c r="CI19" s="293">
        <f>CH19</f>
        <v>264031</v>
      </c>
      <c r="CJ19" s="293">
        <f t="shared" ref="CJ19" si="420">CI19</f>
        <v>264031</v>
      </c>
      <c r="CK19" s="293">
        <f t="shared" ref="CK19" si="421">CJ19</f>
        <v>264031</v>
      </c>
      <c r="CL19" s="293">
        <f>ROUND(CK19*(1+取值表!$D$8),0)</f>
        <v>288586</v>
      </c>
      <c r="CM19" s="293">
        <f>CL19</f>
        <v>288586</v>
      </c>
      <c r="CN19" s="293">
        <f t="shared" ref="CN19" si="422">CM19</f>
        <v>288586</v>
      </c>
      <c r="CO19" s="293">
        <f t="shared" ref="CO19" si="423">CN19</f>
        <v>288586</v>
      </c>
      <c r="CP19" s="293">
        <f t="shared" si="47"/>
        <v>11482588</v>
      </c>
    </row>
    <row r="20" spans="1:94">
      <c r="A20" s="644"/>
      <c r="B20" s="645"/>
      <c r="C20" s="646"/>
      <c r="D20" s="647"/>
      <c r="E20" s="648"/>
      <c r="F20" s="642"/>
      <c r="G20" s="642"/>
      <c r="H20" s="643"/>
      <c r="I20" s="291"/>
      <c r="J20" s="295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293"/>
      <c r="AJ20" s="293"/>
      <c r="AK20" s="293"/>
      <c r="AL20" s="293"/>
      <c r="AM20" s="293"/>
      <c r="AN20" s="293"/>
      <c r="AO20" s="293"/>
      <c r="AP20" s="293"/>
      <c r="AQ20" s="293"/>
      <c r="AR20" s="293"/>
      <c r="AS20" s="293"/>
      <c r="AT20" s="293"/>
      <c r="AU20" s="293"/>
      <c r="AV20" s="293"/>
      <c r="AW20" s="293"/>
      <c r="AX20" s="293"/>
      <c r="AY20" s="293"/>
      <c r="AZ20" s="293"/>
      <c r="BA20" s="293"/>
      <c r="BB20" s="293"/>
      <c r="BC20" s="293"/>
      <c r="BD20" s="293"/>
      <c r="BE20" s="293"/>
      <c r="BF20" s="293"/>
      <c r="BG20" s="293"/>
      <c r="BH20" s="293"/>
      <c r="BI20" s="293"/>
      <c r="BJ20" s="293"/>
      <c r="BK20" s="293"/>
      <c r="BL20" s="293"/>
      <c r="BM20" s="293"/>
      <c r="BN20" s="293"/>
      <c r="BO20" s="293"/>
      <c r="BP20" s="293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  <c r="CC20" s="293"/>
      <c r="CD20" s="293"/>
      <c r="CE20" s="293"/>
      <c r="CF20" s="293"/>
      <c r="CG20" s="293"/>
      <c r="CH20" s="293"/>
      <c r="CI20" s="293"/>
      <c r="CJ20" s="293"/>
      <c r="CK20" s="293"/>
      <c r="CL20" s="293"/>
      <c r="CM20" s="293"/>
      <c r="CN20" s="293"/>
      <c r="CO20" s="293"/>
      <c r="CP20" s="293">
        <f t="shared" si="47"/>
        <v>0</v>
      </c>
    </row>
    <row r="21" spans="1:94" ht="12" customHeight="1">
      <c r="A21" s="644">
        <v>10</v>
      </c>
      <c r="B21" s="645" t="s">
        <v>52</v>
      </c>
      <c r="C21" s="646" t="s">
        <v>53</v>
      </c>
      <c r="D21" s="647" t="s">
        <v>50</v>
      </c>
      <c r="E21" s="648" t="s">
        <v>447</v>
      </c>
      <c r="F21" s="642">
        <v>430.19</v>
      </c>
      <c r="G21" s="642">
        <v>6.16</v>
      </c>
      <c r="H21" s="643">
        <f>F21*G21*365</f>
        <v>967239.19600000011</v>
      </c>
      <c r="I21" s="291">
        <v>161177.85999999999</v>
      </c>
      <c r="J21" s="295">
        <f>ROUND(F21*G21*365/4,0)</f>
        <v>241810</v>
      </c>
      <c r="K21" s="292">
        <f>J21</f>
        <v>241810</v>
      </c>
      <c r="L21" s="293">
        <f>K21</f>
        <v>241810</v>
      </c>
      <c r="M21" s="293">
        <f>L21</f>
        <v>241810</v>
      </c>
      <c r="N21" s="293">
        <f>ROUND(M21*(1+取值表!$D$8)*取值表!$I$8,0)</f>
        <v>248705</v>
      </c>
      <c r="O21" s="293">
        <f>N21</f>
        <v>248705</v>
      </c>
      <c r="P21" s="293">
        <f>O21</f>
        <v>248705</v>
      </c>
      <c r="Q21" s="293">
        <f>P21</f>
        <v>248705</v>
      </c>
      <c r="R21" s="294">
        <f>ROUND(Q21*(1+取值表!$D$8),0)</f>
        <v>271835</v>
      </c>
      <c r="S21" s="293">
        <f t="shared" ref="S21:T21" si="424">R21</f>
        <v>271835</v>
      </c>
      <c r="T21" s="293">
        <f t="shared" si="424"/>
        <v>271835</v>
      </c>
      <c r="U21" s="293">
        <f>T21</f>
        <v>271835</v>
      </c>
      <c r="V21" s="293">
        <f>ROUND(U21*(1+取值表!$D$8),0)</f>
        <v>297116</v>
      </c>
      <c r="W21" s="293">
        <f t="shared" ref="W21:Y21" si="425">V21</f>
        <v>297116</v>
      </c>
      <c r="X21" s="293">
        <f t="shared" si="425"/>
        <v>297116</v>
      </c>
      <c r="Y21" s="293">
        <f t="shared" si="425"/>
        <v>297116</v>
      </c>
      <c r="Z21" s="293">
        <f>ROUND(Y21*(1+取值表!$D$8),0)</f>
        <v>324748</v>
      </c>
      <c r="AA21" s="293">
        <f t="shared" ref="AA21" si="426">Z21</f>
        <v>324748</v>
      </c>
      <c r="AB21" s="293">
        <f t="shared" ref="AB21" si="427">AA21</f>
        <v>324748</v>
      </c>
      <c r="AC21" s="293">
        <f>AB21</f>
        <v>324748</v>
      </c>
      <c r="AD21" s="293">
        <f>ROUND(AC21*(1+取值表!$D$8),0)</f>
        <v>354950</v>
      </c>
      <c r="AE21" s="293">
        <f t="shared" ref="AE21" si="428">AD21</f>
        <v>354950</v>
      </c>
      <c r="AF21" s="293">
        <f t="shared" ref="AF21" si="429">AE21</f>
        <v>354950</v>
      </c>
      <c r="AG21" s="293">
        <f t="shared" ref="AG21" si="430">AF21</f>
        <v>354950</v>
      </c>
      <c r="AH21" s="293">
        <f>ROUND(AG21*(1+取值表!$D$8),0)</f>
        <v>387960</v>
      </c>
      <c r="AI21" s="293">
        <f t="shared" ref="AI21" si="431">AH21</f>
        <v>387960</v>
      </c>
      <c r="AJ21" s="293">
        <f t="shared" ref="AJ21" si="432">AI21</f>
        <v>387960</v>
      </c>
      <c r="AK21" s="293">
        <f t="shared" ref="AK21" si="433">AJ21</f>
        <v>387960</v>
      </c>
      <c r="AL21" s="293">
        <f>ROUND(AK21*(1+取值表!$D$8),0)</f>
        <v>424040</v>
      </c>
      <c r="AM21" s="293">
        <f t="shared" ref="AM21" si="434">AL21</f>
        <v>424040</v>
      </c>
      <c r="AN21" s="293">
        <f t="shared" ref="AN21" si="435">AM21</f>
        <v>424040</v>
      </c>
      <c r="AO21" s="293">
        <f t="shared" ref="AO21" si="436">AN21</f>
        <v>424040</v>
      </c>
      <c r="AP21" s="293">
        <f>ROUND(AO21*(1+取值表!$D$8),0)</f>
        <v>463476</v>
      </c>
      <c r="AQ21" s="293">
        <f t="shared" ref="AQ21" si="437">AP21</f>
        <v>463476</v>
      </c>
      <c r="AR21" s="293">
        <f t="shared" ref="AR21" si="438">AQ21</f>
        <v>463476</v>
      </c>
      <c r="AS21" s="293">
        <f t="shared" ref="AS21" si="439">AR21</f>
        <v>463476</v>
      </c>
      <c r="AT21" s="293">
        <f>ROUND(AS21*(1+取值表!$D$8),0)</f>
        <v>506579</v>
      </c>
      <c r="AU21" s="293">
        <f t="shared" ref="AU21" si="440">AT21</f>
        <v>506579</v>
      </c>
      <c r="AV21" s="293">
        <f t="shared" ref="AV21" si="441">AU21</f>
        <v>506579</v>
      </c>
      <c r="AW21" s="293">
        <f t="shared" ref="AW21" si="442">AV21</f>
        <v>506579</v>
      </c>
      <c r="AX21" s="293">
        <f>ROUND(AW21*(1+取值表!$D$8),0)</f>
        <v>553691</v>
      </c>
      <c r="AY21" s="293">
        <f t="shared" ref="AY21" si="443">AX21</f>
        <v>553691</v>
      </c>
      <c r="AZ21" s="293">
        <f t="shared" ref="AZ21" si="444">AY21</f>
        <v>553691</v>
      </c>
      <c r="BA21" s="293">
        <f t="shared" ref="BA21" si="445">AZ21</f>
        <v>553691</v>
      </c>
      <c r="BB21" s="293">
        <f>ROUND(BA21*(1+取值表!$D$8),0)</f>
        <v>605184</v>
      </c>
      <c r="BC21" s="293">
        <f>BB21</f>
        <v>605184</v>
      </c>
      <c r="BD21" s="293">
        <f t="shared" ref="BD21" si="446">BC21</f>
        <v>605184</v>
      </c>
      <c r="BE21" s="293">
        <f>BD21</f>
        <v>605184</v>
      </c>
      <c r="BF21" s="293">
        <f>ROUND(BE21*(1+取值表!$D$8),0)</f>
        <v>661466</v>
      </c>
      <c r="BG21" s="293">
        <f>BF21</f>
        <v>661466</v>
      </c>
      <c r="BH21" s="293">
        <f t="shared" ref="BH21" si="447">BG21</f>
        <v>661466</v>
      </c>
      <c r="BI21" s="293">
        <f t="shared" ref="BI21" si="448">BH21</f>
        <v>661466</v>
      </c>
      <c r="BJ21" s="293">
        <f>ROUND(BI21*(1+取值表!$D$8),0)</f>
        <v>722982</v>
      </c>
      <c r="BK21" s="293">
        <f t="shared" ref="BK21" si="449">BJ21</f>
        <v>722982</v>
      </c>
      <c r="BL21" s="293">
        <f t="shared" ref="BL21" si="450">BK21</f>
        <v>722982</v>
      </c>
      <c r="BM21" s="293">
        <f t="shared" ref="BM21" si="451">BL21</f>
        <v>722982</v>
      </c>
      <c r="BN21" s="293">
        <f>ROUND(BM21*(1+取值表!$D$8),0)</f>
        <v>790219</v>
      </c>
      <c r="BO21" s="293">
        <f t="shared" ref="BO21" si="452">BN21</f>
        <v>790219</v>
      </c>
      <c r="BP21" s="293">
        <f t="shared" ref="BP21" si="453">BO21</f>
        <v>790219</v>
      </c>
      <c r="BQ21" s="293">
        <f t="shared" ref="BQ21" si="454">BP21</f>
        <v>790219</v>
      </c>
      <c r="BR21" s="293">
        <f>ROUND(BQ21*(1+取值表!$D$8),0)</f>
        <v>863709</v>
      </c>
      <c r="BS21" s="293">
        <f t="shared" ref="BS21" si="455">BR21</f>
        <v>863709</v>
      </c>
      <c r="BT21" s="293">
        <f t="shared" ref="BT21" si="456">BS21</f>
        <v>863709</v>
      </c>
      <c r="BU21" s="293">
        <f t="shared" ref="BU21" si="457">BT21</f>
        <v>863709</v>
      </c>
      <c r="BV21" s="293">
        <f>ROUND(BU21*(1+取值表!$D$8),0)</f>
        <v>944034</v>
      </c>
      <c r="BW21" s="293">
        <f t="shared" ref="BW21" si="458">BV21</f>
        <v>944034</v>
      </c>
      <c r="BX21" s="293">
        <f t="shared" ref="BX21" si="459">BW21</f>
        <v>944034</v>
      </c>
      <c r="BY21" s="293">
        <f t="shared" ref="BY21" si="460">BX21</f>
        <v>944034</v>
      </c>
      <c r="BZ21" s="293">
        <f>ROUND(BY21*(1+取值表!$D$8),0)</f>
        <v>1031829</v>
      </c>
      <c r="CA21" s="293">
        <f t="shared" ref="CA21" si="461">BZ21</f>
        <v>1031829</v>
      </c>
      <c r="CB21" s="293">
        <f t="shared" ref="CB21" si="462">CA21</f>
        <v>1031829</v>
      </c>
      <c r="CC21" s="293">
        <f t="shared" ref="CC21" si="463">CB21</f>
        <v>1031829</v>
      </c>
      <c r="CD21" s="293">
        <f>ROUND(CC21*(1+取值表!$D$8),0)</f>
        <v>1127789</v>
      </c>
      <c r="CE21" s="293">
        <f t="shared" ref="CE21" si="464">CD21</f>
        <v>1127789</v>
      </c>
      <c r="CF21" s="293">
        <f t="shared" ref="CF21" si="465">CE21</f>
        <v>1127789</v>
      </c>
      <c r="CG21" s="293">
        <f t="shared" ref="CG21" si="466">CF21</f>
        <v>1127789</v>
      </c>
      <c r="CH21" s="293">
        <f>ROUND(CG21*(1+取值表!$D$8),0)</f>
        <v>1232673</v>
      </c>
      <c r="CI21" s="293">
        <f>CH21</f>
        <v>1232673</v>
      </c>
      <c r="CJ21" s="293">
        <f t="shared" ref="CJ21" si="467">CI21</f>
        <v>1232673</v>
      </c>
      <c r="CK21" s="293">
        <f t="shared" ref="CK21" si="468">CJ21</f>
        <v>1232673</v>
      </c>
      <c r="CL21" s="293">
        <f>ROUND(CK21*(1+取值表!$D$8),0)</f>
        <v>1347312</v>
      </c>
      <c r="CM21" s="293">
        <f>CL21</f>
        <v>1347312</v>
      </c>
      <c r="CN21" s="293">
        <f t="shared" ref="CN21" si="469">CM21</f>
        <v>1347312</v>
      </c>
      <c r="CO21" s="293">
        <f t="shared" ref="CO21" si="470">CN21</f>
        <v>1347312</v>
      </c>
      <c r="CP21" s="293">
        <f t="shared" si="47"/>
        <v>53608428</v>
      </c>
    </row>
    <row r="22" spans="1:94" ht="12" customHeight="1">
      <c r="A22" s="644"/>
      <c r="B22" s="645"/>
      <c r="C22" s="646"/>
      <c r="D22" s="647"/>
      <c r="E22" s="648"/>
      <c r="F22" s="642"/>
      <c r="G22" s="642"/>
      <c r="H22" s="643"/>
      <c r="I22" s="291"/>
      <c r="J22" s="295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>
        <f>ROUND(AC22*(1+取值表!$E$8)*取值表!$I$8,0)</f>
        <v>0</v>
      </c>
      <c r="AE22" s="293"/>
      <c r="AF22" s="293"/>
      <c r="AG22" s="293"/>
      <c r="AH22" s="293">
        <f>ROUND(AG22*(1+取值表!$E$8)*取值表!$I$8,0)</f>
        <v>0</v>
      </c>
      <c r="AI22" s="293"/>
      <c r="AJ22" s="293"/>
      <c r="AK22" s="293"/>
      <c r="AL22" s="293">
        <f>ROUND(AK22*(1+取值表!$E$8)*取值表!$I$8,0)</f>
        <v>0</v>
      </c>
      <c r="AM22" s="293"/>
      <c r="AN22" s="293"/>
      <c r="AO22" s="293"/>
      <c r="AP22" s="293">
        <f>ROUND(AO22*(1+取值表!$E$8)*取值表!$I$8,0)</f>
        <v>0</v>
      </c>
      <c r="AQ22" s="293"/>
      <c r="AR22" s="293"/>
      <c r="AS22" s="293"/>
      <c r="AT22" s="293">
        <f>ROUND(AS22*(1+取值表!$E$8)*取值表!$I$8,0)</f>
        <v>0</v>
      </c>
      <c r="AU22" s="293"/>
      <c r="AV22" s="293"/>
      <c r="AW22" s="293"/>
      <c r="AX22" s="293">
        <f>ROUND(AW22*(1+取值表!$E$8)*取值表!$I$8,0)</f>
        <v>0</v>
      </c>
      <c r="AY22" s="293"/>
      <c r="AZ22" s="293"/>
      <c r="BA22" s="293"/>
      <c r="BB22" s="293"/>
      <c r="BC22" s="293"/>
      <c r="BD22" s="293"/>
      <c r="BE22" s="293"/>
      <c r="BF22" s="293"/>
      <c r="BG22" s="293"/>
      <c r="BH22" s="293"/>
      <c r="BI22" s="293"/>
      <c r="BJ22" s="293"/>
      <c r="BK22" s="293"/>
      <c r="BL22" s="293"/>
      <c r="BM22" s="293"/>
      <c r="BN22" s="293"/>
      <c r="BO22" s="293"/>
      <c r="BP22" s="293"/>
      <c r="BQ22" s="293"/>
      <c r="BR22" s="293"/>
      <c r="BS22" s="293"/>
      <c r="BT22" s="293"/>
      <c r="BU22" s="293"/>
      <c r="BV22" s="293"/>
      <c r="BW22" s="293"/>
      <c r="BX22" s="293"/>
      <c r="BY22" s="293"/>
      <c r="BZ22" s="293"/>
      <c r="CA22" s="293"/>
      <c r="CB22" s="293"/>
      <c r="CC22" s="293"/>
      <c r="CD22" s="293"/>
      <c r="CE22" s="293"/>
      <c r="CF22" s="293"/>
      <c r="CG22" s="293"/>
      <c r="CH22" s="293"/>
      <c r="CI22" s="293"/>
      <c r="CJ22" s="293"/>
      <c r="CK22" s="293"/>
      <c r="CL22" s="293"/>
      <c r="CM22" s="293"/>
      <c r="CN22" s="293"/>
      <c r="CO22" s="293"/>
      <c r="CP22" s="293">
        <f t="shared" si="47"/>
        <v>0</v>
      </c>
    </row>
    <row r="23" spans="1:94" s="297" customFormat="1" ht="12" customHeight="1">
      <c r="A23" s="644">
        <v>11</v>
      </c>
      <c r="B23" s="658" t="s">
        <v>54</v>
      </c>
      <c r="C23" s="646" t="s">
        <v>55</v>
      </c>
      <c r="D23" s="647" t="s">
        <v>56</v>
      </c>
      <c r="E23" s="648" t="s">
        <v>439</v>
      </c>
      <c r="F23" s="642">
        <v>1685.7</v>
      </c>
      <c r="G23" s="642"/>
      <c r="H23" s="643"/>
      <c r="I23" s="291"/>
      <c r="J23" s="295"/>
      <c r="K23" s="293"/>
      <c r="L23" s="293"/>
      <c r="M23" s="293"/>
      <c r="N23" s="293"/>
      <c r="O23" s="293"/>
      <c r="P23" s="293"/>
      <c r="Q23" s="293"/>
      <c r="R23" s="293"/>
      <c r="S23" s="293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>
        <f>ROUND(AC23*(1+取值表!$E$8)*取值表!$I$8,0)</f>
        <v>0</v>
      </c>
      <c r="AE23" s="293"/>
      <c r="AF23" s="293"/>
      <c r="AG23" s="293"/>
      <c r="AH23" s="293">
        <f>ROUND(AG23*(1+取值表!$E$8)*取值表!$I$8,0)</f>
        <v>0</v>
      </c>
      <c r="AI23" s="293"/>
      <c r="AJ23" s="293"/>
      <c r="AK23" s="293"/>
      <c r="AL23" s="293">
        <f>ROUND(AK23*(1+取值表!$E$8)*取值表!$I$8,0)</f>
        <v>0</v>
      </c>
      <c r="AM23" s="293"/>
      <c r="AN23" s="293"/>
      <c r="AO23" s="293"/>
      <c r="AP23" s="293">
        <f>ROUND(AO23*(1+取值表!$E$8)*取值表!$I$8,0)</f>
        <v>0</v>
      </c>
      <c r="AQ23" s="293"/>
      <c r="AR23" s="293"/>
      <c r="AS23" s="293"/>
      <c r="AT23" s="293">
        <f>ROUND(AS23*(1+取值表!$E$8)*取值表!$I$8,0)</f>
        <v>0</v>
      </c>
      <c r="AU23" s="293"/>
      <c r="AV23" s="293"/>
      <c r="AW23" s="293"/>
      <c r="AX23" s="293">
        <f>ROUND(AW23*(1+取值表!$E$8)*取值表!$I$8,0)</f>
        <v>0</v>
      </c>
      <c r="AY23" s="293"/>
      <c r="AZ23" s="293"/>
      <c r="BA23" s="293"/>
      <c r="BB23" s="293"/>
      <c r="BC23" s="293"/>
      <c r="BD23" s="293"/>
      <c r="BE23" s="293"/>
      <c r="BF23" s="293"/>
      <c r="BG23" s="293"/>
      <c r="BH23" s="293"/>
      <c r="BI23" s="293"/>
      <c r="BJ23" s="293"/>
      <c r="BK23" s="293"/>
      <c r="BL23" s="293"/>
      <c r="BM23" s="293"/>
      <c r="BN23" s="293"/>
      <c r="BO23" s="293"/>
      <c r="BP23" s="293"/>
      <c r="BQ23" s="293"/>
      <c r="BR23" s="293"/>
      <c r="BS23" s="293"/>
      <c r="BT23" s="293"/>
      <c r="BU23" s="293"/>
      <c r="BV23" s="293"/>
      <c r="BW23" s="293"/>
      <c r="BX23" s="293"/>
      <c r="BY23" s="293"/>
      <c r="BZ23" s="293"/>
      <c r="CA23" s="293"/>
      <c r="CB23" s="293"/>
      <c r="CC23" s="293"/>
      <c r="CD23" s="293"/>
      <c r="CE23" s="293"/>
      <c r="CF23" s="293"/>
      <c r="CG23" s="293"/>
      <c r="CH23" s="293"/>
      <c r="CI23" s="293"/>
      <c r="CJ23" s="293"/>
      <c r="CK23" s="293"/>
      <c r="CL23" s="293"/>
      <c r="CM23" s="293"/>
      <c r="CN23" s="293"/>
      <c r="CO23" s="293"/>
      <c r="CP23" s="293">
        <f t="shared" si="47"/>
        <v>0</v>
      </c>
    </row>
    <row r="24" spans="1:94" s="297" customFormat="1" ht="12" customHeight="1">
      <c r="A24" s="644"/>
      <c r="B24" s="663"/>
      <c r="C24" s="646"/>
      <c r="D24" s="647"/>
      <c r="E24" s="648"/>
      <c r="F24" s="642"/>
      <c r="G24" s="642"/>
      <c r="H24" s="643"/>
      <c r="I24" s="291"/>
      <c r="J24" s="295"/>
      <c r="K24" s="293"/>
      <c r="L24" s="293"/>
      <c r="M24" s="293"/>
      <c r="N24" s="293"/>
      <c r="O24" s="293"/>
      <c r="P24" s="293"/>
      <c r="Q24" s="293"/>
      <c r="R24" s="293"/>
      <c r="S24" s="293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>
        <f>ROUND(AC24*(1+取值表!$E$8)*取值表!$I$8,0)</f>
        <v>0</v>
      </c>
      <c r="AE24" s="293"/>
      <c r="AF24" s="293"/>
      <c r="AG24" s="293"/>
      <c r="AH24" s="293">
        <f>ROUND(AG24*(1+取值表!$E$8)*取值表!$I$8,0)</f>
        <v>0</v>
      </c>
      <c r="AI24" s="293"/>
      <c r="AJ24" s="293"/>
      <c r="AK24" s="293"/>
      <c r="AL24" s="293">
        <f>ROUND(AK24*(1+取值表!$E$8)*取值表!$I$8,0)</f>
        <v>0</v>
      </c>
      <c r="AM24" s="293"/>
      <c r="AN24" s="293"/>
      <c r="AO24" s="293"/>
      <c r="AP24" s="293">
        <f>ROUND(AO24*(1+取值表!$E$8)*取值表!$I$8,0)</f>
        <v>0</v>
      </c>
      <c r="AQ24" s="293"/>
      <c r="AR24" s="293"/>
      <c r="AS24" s="293"/>
      <c r="AT24" s="293">
        <f>ROUND(AS24*(1+取值表!$E$8)*取值表!$I$8,0)</f>
        <v>0</v>
      </c>
      <c r="AU24" s="293"/>
      <c r="AV24" s="293"/>
      <c r="AW24" s="293"/>
      <c r="AX24" s="293">
        <f>ROUND(AW24*(1+取值表!$E$8)*取值表!$I$8,0)</f>
        <v>0</v>
      </c>
      <c r="AY24" s="293"/>
      <c r="AZ24" s="293"/>
      <c r="BA24" s="293"/>
      <c r="BB24" s="293"/>
      <c r="BC24" s="293"/>
      <c r="BD24" s="293"/>
      <c r="BE24" s="293"/>
      <c r="BF24" s="293"/>
      <c r="BG24" s="293"/>
      <c r="BH24" s="293"/>
      <c r="BI24" s="293"/>
      <c r="BJ24" s="293"/>
      <c r="BK24" s="293"/>
      <c r="BL24" s="293"/>
      <c r="BM24" s="293"/>
      <c r="BN24" s="293"/>
      <c r="BO24" s="293"/>
      <c r="BP24" s="293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  <c r="CA24" s="293"/>
      <c r="CB24" s="293"/>
      <c r="CC24" s="293"/>
      <c r="CD24" s="293"/>
      <c r="CE24" s="293"/>
      <c r="CF24" s="293"/>
      <c r="CG24" s="293"/>
      <c r="CH24" s="293"/>
      <c r="CI24" s="293"/>
      <c r="CJ24" s="293"/>
      <c r="CK24" s="293"/>
      <c r="CL24" s="293"/>
      <c r="CM24" s="293"/>
      <c r="CN24" s="293"/>
      <c r="CO24" s="293"/>
      <c r="CP24" s="293">
        <f t="shared" si="47"/>
        <v>0</v>
      </c>
    </row>
    <row r="25" spans="1:94" ht="12" customHeight="1">
      <c r="A25" s="644">
        <v>12</v>
      </c>
      <c r="B25" s="645" t="s">
        <v>57</v>
      </c>
      <c r="C25" s="646" t="s">
        <v>14</v>
      </c>
      <c r="D25" s="647" t="s">
        <v>445</v>
      </c>
      <c r="E25" s="648" t="s">
        <v>439</v>
      </c>
      <c r="F25" s="642">
        <v>230.06</v>
      </c>
      <c r="G25" s="642">
        <f>AVERAGE(23)</f>
        <v>23</v>
      </c>
      <c r="H25" s="643">
        <f>G25*F25*365</f>
        <v>1931353.7</v>
      </c>
      <c r="I25" s="291">
        <v>433924.79</v>
      </c>
      <c r="J25" s="295">
        <f>ROUND(G25*F25*365/4,0)</f>
        <v>482838</v>
      </c>
      <c r="K25" s="293">
        <f>J25</f>
        <v>482838</v>
      </c>
      <c r="L25" s="293">
        <f>K25</f>
        <v>482838</v>
      </c>
      <c r="M25" s="292">
        <f>L25</f>
        <v>482838</v>
      </c>
      <c r="N25" s="293">
        <f>ROUND(M25*(1+取值表!$D$8)*取值表!$I$8,0)</f>
        <v>496605</v>
      </c>
      <c r="O25" s="293">
        <f>N25</f>
        <v>496605</v>
      </c>
      <c r="P25" s="293">
        <f>O25</f>
        <v>496605</v>
      </c>
      <c r="Q25" s="293">
        <f>P25</f>
        <v>496605</v>
      </c>
      <c r="R25" s="294">
        <f>ROUND(Q25*(1+取值表!$D$8),0)</f>
        <v>542789</v>
      </c>
      <c r="S25" s="293">
        <f t="shared" ref="S25:T25" si="471">R25</f>
        <v>542789</v>
      </c>
      <c r="T25" s="293">
        <f t="shared" si="471"/>
        <v>542789</v>
      </c>
      <c r="U25" s="293">
        <f>T25</f>
        <v>542789</v>
      </c>
      <c r="V25" s="293">
        <f>ROUND(U25*(1+取值表!$D$8),0)</f>
        <v>593268</v>
      </c>
      <c r="W25" s="293">
        <f t="shared" ref="W25:Y25" si="472">V25</f>
        <v>593268</v>
      </c>
      <c r="X25" s="293">
        <f t="shared" si="472"/>
        <v>593268</v>
      </c>
      <c r="Y25" s="293">
        <f t="shared" si="472"/>
        <v>593268</v>
      </c>
      <c r="Z25" s="293">
        <f>ROUND(Y25*(1+取值表!$D$8),0)</f>
        <v>648442</v>
      </c>
      <c r="AA25" s="293">
        <f t="shared" ref="AA25" si="473">Z25</f>
        <v>648442</v>
      </c>
      <c r="AB25" s="293">
        <f t="shared" ref="AB25" si="474">AA25</f>
        <v>648442</v>
      </c>
      <c r="AC25" s="293">
        <f>AB25</f>
        <v>648442</v>
      </c>
      <c r="AD25" s="293">
        <f>ROUND(AC25*(1+取值表!$D$8),0)</f>
        <v>708747</v>
      </c>
      <c r="AE25" s="293">
        <f t="shared" ref="AE25" si="475">AD25</f>
        <v>708747</v>
      </c>
      <c r="AF25" s="293">
        <f t="shared" ref="AF25" si="476">AE25</f>
        <v>708747</v>
      </c>
      <c r="AG25" s="293">
        <f t="shared" ref="AG25" si="477">AF25</f>
        <v>708747</v>
      </c>
      <c r="AH25" s="293">
        <f>ROUND(AG25*(1+取值表!$D$8),0)</f>
        <v>774660</v>
      </c>
      <c r="AI25" s="293">
        <f t="shared" ref="AI25" si="478">AH25</f>
        <v>774660</v>
      </c>
      <c r="AJ25" s="293">
        <f t="shared" ref="AJ25" si="479">AI25</f>
        <v>774660</v>
      </c>
      <c r="AK25" s="293">
        <f t="shared" ref="AK25" si="480">AJ25</f>
        <v>774660</v>
      </c>
      <c r="AL25" s="293">
        <f>ROUND(AK25*(1+取值表!$D$8),0)</f>
        <v>846703</v>
      </c>
      <c r="AM25" s="293">
        <f t="shared" ref="AM25" si="481">AL25</f>
        <v>846703</v>
      </c>
      <c r="AN25" s="293">
        <f t="shared" ref="AN25" si="482">AM25</f>
        <v>846703</v>
      </c>
      <c r="AO25" s="293">
        <f t="shared" ref="AO25" si="483">AN25</f>
        <v>846703</v>
      </c>
      <c r="AP25" s="293">
        <f>ROUND(AO25*(1+取值表!$D$8),0)</f>
        <v>925446</v>
      </c>
      <c r="AQ25" s="293">
        <f t="shared" ref="AQ25" si="484">AP25</f>
        <v>925446</v>
      </c>
      <c r="AR25" s="293">
        <f t="shared" ref="AR25" si="485">AQ25</f>
        <v>925446</v>
      </c>
      <c r="AS25" s="293">
        <f t="shared" ref="AS25" si="486">AR25</f>
        <v>925446</v>
      </c>
      <c r="AT25" s="293">
        <f>ROUND(AS25*(1+取值表!$D$8),0)</f>
        <v>1011512</v>
      </c>
      <c r="AU25" s="293">
        <f t="shared" ref="AU25" si="487">AT25</f>
        <v>1011512</v>
      </c>
      <c r="AV25" s="293">
        <f t="shared" ref="AV25" si="488">AU25</f>
        <v>1011512</v>
      </c>
      <c r="AW25" s="293">
        <f t="shared" ref="AW25" si="489">AV25</f>
        <v>1011512</v>
      </c>
      <c r="AX25" s="293">
        <f>ROUND(AW25*(1+取值表!$D$8),0)</f>
        <v>1105583</v>
      </c>
      <c r="AY25" s="293">
        <f t="shared" ref="AY25" si="490">AX25</f>
        <v>1105583</v>
      </c>
      <c r="AZ25" s="293">
        <f t="shared" ref="AZ25" si="491">AY25</f>
        <v>1105583</v>
      </c>
      <c r="BA25" s="293">
        <f t="shared" ref="BA25" si="492">AZ25</f>
        <v>1105583</v>
      </c>
      <c r="BB25" s="293">
        <f>ROUND(BA25*(1+取值表!$D$8),0)</f>
        <v>1208402</v>
      </c>
      <c r="BC25" s="293">
        <f>BB25</f>
        <v>1208402</v>
      </c>
      <c r="BD25" s="293">
        <f t="shared" ref="BD25" si="493">BC25</f>
        <v>1208402</v>
      </c>
      <c r="BE25" s="293">
        <f>BD25</f>
        <v>1208402</v>
      </c>
      <c r="BF25" s="293">
        <f>ROUND(BE25*(1+取值表!$D$8),0)</f>
        <v>1320783</v>
      </c>
      <c r="BG25" s="293">
        <f>BF25</f>
        <v>1320783</v>
      </c>
      <c r="BH25" s="293">
        <f t="shared" ref="BH25" si="494">BG25</f>
        <v>1320783</v>
      </c>
      <c r="BI25" s="293">
        <f t="shared" ref="BI25" si="495">BH25</f>
        <v>1320783</v>
      </c>
      <c r="BJ25" s="293">
        <f>ROUND(BI25*(1+取值表!$D$8),0)</f>
        <v>1443616</v>
      </c>
      <c r="BK25" s="293">
        <f t="shared" ref="BK25" si="496">BJ25</f>
        <v>1443616</v>
      </c>
      <c r="BL25" s="293">
        <f t="shared" ref="BL25" si="497">BK25</f>
        <v>1443616</v>
      </c>
      <c r="BM25" s="293">
        <f t="shared" ref="BM25" si="498">BL25</f>
        <v>1443616</v>
      </c>
      <c r="BN25" s="293">
        <f>ROUND(BM25*(1+取值表!$D$8),0)</f>
        <v>1577872</v>
      </c>
      <c r="BO25" s="293">
        <f t="shared" ref="BO25" si="499">BN25</f>
        <v>1577872</v>
      </c>
      <c r="BP25" s="293">
        <f t="shared" ref="BP25" si="500">BO25</f>
        <v>1577872</v>
      </c>
      <c r="BQ25" s="293">
        <f t="shared" ref="BQ25" si="501">BP25</f>
        <v>1577872</v>
      </c>
      <c r="BR25" s="293">
        <f>ROUND(BQ25*(1+取值表!$D$8),0)</f>
        <v>1724614</v>
      </c>
      <c r="BS25" s="293">
        <f t="shared" ref="BS25" si="502">BR25</f>
        <v>1724614</v>
      </c>
      <c r="BT25" s="293">
        <f t="shared" ref="BT25" si="503">BS25</f>
        <v>1724614</v>
      </c>
      <c r="BU25" s="293">
        <f t="shared" ref="BU25" si="504">BT25</f>
        <v>1724614</v>
      </c>
      <c r="BV25" s="293">
        <f>ROUND(BU25*(1+取值表!$D$8),0)</f>
        <v>1885003</v>
      </c>
      <c r="BW25" s="293">
        <f t="shared" ref="BW25" si="505">BV25</f>
        <v>1885003</v>
      </c>
      <c r="BX25" s="293">
        <f t="shared" ref="BX25" si="506">BW25</f>
        <v>1885003</v>
      </c>
      <c r="BY25" s="293">
        <f t="shared" ref="BY25" si="507">BX25</f>
        <v>1885003</v>
      </c>
      <c r="BZ25" s="293">
        <f>ROUND(BY25*(1+取值表!$D$8),0)</f>
        <v>2060308</v>
      </c>
      <c r="CA25" s="293">
        <f t="shared" ref="CA25" si="508">BZ25</f>
        <v>2060308</v>
      </c>
      <c r="CB25" s="293">
        <f t="shared" ref="CB25" si="509">CA25</f>
        <v>2060308</v>
      </c>
      <c r="CC25" s="293">
        <f t="shared" ref="CC25" si="510">CB25</f>
        <v>2060308</v>
      </c>
      <c r="CD25" s="293">
        <f>ROUND(CC25*(1+取值表!$D$8),0)</f>
        <v>2251917</v>
      </c>
      <c r="CE25" s="293">
        <f t="shared" ref="CE25" si="511">CD25</f>
        <v>2251917</v>
      </c>
      <c r="CF25" s="293">
        <f t="shared" ref="CF25" si="512">CE25</f>
        <v>2251917</v>
      </c>
      <c r="CG25" s="293">
        <f t="shared" ref="CG25" si="513">CF25</f>
        <v>2251917</v>
      </c>
      <c r="CH25" s="293">
        <f>ROUND(CG25*(1+取值表!$D$8),0)</f>
        <v>2461345</v>
      </c>
      <c r="CI25" s="293">
        <f>CH25</f>
        <v>2461345</v>
      </c>
      <c r="CJ25" s="293">
        <f t="shared" ref="CJ25" si="514">CI25</f>
        <v>2461345</v>
      </c>
      <c r="CK25" s="293">
        <f t="shared" ref="CK25" si="515">CJ25</f>
        <v>2461345</v>
      </c>
      <c r="CL25" s="293">
        <f>ROUND(CK25*(1+取值表!$D$8),0)</f>
        <v>2690250</v>
      </c>
      <c r="CM25" s="293">
        <f>CL25</f>
        <v>2690250</v>
      </c>
      <c r="CN25" s="293">
        <f t="shared" ref="CN25" si="516">CM25</f>
        <v>2690250</v>
      </c>
      <c r="CO25" s="293">
        <f t="shared" ref="CO25" si="517">CN25</f>
        <v>2690250</v>
      </c>
      <c r="CP25" s="293">
        <f t="shared" si="47"/>
        <v>107042812</v>
      </c>
    </row>
    <row r="26" spans="1:94">
      <c r="A26" s="644"/>
      <c r="B26" s="645"/>
      <c r="C26" s="646"/>
      <c r="D26" s="647"/>
      <c r="E26" s="648"/>
      <c r="F26" s="642"/>
      <c r="G26" s="642"/>
      <c r="H26" s="643"/>
      <c r="I26" s="291"/>
      <c r="J26" s="295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>
        <f>ROUND(AC26*(1+取值表!$E$8)*取值表!$I$8,0)</f>
        <v>0</v>
      </c>
      <c r="AE26" s="293"/>
      <c r="AF26" s="293"/>
      <c r="AG26" s="293"/>
      <c r="AH26" s="293">
        <f>ROUND(AG26*(1+取值表!$E$8)*取值表!$I$8,0)</f>
        <v>0</v>
      </c>
      <c r="AI26" s="293"/>
      <c r="AJ26" s="293"/>
      <c r="AK26" s="293"/>
      <c r="AL26" s="293">
        <f>ROUND(AK26*(1+取值表!$E$8)*取值表!$I$8,0)</f>
        <v>0</v>
      </c>
      <c r="AM26" s="293"/>
      <c r="AN26" s="293"/>
      <c r="AO26" s="293"/>
      <c r="AP26" s="293">
        <f>ROUND(AO26*(1+取值表!$E$8)*取值表!$I$8,0)</f>
        <v>0</v>
      </c>
      <c r="AQ26" s="293"/>
      <c r="AR26" s="293"/>
      <c r="AS26" s="293"/>
      <c r="AT26" s="293">
        <f>ROUND(AS26*(1+取值表!$E$8)*取值表!$I$8,0)</f>
        <v>0</v>
      </c>
      <c r="AU26" s="293"/>
      <c r="AV26" s="293"/>
      <c r="AW26" s="293"/>
      <c r="AX26" s="293">
        <f>ROUND(AW26*(1+取值表!$E$8)*取值表!$I$8,0)</f>
        <v>0</v>
      </c>
      <c r="AY26" s="293"/>
      <c r="AZ26" s="293"/>
      <c r="BA26" s="293"/>
      <c r="BB26" s="293">
        <f>ROUND(BA26*(1+取值表!$E$8)*取值表!$I$8,0)</f>
        <v>0</v>
      </c>
      <c r="BC26" s="293"/>
      <c r="BD26" s="293"/>
      <c r="BE26" s="293"/>
      <c r="BF26" s="293"/>
      <c r="BG26" s="293"/>
      <c r="BH26" s="293"/>
      <c r="BI26" s="293"/>
      <c r="BJ26" s="293"/>
      <c r="BK26" s="293"/>
      <c r="BL26" s="293"/>
      <c r="BM26" s="293"/>
      <c r="BN26" s="293"/>
      <c r="BO26" s="293"/>
      <c r="BP26" s="293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  <c r="CA26" s="293"/>
      <c r="CB26" s="293"/>
      <c r="CC26" s="293"/>
      <c r="CD26" s="293"/>
      <c r="CE26" s="293"/>
      <c r="CF26" s="293"/>
      <c r="CG26" s="293"/>
      <c r="CH26" s="293"/>
      <c r="CI26" s="293"/>
      <c r="CJ26" s="293"/>
      <c r="CK26" s="293"/>
      <c r="CL26" s="293"/>
      <c r="CM26" s="293"/>
      <c r="CN26" s="293"/>
      <c r="CO26" s="293"/>
      <c r="CP26" s="293">
        <f t="shared" si="47"/>
        <v>0</v>
      </c>
    </row>
    <row r="27" spans="1:94" ht="12" customHeight="1">
      <c r="A27" s="644">
        <v>13</v>
      </c>
      <c r="B27" s="645" t="s">
        <v>58</v>
      </c>
      <c r="C27" s="646" t="s">
        <v>59</v>
      </c>
      <c r="D27" s="647" t="s">
        <v>446</v>
      </c>
      <c r="E27" s="648" t="s">
        <v>439</v>
      </c>
      <c r="F27" s="642">
        <v>112.44</v>
      </c>
      <c r="G27" s="642">
        <v>27</v>
      </c>
      <c r="H27" s="643">
        <f>F27*G27*365</f>
        <v>1108096.2</v>
      </c>
      <c r="I27" s="291">
        <v>273638.2</v>
      </c>
      <c r="J27" s="295">
        <f>ROUND(F27*G27*365/4,0)</f>
        <v>277024</v>
      </c>
      <c r="K27" s="293">
        <f t="shared" ref="K27:S27" si="518">J27</f>
        <v>277024</v>
      </c>
      <c r="L27" s="293">
        <f t="shared" si="518"/>
        <v>277024</v>
      </c>
      <c r="M27" s="293">
        <f t="shared" si="518"/>
        <v>277024</v>
      </c>
      <c r="N27" s="293">
        <f t="shared" si="518"/>
        <v>277024</v>
      </c>
      <c r="O27" s="293">
        <f>N27</f>
        <v>277024</v>
      </c>
      <c r="P27" s="293">
        <f>O27</f>
        <v>277024</v>
      </c>
      <c r="Q27" s="293">
        <f>P27</f>
        <v>277024</v>
      </c>
      <c r="R27" s="293">
        <f t="shared" si="518"/>
        <v>277024</v>
      </c>
      <c r="S27" s="292">
        <f t="shared" si="518"/>
        <v>277024</v>
      </c>
      <c r="T27" s="293">
        <f>S27</f>
        <v>277024</v>
      </c>
      <c r="U27" s="293">
        <f>T27</f>
        <v>277024</v>
      </c>
      <c r="V27" s="293">
        <f>ROUND(U27*(1+取值表!$D$8)*取值表!$I$8,0)</f>
        <v>284923</v>
      </c>
      <c r="W27" s="293">
        <f>V27</f>
        <v>284923</v>
      </c>
      <c r="X27" s="293">
        <f>W27</f>
        <v>284923</v>
      </c>
      <c r="Y27" s="293">
        <f>X27</f>
        <v>284923</v>
      </c>
      <c r="Z27" s="294">
        <f>ROUND(Y27*(1+取值表!$D$8),0)</f>
        <v>311421</v>
      </c>
      <c r="AA27" s="293">
        <f t="shared" ref="AA27:AB27" si="519">Z27</f>
        <v>311421</v>
      </c>
      <c r="AB27" s="293">
        <f t="shared" si="519"/>
        <v>311421</v>
      </c>
      <c r="AC27" s="293">
        <f>AB27</f>
        <v>311421</v>
      </c>
      <c r="AD27" s="293">
        <f>ROUND(AC27*(1+取值表!$D$8),0)</f>
        <v>340383</v>
      </c>
      <c r="AE27" s="293">
        <f t="shared" ref="AE27:AG27" si="520">AD27</f>
        <v>340383</v>
      </c>
      <c r="AF27" s="293">
        <f t="shared" si="520"/>
        <v>340383</v>
      </c>
      <c r="AG27" s="293">
        <f t="shared" si="520"/>
        <v>340383</v>
      </c>
      <c r="AH27" s="293">
        <f>ROUND(AG27*(1+取值表!$D$8),0)</f>
        <v>372039</v>
      </c>
      <c r="AI27" s="293">
        <f t="shared" ref="AI27" si="521">AH27</f>
        <v>372039</v>
      </c>
      <c r="AJ27" s="293">
        <f t="shared" ref="AJ27" si="522">AI27</f>
        <v>372039</v>
      </c>
      <c r="AK27" s="293">
        <f t="shared" ref="AK27" si="523">AJ27</f>
        <v>372039</v>
      </c>
      <c r="AL27" s="293">
        <f>ROUND(AK27*(1+取值表!$D$8),0)</f>
        <v>406639</v>
      </c>
      <c r="AM27" s="293">
        <f t="shared" ref="AM27" si="524">AL27</f>
        <v>406639</v>
      </c>
      <c r="AN27" s="293">
        <f t="shared" ref="AN27" si="525">AM27</f>
        <v>406639</v>
      </c>
      <c r="AO27" s="293">
        <f t="shared" ref="AO27" si="526">AN27</f>
        <v>406639</v>
      </c>
      <c r="AP27" s="293">
        <f>ROUND(AO27*(1+取值表!$D$8),0)</f>
        <v>444456</v>
      </c>
      <c r="AQ27" s="293">
        <f t="shared" ref="AQ27" si="527">AP27</f>
        <v>444456</v>
      </c>
      <c r="AR27" s="293">
        <f t="shared" ref="AR27" si="528">AQ27</f>
        <v>444456</v>
      </c>
      <c r="AS27" s="293">
        <f t="shared" ref="AS27" si="529">AR27</f>
        <v>444456</v>
      </c>
      <c r="AT27" s="293">
        <f>ROUND(AS27*(1+取值表!$D$8),0)</f>
        <v>485790</v>
      </c>
      <c r="AU27" s="293">
        <f t="shared" ref="AU27" si="530">AT27</f>
        <v>485790</v>
      </c>
      <c r="AV27" s="293">
        <f t="shared" ref="AV27" si="531">AU27</f>
        <v>485790</v>
      </c>
      <c r="AW27" s="293">
        <f t="shared" ref="AW27" si="532">AV27</f>
        <v>485790</v>
      </c>
      <c r="AX27" s="293">
        <f>ROUND(AW27*(1+取值表!$D$8),0)</f>
        <v>530968</v>
      </c>
      <c r="AY27" s="293">
        <f t="shared" ref="AY27" si="533">AX27</f>
        <v>530968</v>
      </c>
      <c r="AZ27" s="293">
        <f t="shared" ref="AZ27" si="534">AY27</f>
        <v>530968</v>
      </c>
      <c r="BA27" s="293">
        <f t="shared" ref="BA27" si="535">AZ27</f>
        <v>530968</v>
      </c>
      <c r="BB27" s="293">
        <f>ROUND(BA27*(1+取值表!$D$8),0)</f>
        <v>580348</v>
      </c>
      <c r="BC27" s="293">
        <f>BB27</f>
        <v>580348</v>
      </c>
      <c r="BD27" s="293">
        <f t="shared" ref="BD27" si="536">BC27</f>
        <v>580348</v>
      </c>
      <c r="BE27" s="293">
        <f>BD27</f>
        <v>580348</v>
      </c>
      <c r="BF27" s="293">
        <f>ROUND(BE27*(1+取值表!$D$8),0)</f>
        <v>634320</v>
      </c>
      <c r="BG27" s="293">
        <f>BF27</f>
        <v>634320</v>
      </c>
      <c r="BH27" s="293">
        <f t="shared" ref="BH27" si="537">BG27</f>
        <v>634320</v>
      </c>
      <c r="BI27" s="293">
        <f t="shared" ref="BI27" si="538">BH27</f>
        <v>634320</v>
      </c>
      <c r="BJ27" s="293">
        <f>ROUND(BI27*(1+取值表!$D$8),0)</f>
        <v>693312</v>
      </c>
      <c r="BK27" s="293">
        <f t="shared" ref="BK27" si="539">BJ27</f>
        <v>693312</v>
      </c>
      <c r="BL27" s="293">
        <f t="shared" ref="BL27" si="540">BK27</f>
        <v>693312</v>
      </c>
      <c r="BM27" s="293">
        <f t="shared" ref="BM27" si="541">BL27</f>
        <v>693312</v>
      </c>
      <c r="BN27" s="293">
        <f>ROUND(BM27*(1+取值表!$D$8),0)</f>
        <v>757790</v>
      </c>
      <c r="BO27" s="293">
        <f t="shared" ref="BO27" si="542">BN27</f>
        <v>757790</v>
      </c>
      <c r="BP27" s="293">
        <f t="shared" ref="BP27" si="543">BO27</f>
        <v>757790</v>
      </c>
      <c r="BQ27" s="293">
        <f t="shared" ref="BQ27" si="544">BP27</f>
        <v>757790</v>
      </c>
      <c r="BR27" s="293">
        <f>ROUND(BQ27*(1+取值表!$D$8),0)</f>
        <v>828264</v>
      </c>
      <c r="BS27" s="293">
        <f t="shared" ref="BS27" si="545">BR27</f>
        <v>828264</v>
      </c>
      <c r="BT27" s="293">
        <f t="shared" ref="BT27" si="546">BS27</f>
        <v>828264</v>
      </c>
      <c r="BU27" s="293">
        <f t="shared" ref="BU27" si="547">BT27</f>
        <v>828264</v>
      </c>
      <c r="BV27" s="293">
        <f>ROUND(BU27*(1+取值表!$D$8),0)</f>
        <v>905293</v>
      </c>
      <c r="BW27" s="293">
        <f t="shared" ref="BW27" si="548">BV27</f>
        <v>905293</v>
      </c>
      <c r="BX27" s="293">
        <f t="shared" ref="BX27" si="549">BW27</f>
        <v>905293</v>
      </c>
      <c r="BY27" s="293">
        <f t="shared" ref="BY27" si="550">BX27</f>
        <v>905293</v>
      </c>
      <c r="BZ27" s="293">
        <f>ROUND(BY27*(1+取值表!$D$8),0)</f>
        <v>989485</v>
      </c>
      <c r="CA27" s="293">
        <f t="shared" ref="CA27" si="551">BZ27</f>
        <v>989485</v>
      </c>
      <c r="CB27" s="293">
        <f t="shared" ref="CB27" si="552">CA27</f>
        <v>989485</v>
      </c>
      <c r="CC27" s="293">
        <f t="shared" ref="CC27" si="553">CB27</f>
        <v>989485</v>
      </c>
      <c r="CD27" s="293">
        <f>ROUND(CC27*(1+取值表!$D$8),0)</f>
        <v>1081507</v>
      </c>
      <c r="CE27" s="293">
        <f t="shared" ref="CE27" si="554">CD27</f>
        <v>1081507</v>
      </c>
      <c r="CF27" s="293">
        <f t="shared" ref="CF27" si="555">CE27</f>
        <v>1081507</v>
      </c>
      <c r="CG27" s="293">
        <f t="shared" ref="CG27" si="556">CF27</f>
        <v>1081507</v>
      </c>
      <c r="CH27" s="293">
        <f>ROUND(CG27*(1+取值表!$D$8),0)</f>
        <v>1182087</v>
      </c>
      <c r="CI27" s="293">
        <f>CH27</f>
        <v>1182087</v>
      </c>
      <c r="CJ27" s="293">
        <f t="shared" ref="CJ27" si="557">CI27</f>
        <v>1182087</v>
      </c>
      <c r="CK27" s="293">
        <f t="shared" ref="CK27" si="558">CJ27</f>
        <v>1182087</v>
      </c>
      <c r="CL27" s="293">
        <f>ROUND(CK27*(1+取值表!$D$8),0)</f>
        <v>1292021</v>
      </c>
      <c r="CM27" s="293">
        <f>CL27</f>
        <v>1292021</v>
      </c>
      <c r="CN27" s="293">
        <f t="shared" ref="CN27" si="559">CM27</f>
        <v>1292021</v>
      </c>
      <c r="CO27" s="293">
        <f t="shared" ref="CO27" si="560">CN27</f>
        <v>1292021</v>
      </c>
      <c r="CP27" s="293">
        <f t="shared" si="47"/>
        <v>51808472</v>
      </c>
    </row>
    <row r="28" spans="1:94">
      <c r="A28" s="644"/>
      <c r="B28" s="645"/>
      <c r="C28" s="646"/>
      <c r="D28" s="647"/>
      <c r="E28" s="648"/>
      <c r="F28" s="642"/>
      <c r="G28" s="642"/>
      <c r="H28" s="643"/>
      <c r="I28" s="291"/>
      <c r="J28" s="295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>
        <f>ROUND(AC28*(1+取值表!$E$8)*取值表!$I$8,0)</f>
        <v>0</v>
      </c>
      <c r="AE28" s="293"/>
      <c r="AF28" s="293"/>
      <c r="AG28" s="293"/>
      <c r="AH28" s="293">
        <f>ROUND(AG28*(1+取值表!$E$8)*取值表!$I$8,0)</f>
        <v>0</v>
      </c>
      <c r="AI28" s="293"/>
      <c r="AJ28" s="293"/>
      <c r="AK28" s="293"/>
      <c r="AL28" s="293">
        <f>ROUND(AK28*(1+取值表!$E$8)*取值表!$I$8,0)</f>
        <v>0</v>
      </c>
      <c r="AM28" s="293"/>
      <c r="AN28" s="293"/>
      <c r="AO28" s="293"/>
      <c r="AP28" s="293">
        <f>ROUND(AO28*(1+取值表!$E$8)*取值表!$I$8,0)</f>
        <v>0</v>
      </c>
      <c r="AQ28" s="293"/>
      <c r="AR28" s="293"/>
      <c r="AS28" s="293"/>
      <c r="AT28" s="293">
        <f>ROUND(AS28*(1+取值表!$E$8)*取值表!$I$8,0)</f>
        <v>0</v>
      </c>
      <c r="AU28" s="293"/>
      <c r="AV28" s="293"/>
      <c r="AW28" s="293"/>
      <c r="AX28" s="293">
        <f>ROUND(AW28*(1+取值表!$E$8)*取值表!$I$8,0)</f>
        <v>0</v>
      </c>
      <c r="AY28" s="293"/>
      <c r="AZ28" s="293"/>
      <c r="BA28" s="293"/>
      <c r="BB28" s="293">
        <f>ROUND(BA28*(1+取值表!$E$8)*取值表!$I$8,0)</f>
        <v>0</v>
      </c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  <c r="CC28" s="293"/>
      <c r="CD28" s="293"/>
      <c r="CE28" s="293"/>
      <c r="CF28" s="293"/>
      <c r="CG28" s="293"/>
      <c r="CH28" s="293"/>
      <c r="CI28" s="293"/>
      <c r="CJ28" s="293"/>
      <c r="CK28" s="293"/>
      <c r="CL28" s="293"/>
      <c r="CM28" s="293"/>
      <c r="CN28" s="293"/>
      <c r="CO28" s="293"/>
      <c r="CP28" s="293">
        <f t="shared" si="47"/>
        <v>0</v>
      </c>
    </row>
    <row r="29" spans="1:94" s="299" customFormat="1" ht="12" customHeight="1">
      <c r="A29" s="644">
        <v>14</v>
      </c>
      <c r="B29" s="658" t="s">
        <v>60</v>
      </c>
      <c r="C29" s="659" t="s">
        <v>61</v>
      </c>
      <c r="D29" s="647" t="s">
        <v>62</v>
      </c>
      <c r="E29" s="660" t="s">
        <v>447</v>
      </c>
      <c r="F29" s="661">
        <v>1508.58</v>
      </c>
      <c r="G29" s="661">
        <f>AVERAGE(9,10,11)</f>
        <v>10</v>
      </c>
      <c r="H29" s="662">
        <f>F29*G29*365</f>
        <v>5506317</v>
      </c>
      <c r="I29" s="298">
        <v>1357714.23</v>
      </c>
      <c r="J29" s="295">
        <f>K29</f>
        <v>1376579</v>
      </c>
      <c r="K29" s="295">
        <f>L29</f>
        <v>1376579</v>
      </c>
      <c r="L29" s="295">
        <f>M29</f>
        <v>1376579</v>
      </c>
      <c r="M29" s="295">
        <f>N29</f>
        <v>1376579</v>
      </c>
      <c r="N29" s="295">
        <f>ROUND(10*365*F29/4,0)</f>
        <v>1376579</v>
      </c>
      <c r="O29" s="295">
        <f>P29</f>
        <v>1514237</v>
      </c>
      <c r="P29" s="295">
        <f>Q29</f>
        <v>1514237</v>
      </c>
      <c r="Q29" s="295">
        <f t="shared" ref="Q29:U29" si="561">R29</f>
        <v>1514237</v>
      </c>
      <c r="R29" s="295">
        <f t="shared" si="561"/>
        <v>1514237</v>
      </c>
      <c r="S29" s="295">
        <f t="shared" si="561"/>
        <v>1514237</v>
      </c>
      <c r="T29" s="295">
        <f>U29</f>
        <v>1514237</v>
      </c>
      <c r="U29" s="295">
        <f t="shared" si="561"/>
        <v>1514237</v>
      </c>
      <c r="V29" s="292">
        <f>ROUND(11*365*F29/4,0)</f>
        <v>1514237</v>
      </c>
      <c r="W29" s="295">
        <f>V29</f>
        <v>1514237</v>
      </c>
      <c r="X29" s="295">
        <f>W29</f>
        <v>1514237</v>
      </c>
      <c r="Y29" s="295">
        <f>X29</f>
        <v>1514237</v>
      </c>
      <c r="Z29" s="293">
        <f>ROUND(Y29*(1+取值表!$D$8)*取值表!$I$8,0)</f>
        <v>1557412</v>
      </c>
      <c r="AA29" s="295">
        <f>Z29</f>
        <v>1557412</v>
      </c>
      <c r="AB29" s="295">
        <f>AA29</f>
        <v>1557412</v>
      </c>
      <c r="AC29" s="295">
        <f>AB29</f>
        <v>1557412</v>
      </c>
      <c r="AD29" s="294">
        <f>ROUND(AC29*(1+取值表!$E$8),0)</f>
        <v>1702251</v>
      </c>
      <c r="AE29" s="295">
        <f t="shared" ref="AE29:AG29" si="562">AD29</f>
        <v>1702251</v>
      </c>
      <c r="AF29" s="295">
        <f t="shared" si="562"/>
        <v>1702251</v>
      </c>
      <c r="AG29" s="295">
        <f t="shared" si="562"/>
        <v>1702251</v>
      </c>
      <c r="AH29" s="293">
        <f>ROUND(AG29*(1+取值表!$D$8),0)</f>
        <v>1860560</v>
      </c>
      <c r="AI29" s="295">
        <f t="shared" ref="AI29" si="563">AH29</f>
        <v>1860560</v>
      </c>
      <c r="AJ29" s="295">
        <f t="shared" ref="AJ29" si="564">AI29</f>
        <v>1860560</v>
      </c>
      <c r="AK29" s="295">
        <f t="shared" ref="AK29" si="565">AJ29</f>
        <v>1860560</v>
      </c>
      <c r="AL29" s="293">
        <f>ROUND(AK29*(1+取值表!$D$8),0)</f>
        <v>2033592</v>
      </c>
      <c r="AM29" s="295">
        <f t="shared" ref="AM29" si="566">AL29</f>
        <v>2033592</v>
      </c>
      <c r="AN29" s="295">
        <f t="shared" ref="AN29" si="567">AM29</f>
        <v>2033592</v>
      </c>
      <c r="AO29" s="295">
        <f t="shared" ref="AO29" si="568">AN29</f>
        <v>2033592</v>
      </c>
      <c r="AP29" s="293">
        <f>ROUND(AO29*(1+取值表!$D$8),0)</f>
        <v>2222716</v>
      </c>
      <c r="AQ29" s="295">
        <f t="shared" ref="AQ29" si="569">AP29</f>
        <v>2222716</v>
      </c>
      <c r="AR29" s="295">
        <f t="shared" ref="AR29" si="570">AQ29</f>
        <v>2222716</v>
      </c>
      <c r="AS29" s="295">
        <f t="shared" ref="AS29" si="571">AR29</f>
        <v>2222716</v>
      </c>
      <c r="AT29" s="293">
        <f>ROUND(AS29*(1+取值表!$D$8),0)</f>
        <v>2429429</v>
      </c>
      <c r="AU29" s="295">
        <f t="shared" ref="AU29" si="572">AT29</f>
        <v>2429429</v>
      </c>
      <c r="AV29" s="295">
        <f t="shared" ref="AV29" si="573">AU29</f>
        <v>2429429</v>
      </c>
      <c r="AW29" s="295">
        <f t="shared" ref="AW29" si="574">AV29</f>
        <v>2429429</v>
      </c>
      <c r="AX29" s="293">
        <f>ROUND(AW29*(1+取值表!$D$8),0)</f>
        <v>2655366</v>
      </c>
      <c r="AY29" s="295">
        <f t="shared" ref="AY29" si="575">AX29</f>
        <v>2655366</v>
      </c>
      <c r="AZ29" s="295">
        <f t="shared" ref="AZ29" si="576">AY29</f>
        <v>2655366</v>
      </c>
      <c r="BA29" s="295">
        <f t="shared" ref="BA29" si="577">AZ29</f>
        <v>2655366</v>
      </c>
      <c r="BB29" s="293">
        <f>ROUND(BA29*(1+取值表!$D$8),0)</f>
        <v>2902315</v>
      </c>
      <c r="BC29" s="295">
        <f>BB29</f>
        <v>2902315</v>
      </c>
      <c r="BD29" s="295">
        <f t="shared" ref="BD29" si="578">BC29</f>
        <v>2902315</v>
      </c>
      <c r="BE29" s="295">
        <f>BD29</f>
        <v>2902315</v>
      </c>
      <c r="BF29" s="293">
        <f>ROUND(BE29*(1+取值表!$D$8),0)</f>
        <v>3172230</v>
      </c>
      <c r="BG29" s="295">
        <f>BF29</f>
        <v>3172230</v>
      </c>
      <c r="BH29" s="295">
        <f t="shared" ref="BH29" si="579">BG29</f>
        <v>3172230</v>
      </c>
      <c r="BI29" s="295">
        <f t="shared" ref="BI29" si="580">BH29</f>
        <v>3172230</v>
      </c>
      <c r="BJ29" s="293">
        <f>ROUND(BI29*(1+取值表!$D$8),0)</f>
        <v>3467247</v>
      </c>
      <c r="BK29" s="295">
        <f t="shared" ref="BK29" si="581">BJ29</f>
        <v>3467247</v>
      </c>
      <c r="BL29" s="295">
        <f t="shared" ref="BL29" si="582">BK29</f>
        <v>3467247</v>
      </c>
      <c r="BM29" s="295">
        <f t="shared" ref="BM29" si="583">BL29</f>
        <v>3467247</v>
      </c>
      <c r="BN29" s="293">
        <f>ROUND(BM29*(1+取值表!$D$8),0)</f>
        <v>3789701</v>
      </c>
      <c r="BO29" s="295">
        <f t="shared" ref="BO29" si="584">BN29</f>
        <v>3789701</v>
      </c>
      <c r="BP29" s="295">
        <f t="shared" ref="BP29" si="585">BO29</f>
        <v>3789701</v>
      </c>
      <c r="BQ29" s="295">
        <f t="shared" ref="BQ29" si="586">BP29</f>
        <v>3789701</v>
      </c>
      <c r="BR29" s="293">
        <f>ROUND(BQ29*(1+取值表!$D$8),0)</f>
        <v>4142143</v>
      </c>
      <c r="BS29" s="295">
        <f t="shared" ref="BS29" si="587">BR29</f>
        <v>4142143</v>
      </c>
      <c r="BT29" s="295">
        <f t="shared" ref="BT29" si="588">BS29</f>
        <v>4142143</v>
      </c>
      <c r="BU29" s="295">
        <f t="shared" ref="BU29" si="589">BT29</f>
        <v>4142143</v>
      </c>
      <c r="BV29" s="293">
        <f>ROUND(BU29*(1+取值表!$D$8),0)</f>
        <v>4527362</v>
      </c>
      <c r="BW29" s="295">
        <f t="shared" ref="BW29" si="590">BV29</f>
        <v>4527362</v>
      </c>
      <c r="BX29" s="295">
        <f t="shared" ref="BX29" si="591">BW29</f>
        <v>4527362</v>
      </c>
      <c r="BY29" s="295">
        <f t="shared" ref="BY29" si="592">BX29</f>
        <v>4527362</v>
      </c>
      <c r="BZ29" s="293">
        <f>ROUND(BY29*(1+取值表!$D$8),0)</f>
        <v>4948407</v>
      </c>
      <c r="CA29" s="295">
        <f t="shared" ref="CA29" si="593">BZ29</f>
        <v>4948407</v>
      </c>
      <c r="CB29" s="295">
        <f t="shared" ref="CB29" si="594">CA29</f>
        <v>4948407</v>
      </c>
      <c r="CC29" s="295">
        <f t="shared" ref="CC29" si="595">CB29</f>
        <v>4948407</v>
      </c>
      <c r="CD29" s="293">
        <f>ROUND(CC29*(1+取值表!$D$8),0)</f>
        <v>5408609</v>
      </c>
      <c r="CE29" s="295">
        <f t="shared" ref="CE29" si="596">CD29</f>
        <v>5408609</v>
      </c>
      <c r="CF29" s="295">
        <f t="shared" ref="CF29" si="597">CE29</f>
        <v>5408609</v>
      </c>
      <c r="CG29" s="295">
        <f t="shared" ref="CG29" si="598">CF29</f>
        <v>5408609</v>
      </c>
      <c r="CH29" s="293">
        <f>ROUND(CG29*(1+取值表!$D$8),0)</f>
        <v>5911610</v>
      </c>
      <c r="CI29" s="295">
        <f>CH29</f>
        <v>5911610</v>
      </c>
      <c r="CJ29" s="295">
        <f t="shared" ref="CJ29" si="599">CI29</f>
        <v>5911610</v>
      </c>
      <c r="CK29" s="295">
        <f t="shared" ref="CK29" si="600">CJ29</f>
        <v>5911610</v>
      </c>
      <c r="CL29" s="293">
        <f>ROUND(CK29*(1+取值表!$D$8),0)</f>
        <v>6461390</v>
      </c>
      <c r="CM29" s="295">
        <f>CL29</f>
        <v>6461390</v>
      </c>
      <c r="CN29" s="295">
        <f t="shared" ref="CN29" si="601">CM29</f>
        <v>6461390</v>
      </c>
      <c r="CO29" s="295">
        <f t="shared" ref="CO29" si="602">CN29</f>
        <v>6461390</v>
      </c>
      <c r="CP29" s="293">
        <f t="shared" si="47"/>
        <v>260308862</v>
      </c>
    </row>
    <row r="30" spans="1:94" s="299" customFormat="1">
      <c r="A30" s="644"/>
      <c r="B30" s="658"/>
      <c r="C30" s="659"/>
      <c r="D30" s="647"/>
      <c r="E30" s="660"/>
      <c r="F30" s="661"/>
      <c r="G30" s="661"/>
      <c r="H30" s="662"/>
      <c r="I30" s="298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3">
        <f>ROUND(AC30*(1+取值表!$E$8)*取值表!$I$8,0)</f>
        <v>0</v>
      </c>
      <c r="AE30" s="295"/>
      <c r="AF30" s="295"/>
      <c r="AG30" s="295"/>
      <c r="AH30" s="293">
        <f>ROUND(AG30*(1+取值表!$E$8)*取值表!$I$8,0)</f>
        <v>0</v>
      </c>
      <c r="AI30" s="295"/>
      <c r="AJ30" s="295"/>
      <c r="AK30" s="295"/>
      <c r="AL30" s="293">
        <f>ROUND(AK30*(1+取值表!$E$8)*取值表!$I$8,0)</f>
        <v>0</v>
      </c>
      <c r="AM30" s="295"/>
      <c r="AN30" s="295"/>
      <c r="AO30" s="295"/>
      <c r="AP30" s="293">
        <f>ROUND(AO30*(1+取值表!$E$8)*取值表!$I$8,0)</f>
        <v>0</v>
      </c>
      <c r="AQ30" s="295"/>
      <c r="AR30" s="295"/>
      <c r="AS30" s="295"/>
      <c r="AT30" s="293">
        <f>ROUND(AS30*(1+取值表!$E$8)*取值表!$I$8,0)</f>
        <v>0</v>
      </c>
      <c r="AU30" s="295"/>
      <c r="AV30" s="295"/>
      <c r="AW30" s="295"/>
      <c r="AX30" s="293">
        <f>ROUND(AW30*(1+取值表!$E$8)*取值表!$I$8,0)</f>
        <v>0</v>
      </c>
      <c r="AY30" s="295"/>
      <c r="AZ30" s="295"/>
      <c r="BA30" s="295"/>
      <c r="BB30" s="293">
        <f>ROUND(BA30*(1+取值表!$E$8)*取值表!$I$8,0)</f>
        <v>0</v>
      </c>
      <c r="BC30" s="295"/>
      <c r="BD30" s="295"/>
      <c r="BE30" s="295"/>
      <c r="BF30" s="293"/>
      <c r="BG30" s="295"/>
      <c r="BH30" s="295"/>
      <c r="BI30" s="295"/>
      <c r="BJ30" s="293"/>
      <c r="BK30" s="295"/>
      <c r="BL30" s="295"/>
      <c r="BM30" s="295"/>
      <c r="BN30" s="293"/>
      <c r="BO30" s="295"/>
      <c r="BP30" s="295"/>
      <c r="BQ30" s="295"/>
      <c r="BR30" s="293"/>
      <c r="BS30" s="295"/>
      <c r="BT30" s="295"/>
      <c r="BU30" s="295"/>
      <c r="BV30" s="293"/>
      <c r="BW30" s="295"/>
      <c r="BX30" s="295"/>
      <c r="BY30" s="295"/>
      <c r="BZ30" s="293"/>
      <c r="CA30" s="295"/>
      <c r="CB30" s="295"/>
      <c r="CC30" s="295"/>
      <c r="CD30" s="293"/>
      <c r="CE30" s="295"/>
      <c r="CF30" s="295"/>
      <c r="CG30" s="295"/>
      <c r="CH30" s="293"/>
      <c r="CI30" s="295"/>
      <c r="CJ30" s="295"/>
      <c r="CK30" s="295"/>
      <c r="CL30" s="293"/>
      <c r="CM30" s="295"/>
      <c r="CN30" s="295"/>
      <c r="CO30" s="295"/>
      <c r="CP30" s="293">
        <f t="shared" si="47"/>
        <v>0</v>
      </c>
    </row>
    <row r="31" spans="1:94" ht="12" customHeight="1">
      <c r="A31" s="644">
        <v>15</v>
      </c>
      <c r="B31" s="645" t="s">
        <v>63</v>
      </c>
      <c r="C31" s="646" t="s">
        <v>64</v>
      </c>
      <c r="D31" s="647" t="s">
        <v>65</v>
      </c>
      <c r="E31" s="648" t="s">
        <v>439</v>
      </c>
      <c r="F31" s="642">
        <v>133.52000000000001</v>
      </c>
      <c r="G31" s="661">
        <f>AVERAGE(27,28,29)</f>
        <v>28</v>
      </c>
      <c r="H31" s="643">
        <f>F31*G31*365</f>
        <v>1364574.4000000001</v>
      </c>
      <c r="I31" s="291">
        <v>341143.6</v>
      </c>
      <c r="J31" s="295">
        <f>K31</f>
        <v>341144</v>
      </c>
      <c r="K31" s="293">
        <f>L31</f>
        <v>341144</v>
      </c>
      <c r="L31" s="293">
        <f>M31</f>
        <v>341144</v>
      </c>
      <c r="M31" s="293">
        <f>ROUND(28*365*F31/4,0)</f>
        <v>341144</v>
      </c>
      <c r="N31" s="293">
        <f>O31</f>
        <v>353327</v>
      </c>
      <c r="O31" s="293">
        <f>P31</f>
        <v>353327</v>
      </c>
      <c r="P31" s="293">
        <f>Q31</f>
        <v>353327</v>
      </c>
      <c r="Q31" s="292">
        <f>ROUND(29*365*F31/4,0)</f>
        <v>353327</v>
      </c>
      <c r="R31" s="293">
        <f>ROUND(Q31*(1+取值表!$D$8)*取值表!$I$8,0)</f>
        <v>363401</v>
      </c>
      <c r="S31" s="293">
        <f>R31</f>
        <v>363401</v>
      </c>
      <c r="T31" s="293">
        <f>S31</f>
        <v>363401</v>
      </c>
      <c r="U31" s="293">
        <f>T31</f>
        <v>363401</v>
      </c>
      <c r="V31" s="293">
        <f>ROUND(U31*(1+取值表!$D$8),0)</f>
        <v>397197</v>
      </c>
      <c r="W31" s="293">
        <f t="shared" ref="W31:Y31" si="603">V31</f>
        <v>397197</v>
      </c>
      <c r="X31" s="293">
        <f t="shared" si="603"/>
        <v>397197</v>
      </c>
      <c r="Y31" s="293">
        <f t="shared" si="603"/>
        <v>397197</v>
      </c>
      <c r="Z31" s="293">
        <f>ROUND(Y31*(1+取值表!$D$8),0)</f>
        <v>434136</v>
      </c>
      <c r="AA31" s="293">
        <f t="shared" ref="AA31" si="604">Z31</f>
        <v>434136</v>
      </c>
      <c r="AB31" s="293">
        <f t="shared" ref="AB31" si="605">AA31</f>
        <v>434136</v>
      </c>
      <c r="AC31" s="293">
        <f>AB31</f>
        <v>434136</v>
      </c>
      <c r="AD31" s="293">
        <f>ROUND(AC31*(1+取值表!$D$8),0)</f>
        <v>474511</v>
      </c>
      <c r="AE31" s="293">
        <f t="shared" ref="AE31" si="606">AD31</f>
        <v>474511</v>
      </c>
      <c r="AF31" s="293">
        <f t="shared" ref="AF31" si="607">AE31</f>
        <v>474511</v>
      </c>
      <c r="AG31" s="293">
        <f t="shared" ref="AG31" si="608">AF31</f>
        <v>474511</v>
      </c>
      <c r="AH31" s="293">
        <f>ROUND(AG31*(1+取值表!$D$8),0)</f>
        <v>518641</v>
      </c>
      <c r="AI31" s="293">
        <f t="shared" ref="AI31" si="609">AH31</f>
        <v>518641</v>
      </c>
      <c r="AJ31" s="293">
        <f t="shared" ref="AJ31" si="610">AI31</f>
        <v>518641</v>
      </c>
      <c r="AK31" s="293">
        <f t="shared" ref="AK31" si="611">AJ31</f>
        <v>518641</v>
      </c>
      <c r="AL31" s="293">
        <f>ROUND(AK31*(1+取值表!$D$8),0)</f>
        <v>566875</v>
      </c>
      <c r="AM31" s="293">
        <f t="shared" ref="AM31" si="612">AL31</f>
        <v>566875</v>
      </c>
      <c r="AN31" s="293">
        <f t="shared" ref="AN31" si="613">AM31</f>
        <v>566875</v>
      </c>
      <c r="AO31" s="293">
        <f t="shared" ref="AO31" si="614">AN31</f>
        <v>566875</v>
      </c>
      <c r="AP31" s="293">
        <f>ROUND(AO31*(1+取值表!$D$8),0)</f>
        <v>619594</v>
      </c>
      <c r="AQ31" s="293">
        <f t="shared" ref="AQ31" si="615">AP31</f>
        <v>619594</v>
      </c>
      <c r="AR31" s="293">
        <f t="shared" ref="AR31" si="616">AQ31</f>
        <v>619594</v>
      </c>
      <c r="AS31" s="293">
        <f t="shared" ref="AS31" si="617">AR31</f>
        <v>619594</v>
      </c>
      <c r="AT31" s="293">
        <f>ROUND(AS31*(1+取值表!$D$8),0)</f>
        <v>677216</v>
      </c>
      <c r="AU31" s="293">
        <f t="shared" ref="AU31" si="618">AT31</f>
        <v>677216</v>
      </c>
      <c r="AV31" s="293">
        <f t="shared" ref="AV31" si="619">AU31</f>
        <v>677216</v>
      </c>
      <c r="AW31" s="293">
        <f t="shared" ref="AW31" si="620">AV31</f>
        <v>677216</v>
      </c>
      <c r="AX31" s="293">
        <f>ROUND(AW31*(1+取值表!$D$8),0)</f>
        <v>740197</v>
      </c>
      <c r="AY31" s="293">
        <f t="shared" ref="AY31" si="621">AX31</f>
        <v>740197</v>
      </c>
      <c r="AZ31" s="293">
        <f t="shared" ref="AZ31" si="622">AY31</f>
        <v>740197</v>
      </c>
      <c r="BA31" s="293">
        <f t="shared" ref="BA31" si="623">AZ31</f>
        <v>740197</v>
      </c>
      <c r="BB31" s="293">
        <f>ROUND(BA31*(1+取值表!$D$8),0)</f>
        <v>809035</v>
      </c>
      <c r="BC31" s="293">
        <f>BB31</f>
        <v>809035</v>
      </c>
      <c r="BD31" s="293">
        <f t="shared" ref="BD31" si="624">BC31</f>
        <v>809035</v>
      </c>
      <c r="BE31" s="293">
        <f>BD31</f>
        <v>809035</v>
      </c>
      <c r="BF31" s="293">
        <f>ROUND(BE31*(1+取值表!$D$8),0)</f>
        <v>884275</v>
      </c>
      <c r="BG31" s="293">
        <f>BF31</f>
        <v>884275</v>
      </c>
      <c r="BH31" s="293">
        <f t="shared" ref="BH31" si="625">BG31</f>
        <v>884275</v>
      </c>
      <c r="BI31" s="293">
        <f t="shared" ref="BI31" si="626">BH31</f>
        <v>884275</v>
      </c>
      <c r="BJ31" s="293">
        <f>ROUND(BI31*(1+取值表!$D$8),0)</f>
        <v>966513</v>
      </c>
      <c r="BK31" s="293">
        <f t="shared" ref="BK31" si="627">BJ31</f>
        <v>966513</v>
      </c>
      <c r="BL31" s="293">
        <f t="shared" ref="BL31" si="628">BK31</f>
        <v>966513</v>
      </c>
      <c r="BM31" s="293">
        <f t="shared" ref="BM31" si="629">BL31</f>
        <v>966513</v>
      </c>
      <c r="BN31" s="293">
        <f>ROUND(BM31*(1+取值表!$D$8),0)</f>
        <v>1056399</v>
      </c>
      <c r="BO31" s="293">
        <f t="shared" ref="BO31" si="630">BN31</f>
        <v>1056399</v>
      </c>
      <c r="BP31" s="293">
        <f t="shared" ref="BP31" si="631">BO31</f>
        <v>1056399</v>
      </c>
      <c r="BQ31" s="293">
        <f t="shared" ref="BQ31" si="632">BP31</f>
        <v>1056399</v>
      </c>
      <c r="BR31" s="293">
        <f>ROUND(BQ31*(1+取值表!$D$8),0)</f>
        <v>1154644</v>
      </c>
      <c r="BS31" s="293">
        <f t="shared" ref="BS31" si="633">BR31</f>
        <v>1154644</v>
      </c>
      <c r="BT31" s="293">
        <f t="shared" ref="BT31" si="634">BS31</f>
        <v>1154644</v>
      </c>
      <c r="BU31" s="293">
        <f t="shared" ref="BU31" si="635">BT31</f>
        <v>1154644</v>
      </c>
      <c r="BV31" s="293">
        <f>ROUND(BU31*(1+取值表!$D$8),0)</f>
        <v>1262026</v>
      </c>
      <c r="BW31" s="293">
        <f t="shared" ref="BW31" si="636">BV31</f>
        <v>1262026</v>
      </c>
      <c r="BX31" s="293">
        <f t="shared" ref="BX31" si="637">BW31</f>
        <v>1262026</v>
      </c>
      <c r="BY31" s="293">
        <f t="shared" ref="BY31" si="638">BX31</f>
        <v>1262026</v>
      </c>
      <c r="BZ31" s="293">
        <f>ROUND(BY31*(1+取值表!$D$8),0)</f>
        <v>1379394</v>
      </c>
      <c r="CA31" s="293">
        <f t="shared" ref="CA31" si="639">BZ31</f>
        <v>1379394</v>
      </c>
      <c r="CB31" s="293">
        <f t="shared" ref="CB31" si="640">CA31</f>
        <v>1379394</v>
      </c>
      <c r="CC31" s="293">
        <f t="shared" ref="CC31" si="641">CB31</f>
        <v>1379394</v>
      </c>
      <c r="CD31" s="293">
        <f>ROUND(CC31*(1+取值表!$D$8),0)</f>
        <v>1507678</v>
      </c>
      <c r="CE31" s="293">
        <f t="shared" ref="CE31" si="642">CD31</f>
        <v>1507678</v>
      </c>
      <c r="CF31" s="293">
        <f t="shared" ref="CF31" si="643">CE31</f>
        <v>1507678</v>
      </c>
      <c r="CG31" s="293">
        <f t="shared" ref="CG31" si="644">CF31</f>
        <v>1507678</v>
      </c>
      <c r="CH31" s="293">
        <f>ROUND(CG31*(1+取值表!$D$8),0)</f>
        <v>1647892</v>
      </c>
      <c r="CI31" s="293">
        <f>CH31</f>
        <v>1647892</v>
      </c>
      <c r="CJ31" s="293">
        <f t="shared" ref="CJ31" si="645">CI31</f>
        <v>1647892</v>
      </c>
      <c r="CK31" s="293">
        <f t="shared" ref="CK31" si="646">CJ31</f>
        <v>1647892</v>
      </c>
      <c r="CL31" s="293">
        <f>ROUND(CK31*(1+取值表!$D$8),0)</f>
        <v>1801146</v>
      </c>
      <c r="CM31" s="293">
        <f>CL31</f>
        <v>1801146</v>
      </c>
      <c r="CN31" s="293">
        <f t="shared" ref="CN31" si="647">CM31</f>
        <v>1801146</v>
      </c>
      <c r="CO31" s="293">
        <f t="shared" ref="CO31" si="648">CN31</f>
        <v>1801146</v>
      </c>
      <c r="CP31" s="293">
        <f t="shared" si="47"/>
        <v>71820964</v>
      </c>
    </row>
    <row r="32" spans="1:94" ht="12" customHeight="1">
      <c r="A32" s="644"/>
      <c r="B32" s="645"/>
      <c r="C32" s="646"/>
      <c r="D32" s="647"/>
      <c r="E32" s="648"/>
      <c r="F32" s="642"/>
      <c r="G32" s="661"/>
      <c r="H32" s="643"/>
      <c r="I32" s="291"/>
      <c r="J32" s="295"/>
      <c r="K32" s="293"/>
      <c r="L32" s="293"/>
      <c r="M32" s="293"/>
      <c r="N32" s="293"/>
      <c r="O32" s="293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93"/>
      <c r="AI32" s="293"/>
      <c r="AJ32" s="293"/>
      <c r="AK32" s="293"/>
      <c r="AL32" s="293"/>
      <c r="AM32" s="293"/>
      <c r="AN32" s="293"/>
      <c r="AO32" s="293"/>
      <c r="AP32" s="293"/>
      <c r="AQ32" s="293"/>
      <c r="AR32" s="293"/>
      <c r="AS32" s="293"/>
      <c r="AT32" s="293"/>
      <c r="AU32" s="293"/>
      <c r="AV32" s="293"/>
      <c r="AW32" s="293"/>
      <c r="AX32" s="293"/>
      <c r="AY32" s="293"/>
      <c r="AZ32" s="293"/>
      <c r="BA32" s="293"/>
      <c r="BB32" s="293"/>
      <c r="BC32" s="293"/>
      <c r="BD32" s="293"/>
      <c r="BE32" s="293"/>
      <c r="BF32" s="293"/>
      <c r="BG32" s="293"/>
      <c r="BH32" s="293"/>
      <c r="BI32" s="293"/>
      <c r="BJ32" s="293"/>
      <c r="BK32" s="293"/>
      <c r="BL32" s="293"/>
      <c r="BM32" s="293"/>
      <c r="BN32" s="293"/>
      <c r="BO32" s="293"/>
      <c r="BP32" s="293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  <c r="CA32" s="293"/>
      <c r="CB32" s="293"/>
      <c r="CC32" s="293"/>
      <c r="CD32" s="293"/>
      <c r="CE32" s="293"/>
      <c r="CF32" s="293"/>
      <c r="CG32" s="293"/>
      <c r="CH32" s="293"/>
      <c r="CI32" s="293"/>
      <c r="CJ32" s="293"/>
      <c r="CK32" s="293"/>
      <c r="CL32" s="293"/>
      <c r="CM32" s="293"/>
      <c r="CN32" s="293"/>
      <c r="CO32" s="293"/>
      <c r="CP32" s="293">
        <f t="shared" si="47"/>
        <v>0</v>
      </c>
    </row>
    <row r="33" spans="1:94" ht="12" customHeight="1">
      <c r="A33" s="644">
        <v>16</v>
      </c>
      <c r="B33" s="645" t="s">
        <v>66</v>
      </c>
      <c r="C33" s="646" t="s">
        <v>719</v>
      </c>
      <c r="D33" s="647" t="s">
        <v>448</v>
      </c>
      <c r="E33" s="648" t="s">
        <v>439</v>
      </c>
      <c r="F33" s="642">
        <v>140.52000000000001</v>
      </c>
      <c r="G33" s="642">
        <v>27</v>
      </c>
      <c r="H33" s="643">
        <f>F33*G33*365</f>
        <v>1384824.6</v>
      </c>
      <c r="I33" s="291">
        <v>346206.15</v>
      </c>
      <c r="J33" s="295">
        <f>ROUND(27*365*F33/4,0)</f>
        <v>346206</v>
      </c>
      <c r="K33" s="293">
        <f t="shared" ref="K33:N33" si="649">J33</f>
        <v>346206</v>
      </c>
      <c r="L33" s="293">
        <f t="shared" si="649"/>
        <v>346206</v>
      </c>
      <c r="M33" s="293">
        <f t="shared" si="649"/>
        <v>346206</v>
      </c>
      <c r="N33" s="293">
        <f t="shared" si="649"/>
        <v>346206</v>
      </c>
      <c r="O33" s="293">
        <f>N33</f>
        <v>346206</v>
      </c>
      <c r="P33" s="293">
        <f>O33</f>
        <v>346206</v>
      </c>
      <c r="Q33" s="292">
        <f>P33</f>
        <v>346206</v>
      </c>
      <c r="R33" s="293">
        <f>ROUND(Q33*(1+取值表!$D$8)*取值表!$I$8,0)</f>
        <v>356077</v>
      </c>
      <c r="S33" s="293">
        <f>R33</f>
        <v>356077</v>
      </c>
      <c r="T33" s="293">
        <f>S33</f>
        <v>356077</v>
      </c>
      <c r="U33" s="293">
        <f>T33</f>
        <v>356077</v>
      </c>
      <c r="V33" s="293">
        <f>ROUND(U33*(1+取值表!$D$8),0)</f>
        <v>389192</v>
      </c>
      <c r="W33" s="293">
        <f t="shared" ref="W33:Y33" si="650">V33</f>
        <v>389192</v>
      </c>
      <c r="X33" s="293">
        <f t="shared" si="650"/>
        <v>389192</v>
      </c>
      <c r="Y33" s="293">
        <f t="shared" si="650"/>
        <v>389192</v>
      </c>
      <c r="Z33" s="293">
        <f>ROUND(Y33*(1+取值表!$D$8),0)</f>
        <v>425387</v>
      </c>
      <c r="AA33" s="293">
        <f t="shared" ref="AA33" si="651">Z33</f>
        <v>425387</v>
      </c>
      <c r="AB33" s="293">
        <f t="shared" ref="AB33" si="652">AA33</f>
        <v>425387</v>
      </c>
      <c r="AC33" s="293">
        <f>AB33</f>
        <v>425387</v>
      </c>
      <c r="AD33" s="293">
        <f>ROUND(AC33*(1+取值表!$D$8),0)</f>
        <v>464948</v>
      </c>
      <c r="AE33" s="293">
        <f t="shared" ref="AE33" si="653">AD33</f>
        <v>464948</v>
      </c>
      <c r="AF33" s="293">
        <f t="shared" ref="AF33" si="654">AE33</f>
        <v>464948</v>
      </c>
      <c r="AG33" s="293">
        <f t="shared" ref="AG33" si="655">AF33</f>
        <v>464948</v>
      </c>
      <c r="AH33" s="293">
        <f>ROUND(AG33*(1+取值表!$D$8),0)</f>
        <v>508188</v>
      </c>
      <c r="AI33" s="293">
        <f t="shared" ref="AI33" si="656">AH33</f>
        <v>508188</v>
      </c>
      <c r="AJ33" s="293">
        <f t="shared" ref="AJ33" si="657">AI33</f>
        <v>508188</v>
      </c>
      <c r="AK33" s="293">
        <f t="shared" ref="AK33" si="658">AJ33</f>
        <v>508188</v>
      </c>
      <c r="AL33" s="293">
        <f>ROUND(AK33*(1+取值表!$D$8),0)</f>
        <v>555449</v>
      </c>
      <c r="AM33" s="293">
        <f t="shared" ref="AM33" si="659">AL33</f>
        <v>555449</v>
      </c>
      <c r="AN33" s="293">
        <f t="shared" ref="AN33" si="660">AM33</f>
        <v>555449</v>
      </c>
      <c r="AO33" s="293">
        <f t="shared" ref="AO33" si="661">AN33</f>
        <v>555449</v>
      </c>
      <c r="AP33" s="293">
        <f>ROUND(AO33*(1+取值表!$D$8),0)</f>
        <v>607106</v>
      </c>
      <c r="AQ33" s="293">
        <f t="shared" ref="AQ33" si="662">AP33</f>
        <v>607106</v>
      </c>
      <c r="AR33" s="293">
        <f t="shared" ref="AR33" si="663">AQ33</f>
        <v>607106</v>
      </c>
      <c r="AS33" s="293">
        <f t="shared" ref="AS33" si="664">AR33</f>
        <v>607106</v>
      </c>
      <c r="AT33" s="293">
        <f>ROUND(AS33*(1+取值表!$D$8),0)</f>
        <v>663567</v>
      </c>
      <c r="AU33" s="293">
        <f t="shared" ref="AU33" si="665">AT33</f>
        <v>663567</v>
      </c>
      <c r="AV33" s="293">
        <f t="shared" ref="AV33" si="666">AU33</f>
        <v>663567</v>
      </c>
      <c r="AW33" s="293">
        <f t="shared" ref="AW33" si="667">AV33</f>
        <v>663567</v>
      </c>
      <c r="AX33" s="293">
        <f>ROUND(AW33*(1+取值表!$D$8),0)</f>
        <v>725279</v>
      </c>
      <c r="AY33" s="293">
        <f t="shared" ref="AY33" si="668">AX33</f>
        <v>725279</v>
      </c>
      <c r="AZ33" s="293">
        <f t="shared" ref="AZ33" si="669">AY33</f>
        <v>725279</v>
      </c>
      <c r="BA33" s="293">
        <f t="shared" ref="BA33" si="670">AZ33</f>
        <v>725279</v>
      </c>
      <c r="BB33" s="293">
        <f>ROUND(BA33*(1+取值表!$D$8),0)</f>
        <v>792730</v>
      </c>
      <c r="BC33" s="293">
        <f>BB33</f>
        <v>792730</v>
      </c>
      <c r="BD33" s="293">
        <f t="shared" ref="BD33" si="671">BC33</f>
        <v>792730</v>
      </c>
      <c r="BE33" s="293">
        <f>BD33</f>
        <v>792730</v>
      </c>
      <c r="BF33" s="293">
        <f>ROUND(BE33*(1+取值表!$D$8),0)</f>
        <v>866454</v>
      </c>
      <c r="BG33" s="293">
        <f>BF33</f>
        <v>866454</v>
      </c>
      <c r="BH33" s="293">
        <f t="shared" ref="BH33" si="672">BG33</f>
        <v>866454</v>
      </c>
      <c r="BI33" s="293">
        <f t="shared" ref="BI33" si="673">BH33</f>
        <v>866454</v>
      </c>
      <c r="BJ33" s="293">
        <f>ROUND(BI33*(1+取值表!$D$8),0)</f>
        <v>947034</v>
      </c>
      <c r="BK33" s="293">
        <f t="shared" ref="BK33" si="674">BJ33</f>
        <v>947034</v>
      </c>
      <c r="BL33" s="293">
        <f t="shared" ref="BL33" si="675">BK33</f>
        <v>947034</v>
      </c>
      <c r="BM33" s="293">
        <f t="shared" ref="BM33" si="676">BL33</f>
        <v>947034</v>
      </c>
      <c r="BN33" s="293">
        <f>ROUND(BM33*(1+取值表!$D$8),0)</f>
        <v>1035108</v>
      </c>
      <c r="BO33" s="293">
        <f t="shared" ref="BO33" si="677">BN33</f>
        <v>1035108</v>
      </c>
      <c r="BP33" s="293">
        <f t="shared" ref="BP33" si="678">BO33</f>
        <v>1035108</v>
      </c>
      <c r="BQ33" s="293">
        <f t="shared" ref="BQ33" si="679">BP33</f>
        <v>1035108</v>
      </c>
      <c r="BR33" s="293">
        <f>ROUND(BQ33*(1+取值表!$D$8),0)</f>
        <v>1131373</v>
      </c>
      <c r="BS33" s="293">
        <f t="shared" ref="BS33" si="680">BR33</f>
        <v>1131373</v>
      </c>
      <c r="BT33" s="293">
        <f t="shared" ref="BT33" si="681">BS33</f>
        <v>1131373</v>
      </c>
      <c r="BU33" s="293">
        <f t="shared" ref="BU33" si="682">BT33</f>
        <v>1131373</v>
      </c>
      <c r="BV33" s="293">
        <f>ROUND(BU33*(1+取值表!$D$8),0)</f>
        <v>1236591</v>
      </c>
      <c r="BW33" s="293">
        <f t="shared" ref="BW33" si="683">BV33</f>
        <v>1236591</v>
      </c>
      <c r="BX33" s="293">
        <f t="shared" ref="BX33" si="684">BW33</f>
        <v>1236591</v>
      </c>
      <c r="BY33" s="293">
        <f t="shared" ref="BY33" si="685">BX33</f>
        <v>1236591</v>
      </c>
      <c r="BZ33" s="293">
        <f>ROUND(BY33*(1+取值表!$D$8),0)</f>
        <v>1351594</v>
      </c>
      <c r="CA33" s="293">
        <f t="shared" ref="CA33" si="686">BZ33</f>
        <v>1351594</v>
      </c>
      <c r="CB33" s="293">
        <f t="shared" ref="CB33" si="687">CA33</f>
        <v>1351594</v>
      </c>
      <c r="CC33" s="293">
        <f t="shared" ref="CC33" si="688">CB33</f>
        <v>1351594</v>
      </c>
      <c r="CD33" s="293">
        <f>ROUND(CC33*(1+取值表!$D$8),0)</f>
        <v>1477292</v>
      </c>
      <c r="CE33" s="293">
        <f t="shared" ref="CE33" si="689">CD33</f>
        <v>1477292</v>
      </c>
      <c r="CF33" s="293">
        <f t="shared" ref="CF33" si="690">CE33</f>
        <v>1477292</v>
      </c>
      <c r="CG33" s="293">
        <f t="shared" ref="CG33" si="691">CF33</f>
        <v>1477292</v>
      </c>
      <c r="CH33" s="293">
        <f>ROUND(CG33*(1+取值表!$D$8),0)</f>
        <v>1614680</v>
      </c>
      <c r="CI33" s="293">
        <f>CH33</f>
        <v>1614680</v>
      </c>
      <c r="CJ33" s="293">
        <f t="shared" ref="CJ33" si="692">CI33</f>
        <v>1614680</v>
      </c>
      <c r="CK33" s="293">
        <f t="shared" ref="CK33" si="693">CJ33</f>
        <v>1614680</v>
      </c>
      <c r="CL33" s="293">
        <f>ROUND(CK33*(1+取值表!$D$8),0)</f>
        <v>1764845</v>
      </c>
      <c r="CM33" s="293">
        <f>CL33</f>
        <v>1764845</v>
      </c>
      <c r="CN33" s="293">
        <f t="shared" ref="CN33" si="694">CM33</f>
        <v>1764845</v>
      </c>
      <c r="CO33" s="293">
        <f t="shared" ref="CO33" si="695">CN33</f>
        <v>1764845</v>
      </c>
      <c r="CP33" s="293">
        <f t="shared" si="47"/>
        <v>70421224</v>
      </c>
    </row>
    <row r="34" spans="1:94" ht="12" customHeight="1">
      <c r="A34" s="644"/>
      <c r="B34" s="645"/>
      <c r="C34" s="646"/>
      <c r="D34" s="647"/>
      <c r="E34" s="648"/>
      <c r="F34" s="642"/>
      <c r="G34" s="642"/>
      <c r="H34" s="643"/>
      <c r="I34" s="291"/>
      <c r="J34" s="295"/>
      <c r="K34" s="293"/>
      <c r="L34" s="293"/>
      <c r="M34" s="293"/>
      <c r="N34" s="293"/>
      <c r="O34" s="293"/>
      <c r="P34" s="293"/>
      <c r="Q34" s="293"/>
      <c r="R34" s="293"/>
      <c r="S34" s="293"/>
      <c r="T34" s="293"/>
      <c r="U34" s="293"/>
      <c r="V34" s="293"/>
      <c r="W34" s="293"/>
      <c r="X34" s="293"/>
      <c r="Y34" s="293"/>
      <c r="Z34" s="293"/>
      <c r="AA34" s="293"/>
      <c r="AB34" s="293"/>
      <c r="AC34" s="293"/>
      <c r="AD34" s="293">
        <f>ROUND(AC34*(1+取值表!$E$8)*取值表!$I$8,0)</f>
        <v>0</v>
      </c>
      <c r="AE34" s="293"/>
      <c r="AF34" s="293"/>
      <c r="AG34" s="293"/>
      <c r="AH34" s="293">
        <f>ROUND(AG34*(1+取值表!$E$8)*取值表!$I$8,0)</f>
        <v>0</v>
      </c>
      <c r="AI34" s="293"/>
      <c r="AJ34" s="293"/>
      <c r="AK34" s="293"/>
      <c r="AL34" s="293">
        <f>ROUND(AK34*(1+取值表!$E$8)*取值表!$I$8,0)</f>
        <v>0</v>
      </c>
      <c r="AM34" s="293"/>
      <c r="AN34" s="293"/>
      <c r="AO34" s="293"/>
      <c r="AP34" s="293">
        <f>ROUND(AO34*(1+取值表!$E$8)*取值表!$I$8,0)</f>
        <v>0</v>
      </c>
      <c r="AQ34" s="293"/>
      <c r="AR34" s="293"/>
      <c r="AS34" s="293"/>
      <c r="AT34" s="293">
        <f>ROUND(AS34*(1+取值表!$E$8)*取值表!$I$8,0)</f>
        <v>0</v>
      </c>
      <c r="AU34" s="293"/>
      <c r="AV34" s="293"/>
      <c r="AW34" s="293"/>
      <c r="AX34" s="293">
        <f>ROUND(AW34*(1+取值表!$E$8)*取值表!$I$8,0)</f>
        <v>0</v>
      </c>
      <c r="AY34" s="293"/>
      <c r="AZ34" s="293"/>
      <c r="BA34" s="293"/>
      <c r="BB34" s="293">
        <f>ROUND(BA34*(1+取值表!$E$8)*取值表!$I$8,0)</f>
        <v>0</v>
      </c>
      <c r="BC34" s="293"/>
      <c r="BD34" s="293"/>
      <c r="BE34" s="293"/>
      <c r="BF34" s="293"/>
      <c r="BG34" s="293"/>
      <c r="BH34" s="293"/>
      <c r="BI34" s="293"/>
      <c r="BJ34" s="293"/>
      <c r="BK34" s="293"/>
      <c r="BL34" s="293"/>
      <c r="BM34" s="293"/>
      <c r="BN34" s="293"/>
      <c r="BO34" s="293"/>
      <c r="BP34" s="293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  <c r="CA34" s="293"/>
      <c r="CB34" s="293"/>
      <c r="CC34" s="293"/>
      <c r="CD34" s="293"/>
      <c r="CE34" s="293"/>
      <c r="CF34" s="293"/>
      <c r="CG34" s="293"/>
      <c r="CH34" s="293"/>
      <c r="CI34" s="293"/>
      <c r="CJ34" s="293"/>
      <c r="CK34" s="293"/>
      <c r="CL34" s="293"/>
      <c r="CM34" s="293"/>
      <c r="CN34" s="293"/>
      <c r="CO34" s="293"/>
      <c r="CP34" s="293">
        <f t="shared" si="47"/>
        <v>0</v>
      </c>
    </row>
    <row r="35" spans="1:94" ht="12" customHeight="1">
      <c r="A35" s="644">
        <v>17</v>
      </c>
      <c r="B35" s="645" t="s">
        <v>67</v>
      </c>
      <c r="C35" s="646" t="s">
        <v>68</v>
      </c>
      <c r="D35" s="647" t="s">
        <v>69</v>
      </c>
      <c r="E35" s="648" t="s">
        <v>439</v>
      </c>
      <c r="F35" s="642">
        <v>158.51</v>
      </c>
      <c r="G35" s="661">
        <f>AVERAGE(15)</f>
        <v>15</v>
      </c>
      <c r="H35" s="643">
        <f>F35*G35*365</f>
        <v>867842.24999999988</v>
      </c>
      <c r="I35" s="291">
        <v>202496.52</v>
      </c>
      <c r="J35" s="295">
        <f>K35</f>
        <v>216961</v>
      </c>
      <c r="K35" s="293">
        <f>L35</f>
        <v>216961</v>
      </c>
      <c r="L35" s="293">
        <f>M35</f>
        <v>216961</v>
      </c>
      <c r="M35" s="292">
        <f>ROUND(15*365*F35/4,0)</f>
        <v>216961</v>
      </c>
      <c r="N35" s="293">
        <f>ROUND(M35*(1+取值表!$D$8)*取值表!$I$8,0)</f>
        <v>223147</v>
      </c>
      <c r="O35" s="293">
        <f>N35</f>
        <v>223147</v>
      </c>
      <c r="P35" s="293">
        <f>O35</f>
        <v>223147</v>
      </c>
      <c r="Q35" s="293">
        <f>P35</f>
        <v>223147</v>
      </c>
      <c r="R35" s="294">
        <f>ROUND(Q35*(1+取值表!$D$8),0)</f>
        <v>243900</v>
      </c>
      <c r="S35" s="293">
        <f t="shared" ref="S35:T35" si="696">R35</f>
        <v>243900</v>
      </c>
      <c r="T35" s="293">
        <f t="shared" si="696"/>
        <v>243900</v>
      </c>
      <c r="U35" s="293">
        <f>T35</f>
        <v>243900</v>
      </c>
      <c r="V35" s="293">
        <f>ROUND(U35*(1+取值表!$D$8),0)</f>
        <v>266583</v>
      </c>
      <c r="W35" s="293">
        <f t="shared" ref="W35:Y35" si="697">V35</f>
        <v>266583</v>
      </c>
      <c r="X35" s="293">
        <f t="shared" si="697"/>
        <v>266583</v>
      </c>
      <c r="Y35" s="293">
        <f t="shared" si="697"/>
        <v>266583</v>
      </c>
      <c r="Z35" s="293">
        <f>ROUND(Y35*(1+取值表!$D$8),0)</f>
        <v>291375</v>
      </c>
      <c r="AA35" s="293">
        <f t="shared" ref="AA35" si="698">Z35</f>
        <v>291375</v>
      </c>
      <c r="AB35" s="293">
        <f t="shared" ref="AB35" si="699">AA35</f>
        <v>291375</v>
      </c>
      <c r="AC35" s="293">
        <f>AB35</f>
        <v>291375</v>
      </c>
      <c r="AD35" s="293">
        <f>ROUND(AC35*(1+取值表!$D$8),0)</f>
        <v>318473</v>
      </c>
      <c r="AE35" s="293">
        <f t="shared" ref="AE35" si="700">AD35</f>
        <v>318473</v>
      </c>
      <c r="AF35" s="293">
        <f t="shared" ref="AF35" si="701">AE35</f>
        <v>318473</v>
      </c>
      <c r="AG35" s="293">
        <f t="shared" ref="AG35" si="702">AF35</f>
        <v>318473</v>
      </c>
      <c r="AH35" s="293">
        <f>ROUND(AG35*(1+取值表!$D$8),0)</f>
        <v>348091</v>
      </c>
      <c r="AI35" s="293">
        <f t="shared" ref="AI35" si="703">AH35</f>
        <v>348091</v>
      </c>
      <c r="AJ35" s="293">
        <f t="shared" ref="AJ35" si="704">AI35</f>
        <v>348091</v>
      </c>
      <c r="AK35" s="293">
        <f t="shared" ref="AK35" si="705">AJ35</f>
        <v>348091</v>
      </c>
      <c r="AL35" s="293">
        <f>ROUND(AK35*(1+取值表!$D$8),0)</f>
        <v>380463</v>
      </c>
      <c r="AM35" s="293">
        <f t="shared" ref="AM35" si="706">AL35</f>
        <v>380463</v>
      </c>
      <c r="AN35" s="293">
        <f t="shared" ref="AN35" si="707">AM35</f>
        <v>380463</v>
      </c>
      <c r="AO35" s="293">
        <f t="shared" ref="AO35" si="708">AN35</f>
        <v>380463</v>
      </c>
      <c r="AP35" s="293">
        <f>ROUND(AO35*(1+取值表!$D$8),0)</f>
        <v>415846</v>
      </c>
      <c r="AQ35" s="293">
        <f t="shared" ref="AQ35" si="709">AP35</f>
        <v>415846</v>
      </c>
      <c r="AR35" s="293">
        <f t="shared" ref="AR35" si="710">AQ35</f>
        <v>415846</v>
      </c>
      <c r="AS35" s="293">
        <f t="shared" ref="AS35" si="711">AR35</f>
        <v>415846</v>
      </c>
      <c r="AT35" s="293">
        <f>ROUND(AS35*(1+取值表!$D$8),0)</f>
        <v>454520</v>
      </c>
      <c r="AU35" s="293">
        <f t="shared" ref="AU35" si="712">AT35</f>
        <v>454520</v>
      </c>
      <c r="AV35" s="293">
        <f t="shared" ref="AV35" si="713">AU35</f>
        <v>454520</v>
      </c>
      <c r="AW35" s="293">
        <f t="shared" ref="AW35" si="714">AV35</f>
        <v>454520</v>
      </c>
      <c r="AX35" s="293">
        <f>ROUND(AW35*(1+取值表!$D$8),0)</f>
        <v>496790</v>
      </c>
      <c r="AY35" s="293">
        <f t="shared" ref="AY35" si="715">AX35</f>
        <v>496790</v>
      </c>
      <c r="AZ35" s="293">
        <f t="shared" ref="AZ35" si="716">AY35</f>
        <v>496790</v>
      </c>
      <c r="BA35" s="293">
        <f t="shared" ref="BA35" si="717">AZ35</f>
        <v>496790</v>
      </c>
      <c r="BB35" s="293">
        <f>ROUND(BA35*(1+取值表!$D$8),0)</f>
        <v>542991</v>
      </c>
      <c r="BC35" s="293">
        <f>BB35</f>
        <v>542991</v>
      </c>
      <c r="BD35" s="293">
        <f t="shared" ref="BD35" si="718">BC35</f>
        <v>542991</v>
      </c>
      <c r="BE35" s="293">
        <f>BD35</f>
        <v>542991</v>
      </c>
      <c r="BF35" s="293">
        <f>ROUND(BE35*(1+取值表!$D$8),0)</f>
        <v>593489</v>
      </c>
      <c r="BG35" s="293">
        <f>BF35</f>
        <v>593489</v>
      </c>
      <c r="BH35" s="293">
        <f t="shared" ref="BH35" si="719">BG35</f>
        <v>593489</v>
      </c>
      <c r="BI35" s="293">
        <f t="shared" ref="BI35" si="720">BH35</f>
        <v>593489</v>
      </c>
      <c r="BJ35" s="293">
        <f>ROUND(BI35*(1+取值表!$D$8),0)</f>
        <v>648683</v>
      </c>
      <c r="BK35" s="293">
        <f t="shared" ref="BK35" si="721">BJ35</f>
        <v>648683</v>
      </c>
      <c r="BL35" s="293">
        <f t="shared" ref="BL35" si="722">BK35</f>
        <v>648683</v>
      </c>
      <c r="BM35" s="293">
        <f t="shared" ref="BM35" si="723">BL35</f>
        <v>648683</v>
      </c>
      <c r="BN35" s="293">
        <f>ROUND(BM35*(1+取值表!$D$8),0)</f>
        <v>709011</v>
      </c>
      <c r="BO35" s="293">
        <f t="shared" ref="BO35" si="724">BN35</f>
        <v>709011</v>
      </c>
      <c r="BP35" s="293">
        <f t="shared" ref="BP35" si="725">BO35</f>
        <v>709011</v>
      </c>
      <c r="BQ35" s="293">
        <f t="shared" ref="BQ35" si="726">BP35</f>
        <v>709011</v>
      </c>
      <c r="BR35" s="293">
        <f>ROUND(BQ35*(1+取值表!$D$8),0)</f>
        <v>774949</v>
      </c>
      <c r="BS35" s="293">
        <f t="shared" ref="BS35" si="727">BR35</f>
        <v>774949</v>
      </c>
      <c r="BT35" s="293">
        <f t="shared" ref="BT35" si="728">BS35</f>
        <v>774949</v>
      </c>
      <c r="BU35" s="293">
        <f t="shared" ref="BU35" si="729">BT35</f>
        <v>774949</v>
      </c>
      <c r="BV35" s="293">
        <f>ROUND(BU35*(1+取值表!$D$8),0)</f>
        <v>847019</v>
      </c>
      <c r="BW35" s="293">
        <f t="shared" ref="BW35" si="730">BV35</f>
        <v>847019</v>
      </c>
      <c r="BX35" s="293">
        <f t="shared" ref="BX35" si="731">BW35</f>
        <v>847019</v>
      </c>
      <c r="BY35" s="293">
        <f t="shared" ref="BY35" si="732">BX35</f>
        <v>847019</v>
      </c>
      <c r="BZ35" s="293">
        <f>ROUND(BY35*(1+取值表!$D$8),0)</f>
        <v>925792</v>
      </c>
      <c r="CA35" s="293">
        <f t="shared" ref="CA35" si="733">BZ35</f>
        <v>925792</v>
      </c>
      <c r="CB35" s="293">
        <f t="shared" ref="CB35" si="734">CA35</f>
        <v>925792</v>
      </c>
      <c r="CC35" s="293">
        <f t="shared" ref="CC35" si="735">CB35</f>
        <v>925792</v>
      </c>
      <c r="CD35" s="293">
        <f>ROUND(CC35*(1+取值表!$D$8),0)</f>
        <v>1011891</v>
      </c>
      <c r="CE35" s="293">
        <f t="shared" ref="CE35" si="736">CD35</f>
        <v>1011891</v>
      </c>
      <c r="CF35" s="293">
        <f t="shared" ref="CF35" si="737">CE35</f>
        <v>1011891</v>
      </c>
      <c r="CG35" s="293">
        <f t="shared" ref="CG35" si="738">CF35</f>
        <v>1011891</v>
      </c>
      <c r="CH35" s="293">
        <f>ROUND(CG35*(1+取值表!$D$8),0)</f>
        <v>1105997</v>
      </c>
      <c r="CI35" s="293">
        <f>CH35</f>
        <v>1105997</v>
      </c>
      <c r="CJ35" s="293">
        <f t="shared" ref="CJ35" si="739">CI35</f>
        <v>1105997</v>
      </c>
      <c r="CK35" s="293">
        <f t="shared" ref="CK35" si="740">CJ35</f>
        <v>1105997</v>
      </c>
      <c r="CL35" s="293">
        <f>ROUND(CK35*(1+取值表!$D$8),0)</f>
        <v>1208855</v>
      </c>
      <c r="CM35" s="293">
        <f>CL35</f>
        <v>1208855</v>
      </c>
      <c r="CN35" s="293">
        <f t="shared" ref="CN35" si="741">CM35</f>
        <v>1208855</v>
      </c>
      <c r="CO35" s="293">
        <f t="shared" ref="CO35" si="742">CN35</f>
        <v>1208855</v>
      </c>
      <c r="CP35" s="293">
        <f t="shared" si="47"/>
        <v>48099304</v>
      </c>
    </row>
    <row r="36" spans="1:94">
      <c r="A36" s="644"/>
      <c r="B36" s="645"/>
      <c r="C36" s="646"/>
      <c r="D36" s="647"/>
      <c r="E36" s="648"/>
      <c r="F36" s="642"/>
      <c r="G36" s="661"/>
      <c r="H36" s="643"/>
      <c r="I36" s="291"/>
      <c r="J36" s="295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  <c r="AN36" s="293"/>
      <c r="AO36" s="293"/>
      <c r="AP36" s="293"/>
      <c r="AQ36" s="293"/>
      <c r="AR36" s="293"/>
      <c r="AS36" s="293"/>
      <c r="AT36" s="293"/>
      <c r="AU36" s="293"/>
      <c r="AV36" s="293"/>
      <c r="AW36" s="293"/>
      <c r="AX36" s="293"/>
      <c r="AY36" s="293"/>
      <c r="AZ36" s="293"/>
      <c r="BA36" s="293"/>
      <c r="BB36" s="293"/>
      <c r="BC36" s="293"/>
      <c r="BD36" s="293"/>
      <c r="BE36" s="293"/>
      <c r="BF36" s="293"/>
      <c r="BG36" s="293"/>
      <c r="BH36" s="293"/>
      <c r="BI36" s="293"/>
      <c r="BJ36" s="293"/>
      <c r="BK36" s="293"/>
      <c r="BL36" s="293"/>
      <c r="BM36" s="293"/>
      <c r="BN36" s="293"/>
      <c r="BO36" s="293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  <c r="CA36" s="293"/>
      <c r="CB36" s="293"/>
      <c r="CC36" s="293"/>
      <c r="CD36" s="293"/>
      <c r="CE36" s="293"/>
      <c r="CF36" s="293"/>
      <c r="CG36" s="293"/>
      <c r="CH36" s="293"/>
      <c r="CI36" s="293"/>
      <c r="CJ36" s="293"/>
      <c r="CK36" s="293"/>
      <c r="CL36" s="293"/>
      <c r="CM36" s="293"/>
      <c r="CN36" s="293"/>
      <c r="CO36" s="293"/>
      <c r="CP36" s="293">
        <f t="shared" si="47"/>
        <v>0</v>
      </c>
    </row>
    <row r="37" spans="1:94" ht="12" customHeight="1">
      <c r="A37" s="644">
        <v>18</v>
      </c>
      <c r="B37" s="645" t="s">
        <v>70</v>
      </c>
      <c r="C37" s="646" t="s">
        <v>68</v>
      </c>
      <c r="D37" s="647" t="s">
        <v>69</v>
      </c>
      <c r="E37" s="648" t="s">
        <v>439</v>
      </c>
      <c r="F37" s="642">
        <v>44.84</v>
      </c>
      <c r="G37" s="642">
        <f>AVERAGE(14,15)</f>
        <v>14.5</v>
      </c>
      <c r="H37" s="643">
        <f>F37*G37*365</f>
        <v>237315.7</v>
      </c>
      <c r="I37" s="291">
        <v>73649.7</v>
      </c>
      <c r="J37" s="295">
        <f>K37</f>
        <v>61375</v>
      </c>
      <c r="K37" s="293">
        <f>L37</f>
        <v>61375</v>
      </c>
      <c r="L37" s="293">
        <f>M37</f>
        <v>61375</v>
      </c>
      <c r="M37" s="292">
        <f>ROUND(15*F37*365/4,0)</f>
        <v>61375</v>
      </c>
      <c r="N37" s="293">
        <f>ROUND(M37*(1+取值表!$D$8)*取值表!$I$8,0)</f>
        <v>63125</v>
      </c>
      <c r="O37" s="293">
        <f>N37</f>
        <v>63125</v>
      </c>
      <c r="P37" s="293">
        <f>O37</f>
        <v>63125</v>
      </c>
      <c r="Q37" s="293">
        <f>P37</f>
        <v>63125</v>
      </c>
      <c r="R37" s="294">
        <f>ROUND(Q37*(1+取值表!$D$8),0)</f>
        <v>68996</v>
      </c>
      <c r="S37" s="293">
        <f t="shared" ref="S37:T37" si="743">R37</f>
        <v>68996</v>
      </c>
      <c r="T37" s="293">
        <f t="shared" si="743"/>
        <v>68996</v>
      </c>
      <c r="U37" s="293">
        <f>T37</f>
        <v>68996</v>
      </c>
      <c r="V37" s="293">
        <f>ROUND(U37*(1+取值表!$D$8),0)</f>
        <v>75413</v>
      </c>
      <c r="W37" s="293">
        <f t="shared" ref="W37:Y37" si="744">V37</f>
        <v>75413</v>
      </c>
      <c r="X37" s="293">
        <f t="shared" si="744"/>
        <v>75413</v>
      </c>
      <c r="Y37" s="293">
        <f t="shared" si="744"/>
        <v>75413</v>
      </c>
      <c r="Z37" s="293">
        <f>ROUND(Y37*(1+取值表!$D$8),0)</f>
        <v>82426</v>
      </c>
      <c r="AA37" s="293">
        <f t="shared" ref="AA37" si="745">Z37</f>
        <v>82426</v>
      </c>
      <c r="AB37" s="293">
        <f t="shared" ref="AB37" si="746">AA37</f>
        <v>82426</v>
      </c>
      <c r="AC37" s="293">
        <f>AB37</f>
        <v>82426</v>
      </c>
      <c r="AD37" s="293">
        <f>ROUND(AC37*(1+取值表!$D$8),0)</f>
        <v>90092</v>
      </c>
      <c r="AE37" s="293">
        <f t="shared" ref="AE37" si="747">AD37</f>
        <v>90092</v>
      </c>
      <c r="AF37" s="293">
        <f t="shared" ref="AF37" si="748">AE37</f>
        <v>90092</v>
      </c>
      <c r="AG37" s="293">
        <f t="shared" ref="AG37" si="749">AF37</f>
        <v>90092</v>
      </c>
      <c r="AH37" s="293">
        <f>ROUND(AG37*(1+取值表!$D$8),0)</f>
        <v>98471</v>
      </c>
      <c r="AI37" s="293">
        <f t="shared" ref="AI37" si="750">AH37</f>
        <v>98471</v>
      </c>
      <c r="AJ37" s="293">
        <f t="shared" ref="AJ37" si="751">AI37</f>
        <v>98471</v>
      </c>
      <c r="AK37" s="293">
        <f t="shared" ref="AK37" si="752">AJ37</f>
        <v>98471</v>
      </c>
      <c r="AL37" s="293">
        <f>ROUND(AK37*(1+取值表!$D$8),0)</f>
        <v>107629</v>
      </c>
      <c r="AM37" s="293">
        <f t="shared" ref="AM37" si="753">AL37</f>
        <v>107629</v>
      </c>
      <c r="AN37" s="293">
        <f t="shared" ref="AN37" si="754">AM37</f>
        <v>107629</v>
      </c>
      <c r="AO37" s="293">
        <f t="shared" ref="AO37" si="755">AN37</f>
        <v>107629</v>
      </c>
      <c r="AP37" s="293">
        <f>ROUND(AO37*(1+取值表!$D$8),0)</f>
        <v>117638</v>
      </c>
      <c r="AQ37" s="293">
        <f t="shared" ref="AQ37" si="756">AP37</f>
        <v>117638</v>
      </c>
      <c r="AR37" s="293">
        <f t="shared" ref="AR37" si="757">AQ37</f>
        <v>117638</v>
      </c>
      <c r="AS37" s="293">
        <f t="shared" ref="AS37" si="758">AR37</f>
        <v>117638</v>
      </c>
      <c r="AT37" s="293">
        <f>ROUND(AS37*(1+取值表!$D$8),0)</f>
        <v>128578</v>
      </c>
      <c r="AU37" s="293">
        <f t="shared" ref="AU37" si="759">AT37</f>
        <v>128578</v>
      </c>
      <c r="AV37" s="293">
        <f t="shared" ref="AV37" si="760">AU37</f>
        <v>128578</v>
      </c>
      <c r="AW37" s="293">
        <f t="shared" ref="AW37" si="761">AV37</f>
        <v>128578</v>
      </c>
      <c r="AX37" s="293">
        <f>ROUND(AW37*(1+取值表!$D$8),0)</f>
        <v>140536</v>
      </c>
      <c r="AY37" s="293">
        <f t="shared" ref="AY37" si="762">AX37</f>
        <v>140536</v>
      </c>
      <c r="AZ37" s="293">
        <f t="shared" ref="AZ37" si="763">AY37</f>
        <v>140536</v>
      </c>
      <c r="BA37" s="293">
        <f t="shared" ref="BA37" si="764">AZ37</f>
        <v>140536</v>
      </c>
      <c r="BB37" s="293">
        <f>ROUND(BA37*(1+取值表!$D$8),0)</f>
        <v>153606</v>
      </c>
      <c r="BC37" s="293">
        <f>BB37</f>
        <v>153606</v>
      </c>
      <c r="BD37" s="293">
        <f t="shared" ref="BD37" si="765">BC37</f>
        <v>153606</v>
      </c>
      <c r="BE37" s="293">
        <f>BD37</f>
        <v>153606</v>
      </c>
      <c r="BF37" s="293">
        <f>ROUND(BE37*(1+取值表!$D$8),0)</f>
        <v>167891</v>
      </c>
      <c r="BG37" s="293">
        <f>BF37</f>
        <v>167891</v>
      </c>
      <c r="BH37" s="293">
        <f t="shared" ref="BH37" si="766">BG37</f>
        <v>167891</v>
      </c>
      <c r="BI37" s="293">
        <f t="shared" ref="BI37" si="767">BH37</f>
        <v>167891</v>
      </c>
      <c r="BJ37" s="293">
        <f>ROUND(BI37*(1+取值表!$D$8),0)</f>
        <v>183505</v>
      </c>
      <c r="BK37" s="293">
        <f t="shared" ref="BK37" si="768">BJ37</f>
        <v>183505</v>
      </c>
      <c r="BL37" s="293">
        <f t="shared" ref="BL37" si="769">BK37</f>
        <v>183505</v>
      </c>
      <c r="BM37" s="293">
        <f t="shared" ref="BM37" si="770">BL37</f>
        <v>183505</v>
      </c>
      <c r="BN37" s="293">
        <f>ROUND(BM37*(1+取值表!$D$8),0)</f>
        <v>200571</v>
      </c>
      <c r="BO37" s="293">
        <f t="shared" ref="BO37" si="771">BN37</f>
        <v>200571</v>
      </c>
      <c r="BP37" s="293">
        <f t="shared" ref="BP37" si="772">BO37</f>
        <v>200571</v>
      </c>
      <c r="BQ37" s="293">
        <f t="shared" ref="BQ37" si="773">BP37</f>
        <v>200571</v>
      </c>
      <c r="BR37" s="293">
        <f>ROUND(BQ37*(1+取值表!$D$8),0)</f>
        <v>219224</v>
      </c>
      <c r="BS37" s="293">
        <f t="shared" ref="BS37" si="774">BR37</f>
        <v>219224</v>
      </c>
      <c r="BT37" s="293">
        <f t="shared" ref="BT37" si="775">BS37</f>
        <v>219224</v>
      </c>
      <c r="BU37" s="293">
        <f t="shared" ref="BU37" si="776">BT37</f>
        <v>219224</v>
      </c>
      <c r="BV37" s="293">
        <f>ROUND(BU37*(1+取值表!$D$8),0)</f>
        <v>239612</v>
      </c>
      <c r="BW37" s="293">
        <f t="shared" ref="BW37" si="777">BV37</f>
        <v>239612</v>
      </c>
      <c r="BX37" s="293">
        <f t="shared" ref="BX37" si="778">BW37</f>
        <v>239612</v>
      </c>
      <c r="BY37" s="293">
        <f t="shared" ref="BY37" si="779">BX37</f>
        <v>239612</v>
      </c>
      <c r="BZ37" s="293">
        <f>ROUND(BY37*(1+取值表!$D$8),0)</f>
        <v>261896</v>
      </c>
      <c r="CA37" s="293">
        <f t="shared" ref="CA37" si="780">BZ37</f>
        <v>261896</v>
      </c>
      <c r="CB37" s="293">
        <f t="shared" ref="CB37" si="781">CA37</f>
        <v>261896</v>
      </c>
      <c r="CC37" s="293">
        <f t="shared" ref="CC37" si="782">CB37</f>
        <v>261896</v>
      </c>
      <c r="CD37" s="293">
        <f>ROUND(CC37*(1+取值表!$D$8),0)</f>
        <v>286252</v>
      </c>
      <c r="CE37" s="293">
        <f t="shared" ref="CE37" si="783">CD37</f>
        <v>286252</v>
      </c>
      <c r="CF37" s="293">
        <f t="shared" ref="CF37" si="784">CE37</f>
        <v>286252</v>
      </c>
      <c r="CG37" s="293">
        <f t="shared" ref="CG37" si="785">CF37</f>
        <v>286252</v>
      </c>
      <c r="CH37" s="293">
        <f>ROUND(CG37*(1+取值表!$D$8),0)</f>
        <v>312873</v>
      </c>
      <c r="CI37" s="293">
        <f>CH37</f>
        <v>312873</v>
      </c>
      <c r="CJ37" s="293">
        <f t="shared" ref="CJ37" si="786">CI37</f>
        <v>312873</v>
      </c>
      <c r="CK37" s="293">
        <f t="shared" ref="CK37" si="787">CJ37</f>
        <v>312873</v>
      </c>
      <c r="CL37" s="293">
        <f>ROUND(CK37*(1+取值表!$D$8),0)</f>
        <v>341970</v>
      </c>
      <c r="CM37" s="293">
        <f>CL37</f>
        <v>341970</v>
      </c>
      <c r="CN37" s="293">
        <f t="shared" ref="CN37" si="788">CM37</f>
        <v>341970</v>
      </c>
      <c r="CO37" s="293">
        <f t="shared" ref="CO37" si="789">CN37</f>
        <v>341970</v>
      </c>
      <c r="CP37" s="293">
        <f t="shared" si="47"/>
        <v>13606716</v>
      </c>
    </row>
    <row r="38" spans="1:94">
      <c r="A38" s="644"/>
      <c r="B38" s="645"/>
      <c r="C38" s="646"/>
      <c r="D38" s="647"/>
      <c r="E38" s="648"/>
      <c r="F38" s="642"/>
      <c r="G38" s="642"/>
      <c r="H38" s="643"/>
      <c r="I38" s="291"/>
      <c r="J38" s="295"/>
      <c r="K38" s="293"/>
      <c r="L38" s="293"/>
      <c r="M38" s="293"/>
      <c r="N38" s="293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  <c r="AR38" s="293"/>
      <c r="AS38" s="293"/>
      <c r="AT38" s="293"/>
      <c r="AU38" s="293"/>
      <c r="AV38" s="293"/>
      <c r="AW38" s="293"/>
      <c r="AX38" s="293"/>
      <c r="AY38" s="293"/>
      <c r="AZ38" s="293"/>
      <c r="BA38" s="293"/>
      <c r="BB38" s="293"/>
      <c r="BC38" s="293"/>
      <c r="BD38" s="293"/>
      <c r="BE38" s="293"/>
      <c r="BF38" s="293"/>
      <c r="BG38" s="293"/>
      <c r="BH38" s="293"/>
      <c r="BI38" s="293"/>
      <c r="BJ38" s="293"/>
      <c r="BK38" s="293"/>
      <c r="BL38" s="293"/>
      <c r="BM38" s="293"/>
      <c r="BN38" s="293"/>
      <c r="BO38" s="293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  <c r="CC38" s="293"/>
      <c r="CD38" s="293"/>
      <c r="CE38" s="293"/>
      <c r="CF38" s="293"/>
      <c r="CG38" s="293"/>
      <c r="CH38" s="293"/>
      <c r="CI38" s="293"/>
      <c r="CJ38" s="293"/>
      <c r="CK38" s="293"/>
      <c r="CL38" s="293"/>
      <c r="CM38" s="293"/>
      <c r="CN38" s="293"/>
      <c r="CO38" s="293"/>
      <c r="CP38" s="293">
        <f t="shared" si="47"/>
        <v>0</v>
      </c>
    </row>
    <row r="39" spans="1:94" ht="12" customHeight="1">
      <c r="A39" s="644">
        <v>19</v>
      </c>
      <c r="B39" s="645" t="s">
        <v>71</v>
      </c>
      <c r="C39" s="646" t="s">
        <v>18</v>
      </c>
      <c r="D39" s="647" t="s">
        <v>72</v>
      </c>
      <c r="E39" s="648" t="s">
        <v>439</v>
      </c>
      <c r="F39" s="642">
        <v>146.35</v>
      </c>
      <c r="G39" s="642">
        <v>22</v>
      </c>
      <c r="H39" s="643">
        <f>F39*G39*365</f>
        <v>1175190.5</v>
      </c>
      <c r="I39" s="291"/>
      <c r="J39" s="295">
        <f>ROUND(G39*F39*365/4,0)</f>
        <v>293798</v>
      </c>
      <c r="K39" s="293">
        <f>J39</f>
        <v>293798</v>
      </c>
      <c r="L39" s="292">
        <f>K39</f>
        <v>293798</v>
      </c>
      <c r="M39" s="293">
        <f>L39</f>
        <v>293798</v>
      </c>
      <c r="N39" s="293">
        <f>ROUND(M39*(1+取值表!$D$8)*取值表!$I$8,0)</f>
        <v>302175</v>
      </c>
      <c r="O39" s="293">
        <f>N39</f>
        <v>302175</v>
      </c>
      <c r="P39" s="293">
        <f>O39</f>
        <v>302175</v>
      </c>
      <c r="Q39" s="293">
        <f>P39</f>
        <v>302175</v>
      </c>
      <c r="R39" s="294">
        <f>ROUND(Q39*(1+取值表!$D$8),0)</f>
        <v>330277</v>
      </c>
      <c r="S39" s="293">
        <f t="shared" ref="S39:T39" si="790">R39</f>
        <v>330277</v>
      </c>
      <c r="T39" s="293">
        <f t="shared" si="790"/>
        <v>330277</v>
      </c>
      <c r="U39" s="293">
        <f>T39</f>
        <v>330277</v>
      </c>
      <c r="V39" s="293">
        <f>ROUND(U39*(1+取值表!$D$8),0)</f>
        <v>360993</v>
      </c>
      <c r="W39" s="293">
        <f t="shared" ref="W39:Y39" si="791">V39</f>
        <v>360993</v>
      </c>
      <c r="X39" s="293">
        <f t="shared" si="791"/>
        <v>360993</v>
      </c>
      <c r="Y39" s="293">
        <f t="shared" si="791"/>
        <v>360993</v>
      </c>
      <c r="Z39" s="293">
        <f>ROUND(Y39*(1+取值表!$D$8),0)</f>
        <v>394565</v>
      </c>
      <c r="AA39" s="293">
        <f t="shared" ref="AA39" si="792">Z39</f>
        <v>394565</v>
      </c>
      <c r="AB39" s="293">
        <f t="shared" ref="AB39" si="793">AA39</f>
        <v>394565</v>
      </c>
      <c r="AC39" s="293">
        <f>AB39</f>
        <v>394565</v>
      </c>
      <c r="AD39" s="293">
        <f>ROUND(AC39*(1+取值表!$D$8),0)</f>
        <v>431260</v>
      </c>
      <c r="AE39" s="293">
        <f t="shared" ref="AE39" si="794">AD39</f>
        <v>431260</v>
      </c>
      <c r="AF39" s="293">
        <f t="shared" ref="AF39" si="795">AE39</f>
        <v>431260</v>
      </c>
      <c r="AG39" s="293">
        <f t="shared" ref="AG39" si="796">AF39</f>
        <v>431260</v>
      </c>
      <c r="AH39" s="293">
        <f>ROUND(AG39*(1+取值表!$D$8),0)</f>
        <v>471367</v>
      </c>
      <c r="AI39" s="293">
        <f t="shared" ref="AI39" si="797">AH39</f>
        <v>471367</v>
      </c>
      <c r="AJ39" s="293">
        <f t="shared" ref="AJ39" si="798">AI39</f>
        <v>471367</v>
      </c>
      <c r="AK39" s="293">
        <f t="shared" ref="AK39" si="799">AJ39</f>
        <v>471367</v>
      </c>
      <c r="AL39" s="293">
        <f>ROUND(AK39*(1+取值表!$D$8),0)</f>
        <v>515204</v>
      </c>
      <c r="AM39" s="293">
        <f t="shared" ref="AM39" si="800">AL39</f>
        <v>515204</v>
      </c>
      <c r="AN39" s="293">
        <f t="shared" ref="AN39" si="801">AM39</f>
        <v>515204</v>
      </c>
      <c r="AO39" s="293">
        <f t="shared" ref="AO39" si="802">AN39</f>
        <v>515204</v>
      </c>
      <c r="AP39" s="293">
        <f>ROUND(AO39*(1+取值表!$D$8),0)</f>
        <v>563118</v>
      </c>
      <c r="AQ39" s="293">
        <f t="shared" ref="AQ39" si="803">AP39</f>
        <v>563118</v>
      </c>
      <c r="AR39" s="293">
        <f t="shared" ref="AR39" si="804">AQ39</f>
        <v>563118</v>
      </c>
      <c r="AS39" s="293">
        <f t="shared" ref="AS39" si="805">AR39</f>
        <v>563118</v>
      </c>
      <c r="AT39" s="293">
        <f>ROUND(AS39*(1+取值表!$D$8),0)</f>
        <v>615488</v>
      </c>
      <c r="AU39" s="293">
        <f t="shared" ref="AU39" si="806">AT39</f>
        <v>615488</v>
      </c>
      <c r="AV39" s="293">
        <f t="shared" ref="AV39" si="807">AU39</f>
        <v>615488</v>
      </c>
      <c r="AW39" s="293">
        <f t="shared" ref="AW39" si="808">AV39</f>
        <v>615488</v>
      </c>
      <c r="AX39" s="293">
        <f>ROUND(AW39*(1+取值表!$D$8),0)</f>
        <v>672728</v>
      </c>
      <c r="AY39" s="293">
        <f t="shared" ref="AY39" si="809">AX39</f>
        <v>672728</v>
      </c>
      <c r="AZ39" s="293">
        <f t="shared" ref="AZ39" si="810">AY39</f>
        <v>672728</v>
      </c>
      <c r="BA39" s="293">
        <f t="shared" ref="BA39" si="811">AZ39</f>
        <v>672728</v>
      </c>
      <c r="BB39" s="293">
        <f>ROUND(BA39*(1+取值表!$D$8),0)</f>
        <v>735292</v>
      </c>
      <c r="BC39" s="293">
        <f>BB39</f>
        <v>735292</v>
      </c>
      <c r="BD39" s="293">
        <f t="shared" ref="BD39" si="812">BC39</f>
        <v>735292</v>
      </c>
      <c r="BE39" s="293">
        <f>BD39</f>
        <v>735292</v>
      </c>
      <c r="BF39" s="293">
        <f>ROUND(BE39*(1+取值表!$D$8),0)</f>
        <v>803674</v>
      </c>
      <c r="BG39" s="293">
        <f>BF39</f>
        <v>803674</v>
      </c>
      <c r="BH39" s="293">
        <f t="shared" ref="BH39" si="813">BG39</f>
        <v>803674</v>
      </c>
      <c r="BI39" s="293">
        <f t="shared" ref="BI39" si="814">BH39</f>
        <v>803674</v>
      </c>
      <c r="BJ39" s="293">
        <f>ROUND(BI39*(1+取值表!$D$8),0)</f>
        <v>878416</v>
      </c>
      <c r="BK39" s="293">
        <f t="shared" ref="BK39" si="815">BJ39</f>
        <v>878416</v>
      </c>
      <c r="BL39" s="293">
        <f t="shared" ref="BL39" si="816">BK39</f>
        <v>878416</v>
      </c>
      <c r="BM39" s="293">
        <f t="shared" ref="BM39" si="817">BL39</f>
        <v>878416</v>
      </c>
      <c r="BN39" s="293">
        <f>ROUND(BM39*(1+取值表!$D$8),0)</f>
        <v>960109</v>
      </c>
      <c r="BO39" s="293">
        <f t="shared" ref="BO39" si="818">BN39</f>
        <v>960109</v>
      </c>
      <c r="BP39" s="293">
        <f t="shared" ref="BP39" si="819">BO39</f>
        <v>960109</v>
      </c>
      <c r="BQ39" s="293">
        <f t="shared" ref="BQ39" si="820">BP39</f>
        <v>960109</v>
      </c>
      <c r="BR39" s="293">
        <f>ROUND(BQ39*(1+取值表!$D$8),0)</f>
        <v>1049399</v>
      </c>
      <c r="BS39" s="293">
        <f t="shared" ref="BS39" si="821">BR39</f>
        <v>1049399</v>
      </c>
      <c r="BT39" s="293">
        <f t="shared" ref="BT39" si="822">BS39</f>
        <v>1049399</v>
      </c>
      <c r="BU39" s="293">
        <f t="shared" ref="BU39" si="823">BT39</f>
        <v>1049399</v>
      </c>
      <c r="BV39" s="293">
        <f>ROUND(BU39*(1+取值表!$D$8),0)</f>
        <v>1146993</v>
      </c>
      <c r="BW39" s="293">
        <f t="shared" ref="BW39" si="824">BV39</f>
        <v>1146993</v>
      </c>
      <c r="BX39" s="293">
        <f t="shared" ref="BX39" si="825">BW39</f>
        <v>1146993</v>
      </c>
      <c r="BY39" s="293">
        <f t="shared" ref="BY39" si="826">BX39</f>
        <v>1146993</v>
      </c>
      <c r="BZ39" s="293">
        <f>ROUND(BY39*(1+取值表!$D$8),0)</f>
        <v>1253663</v>
      </c>
      <c r="CA39" s="293">
        <f t="shared" ref="CA39" si="827">BZ39</f>
        <v>1253663</v>
      </c>
      <c r="CB39" s="293">
        <f t="shared" ref="CB39" si="828">CA39</f>
        <v>1253663</v>
      </c>
      <c r="CC39" s="293">
        <f t="shared" ref="CC39" si="829">CB39</f>
        <v>1253663</v>
      </c>
      <c r="CD39" s="293">
        <f>ROUND(CC39*(1+取值表!$D$8),0)</f>
        <v>1370254</v>
      </c>
      <c r="CE39" s="293">
        <f t="shared" ref="CE39" si="830">CD39</f>
        <v>1370254</v>
      </c>
      <c r="CF39" s="293">
        <f t="shared" ref="CF39" si="831">CE39</f>
        <v>1370254</v>
      </c>
      <c r="CG39" s="293">
        <f t="shared" ref="CG39" si="832">CF39</f>
        <v>1370254</v>
      </c>
      <c r="CH39" s="293">
        <f>ROUND(CG39*(1+取值表!$D$8),0)</f>
        <v>1497688</v>
      </c>
      <c r="CI39" s="293">
        <f>CH39</f>
        <v>1497688</v>
      </c>
      <c r="CJ39" s="293">
        <f t="shared" ref="CJ39" si="833">CI39</f>
        <v>1497688</v>
      </c>
      <c r="CK39" s="293">
        <f t="shared" ref="CK39" si="834">CJ39</f>
        <v>1497688</v>
      </c>
      <c r="CL39" s="293">
        <f>ROUND(CK39*(1+取值表!$D$8),0)</f>
        <v>1636973</v>
      </c>
      <c r="CM39" s="293">
        <f>CL39</f>
        <v>1636973</v>
      </c>
      <c r="CN39" s="293">
        <f t="shared" ref="CN39" si="835">CM39</f>
        <v>1636973</v>
      </c>
      <c r="CO39" s="293">
        <f t="shared" ref="CO39" si="836">CN39</f>
        <v>1636973</v>
      </c>
      <c r="CP39" s="293">
        <f t="shared" si="47"/>
        <v>65133736</v>
      </c>
    </row>
    <row r="40" spans="1:94" ht="12" customHeight="1">
      <c r="A40" s="644"/>
      <c r="B40" s="645"/>
      <c r="C40" s="646"/>
      <c r="D40" s="647"/>
      <c r="E40" s="648"/>
      <c r="F40" s="642"/>
      <c r="G40" s="642"/>
      <c r="H40" s="643"/>
      <c r="I40" s="291"/>
      <c r="J40" s="295"/>
      <c r="K40" s="293"/>
      <c r="L40" s="293"/>
      <c r="M40" s="293"/>
      <c r="N40" s="293"/>
      <c r="O40" s="293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3"/>
      <c r="AH40" s="293"/>
      <c r="AI40" s="293"/>
      <c r="AJ40" s="293"/>
      <c r="AK40" s="293"/>
      <c r="AL40" s="293"/>
      <c r="AM40" s="293"/>
      <c r="AN40" s="293"/>
      <c r="AO40" s="293"/>
      <c r="AP40" s="293"/>
      <c r="AQ40" s="293"/>
      <c r="AR40" s="293"/>
      <c r="AS40" s="293"/>
      <c r="AT40" s="293"/>
      <c r="AU40" s="293"/>
      <c r="AV40" s="293"/>
      <c r="AW40" s="293"/>
      <c r="AX40" s="293"/>
      <c r="AY40" s="293"/>
      <c r="AZ40" s="293"/>
      <c r="BA40" s="293"/>
      <c r="BB40" s="293"/>
      <c r="BC40" s="293"/>
      <c r="BD40" s="293"/>
      <c r="BE40" s="293"/>
      <c r="BF40" s="293"/>
      <c r="BG40" s="293"/>
      <c r="BH40" s="293"/>
      <c r="BI40" s="293"/>
      <c r="BJ40" s="293"/>
      <c r="BK40" s="293"/>
      <c r="BL40" s="293"/>
      <c r="BM40" s="293"/>
      <c r="BN40" s="293"/>
      <c r="BO40" s="293"/>
      <c r="BP40" s="29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  <c r="CA40" s="293"/>
      <c r="CB40" s="293"/>
      <c r="CC40" s="293"/>
      <c r="CD40" s="293"/>
      <c r="CE40" s="293"/>
      <c r="CF40" s="293"/>
      <c r="CG40" s="293"/>
      <c r="CH40" s="293"/>
      <c r="CI40" s="293"/>
      <c r="CJ40" s="293"/>
      <c r="CK40" s="293"/>
      <c r="CL40" s="293"/>
      <c r="CM40" s="293"/>
      <c r="CN40" s="293"/>
      <c r="CO40" s="293"/>
      <c r="CP40" s="293">
        <f t="shared" si="47"/>
        <v>0</v>
      </c>
    </row>
    <row r="41" spans="1:94" ht="12" customHeight="1">
      <c r="A41" s="644">
        <v>20</v>
      </c>
      <c r="B41" s="645" t="s">
        <v>73</v>
      </c>
      <c r="C41" s="646" t="s">
        <v>720</v>
      </c>
      <c r="D41" s="647" t="s">
        <v>74</v>
      </c>
      <c r="E41" s="648" t="s">
        <v>439</v>
      </c>
      <c r="F41" s="642">
        <v>57.64</v>
      </c>
      <c r="G41" s="642">
        <v>23</v>
      </c>
      <c r="H41" s="643">
        <f>F41*G41*365</f>
        <v>483887.8</v>
      </c>
      <c r="I41" s="291"/>
      <c r="J41" s="295">
        <f>ROUND(F41*G41*365/4,0)</f>
        <v>120972</v>
      </c>
      <c r="K41" s="292">
        <f>J41</f>
        <v>120972</v>
      </c>
      <c r="L41" s="293">
        <f>K41</f>
        <v>120972</v>
      </c>
      <c r="M41" s="293">
        <f>L41</f>
        <v>120972</v>
      </c>
      <c r="N41" s="293">
        <f>ROUND(M41*(1+取值表!$D$8)*取值表!$I$8,0)</f>
        <v>124421</v>
      </c>
      <c r="O41" s="293">
        <f>N41</f>
        <v>124421</v>
      </c>
      <c r="P41" s="293">
        <f>O41</f>
        <v>124421</v>
      </c>
      <c r="Q41" s="293">
        <f>P41</f>
        <v>124421</v>
      </c>
      <c r="R41" s="294">
        <f>ROUND(Q41*(1+取值表!$D$8),0)</f>
        <v>135992</v>
      </c>
      <c r="S41" s="293">
        <f t="shared" ref="S41:T41" si="837">R41</f>
        <v>135992</v>
      </c>
      <c r="T41" s="293">
        <f t="shared" si="837"/>
        <v>135992</v>
      </c>
      <c r="U41" s="293">
        <f>T41</f>
        <v>135992</v>
      </c>
      <c r="V41" s="293">
        <f>ROUND(U41*(1+取值表!$D$8),0)</f>
        <v>148639</v>
      </c>
      <c r="W41" s="293">
        <f t="shared" ref="W41:Y41" si="838">V41</f>
        <v>148639</v>
      </c>
      <c r="X41" s="293">
        <f t="shared" si="838"/>
        <v>148639</v>
      </c>
      <c r="Y41" s="293">
        <f t="shared" si="838"/>
        <v>148639</v>
      </c>
      <c r="Z41" s="293">
        <f>ROUND(Y41*(1+取值表!$D$8),0)</f>
        <v>162462</v>
      </c>
      <c r="AA41" s="293">
        <f t="shared" ref="AA41" si="839">Z41</f>
        <v>162462</v>
      </c>
      <c r="AB41" s="293">
        <f t="shared" ref="AB41" si="840">AA41</f>
        <v>162462</v>
      </c>
      <c r="AC41" s="293">
        <f>AB41</f>
        <v>162462</v>
      </c>
      <c r="AD41" s="293">
        <f>ROUND(AC41*(1+取值表!$D$8),0)</f>
        <v>177571</v>
      </c>
      <c r="AE41" s="293">
        <f t="shared" ref="AE41" si="841">AD41</f>
        <v>177571</v>
      </c>
      <c r="AF41" s="293">
        <f t="shared" ref="AF41" si="842">AE41</f>
        <v>177571</v>
      </c>
      <c r="AG41" s="293">
        <f t="shared" ref="AG41" si="843">AF41</f>
        <v>177571</v>
      </c>
      <c r="AH41" s="293">
        <f>ROUND(AG41*(1+取值表!$D$8),0)</f>
        <v>194085</v>
      </c>
      <c r="AI41" s="293">
        <f t="shared" ref="AI41" si="844">AH41</f>
        <v>194085</v>
      </c>
      <c r="AJ41" s="293">
        <f t="shared" ref="AJ41" si="845">AI41</f>
        <v>194085</v>
      </c>
      <c r="AK41" s="293">
        <f t="shared" ref="AK41" si="846">AJ41</f>
        <v>194085</v>
      </c>
      <c r="AL41" s="293">
        <f>ROUND(AK41*(1+取值表!$D$8),0)</f>
        <v>212135</v>
      </c>
      <c r="AM41" s="293">
        <f t="shared" ref="AM41" si="847">AL41</f>
        <v>212135</v>
      </c>
      <c r="AN41" s="293">
        <f t="shared" ref="AN41" si="848">AM41</f>
        <v>212135</v>
      </c>
      <c r="AO41" s="293">
        <f t="shared" ref="AO41" si="849">AN41</f>
        <v>212135</v>
      </c>
      <c r="AP41" s="293">
        <f>ROUND(AO41*(1+取值表!$D$8),0)</f>
        <v>231864</v>
      </c>
      <c r="AQ41" s="293">
        <f t="shared" ref="AQ41" si="850">AP41</f>
        <v>231864</v>
      </c>
      <c r="AR41" s="293">
        <f t="shared" ref="AR41" si="851">AQ41</f>
        <v>231864</v>
      </c>
      <c r="AS41" s="293">
        <f t="shared" ref="AS41" si="852">AR41</f>
        <v>231864</v>
      </c>
      <c r="AT41" s="293">
        <f>ROUND(AS41*(1+取值表!$D$8),0)</f>
        <v>253427</v>
      </c>
      <c r="AU41" s="293">
        <f t="shared" ref="AU41" si="853">AT41</f>
        <v>253427</v>
      </c>
      <c r="AV41" s="293">
        <f t="shared" ref="AV41" si="854">AU41</f>
        <v>253427</v>
      </c>
      <c r="AW41" s="293">
        <f t="shared" ref="AW41" si="855">AV41</f>
        <v>253427</v>
      </c>
      <c r="AX41" s="293">
        <f>ROUND(AW41*(1+取值表!$D$8),0)</f>
        <v>276996</v>
      </c>
      <c r="AY41" s="293">
        <f t="shared" ref="AY41" si="856">AX41</f>
        <v>276996</v>
      </c>
      <c r="AZ41" s="293">
        <f t="shared" ref="AZ41" si="857">AY41</f>
        <v>276996</v>
      </c>
      <c r="BA41" s="293">
        <f t="shared" ref="BA41" si="858">AZ41</f>
        <v>276996</v>
      </c>
      <c r="BB41" s="293">
        <f>ROUND(BA41*(1+取值表!$D$8),0)</f>
        <v>302757</v>
      </c>
      <c r="BC41" s="293">
        <f>BB41</f>
        <v>302757</v>
      </c>
      <c r="BD41" s="293">
        <f t="shared" ref="BD41" si="859">BC41</f>
        <v>302757</v>
      </c>
      <c r="BE41" s="293">
        <f>BD41</f>
        <v>302757</v>
      </c>
      <c r="BF41" s="293">
        <f>ROUND(BE41*(1+取值表!$D$8),0)</f>
        <v>330913</v>
      </c>
      <c r="BG41" s="293">
        <f>BF41</f>
        <v>330913</v>
      </c>
      <c r="BH41" s="293">
        <f t="shared" ref="BH41" si="860">BG41</f>
        <v>330913</v>
      </c>
      <c r="BI41" s="293">
        <f t="shared" ref="BI41" si="861">BH41</f>
        <v>330913</v>
      </c>
      <c r="BJ41" s="293">
        <f>ROUND(BI41*(1+取值表!$D$8),0)</f>
        <v>361688</v>
      </c>
      <c r="BK41" s="293">
        <f t="shared" ref="BK41" si="862">BJ41</f>
        <v>361688</v>
      </c>
      <c r="BL41" s="293">
        <f t="shared" ref="BL41" si="863">BK41</f>
        <v>361688</v>
      </c>
      <c r="BM41" s="293">
        <f t="shared" ref="BM41" si="864">BL41</f>
        <v>361688</v>
      </c>
      <c r="BN41" s="293">
        <f>ROUND(BM41*(1+取值表!$D$8),0)</f>
        <v>395325</v>
      </c>
      <c r="BO41" s="293">
        <f t="shared" ref="BO41" si="865">BN41</f>
        <v>395325</v>
      </c>
      <c r="BP41" s="293">
        <f t="shared" ref="BP41" si="866">BO41</f>
        <v>395325</v>
      </c>
      <c r="BQ41" s="293">
        <f t="shared" ref="BQ41" si="867">BP41</f>
        <v>395325</v>
      </c>
      <c r="BR41" s="293">
        <f>ROUND(BQ41*(1+取值表!$D$8),0)</f>
        <v>432090</v>
      </c>
      <c r="BS41" s="293">
        <f t="shared" ref="BS41" si="868">BR41</f>
        <v>432090</v>
      </c>
      <c r="BT41" s="293">
        <f t="shared" ref="BT41" si="869">BS41</f>
        <v>432090</v>
      </c>
      <c r="BU41" s="293">
        <f t="shared" ref="BU41" si="870">BT41</f>
        <v>432090</v>
      </c>
      <c r="BV41" s="293">
        <f>ROUND(BU41*(1+取值表!$D$8),0)</f>
        <v>472274</v>
      </c>
      <c r="BW41" s="293">
        <f t="shared" ref="BW41" si="871">BV41</f>
        <v>472274</v>
      </c>
      <c r="BX41" s="293">
        <f t="shared" ref="BX41" si="872">BW41</f>
        <v>472274</v>
      </c>
      <c r="BY41" s="293">
        <f t="shared" ref="BY41" si="873">BX41</f>
        <v>472274</v>
      </c>
      <c r="BZ41" s="293">
        <f>ROUND(BY41*(1+取值表!$D$8),0)</f>
        <v>516195</v>
      </c>
      <c r="CA41" s="293">
        <f t="shared" ref="CA41" si="874">BZ41</f>
        <v>516195</v>
      </c>
      <c r="CB41" s="293">
        <f t="shared" ref="CB41" si="875">CA41</f>
        <v>516195</v>
      </c>
      <c r="CC41" s="293">
        <f t="shared" ref="CC41" si="876">CB41</f>
        <v>516195</v>
      </c>
      <c r="CD41" s="293">
        <f>ROUND(CC41*(1+取值表!$D$8),0)</f>
        <v>564201</v>
      </c>
      <c r="CE41" s="293">
        <f t="shared" ref="CE41" si="877">CD41</f>
        <v>564201</v>
      </c>
      <c r="CF41" s="293">
        <f t="shared" ref="CF41" si="878">CE41</f>
        <v>564201</v>
      </c>
      <c r="CG41" s="293">
        <f t="shared" ref="CG41" si="879">CF41</f>
        <v>564201</v>
      </c>
      <c r="CH41" s="293">
        <f>ROUND(CG41*(1+取值表!$D$8),0)</f>
        <v>616672</v>
      </c>
      <c r="CI41" s="293">
        <f>CH41</f>
        <v>616672</v>
      </c>
      <c r="CJ41" s="293">
        <f t="shared" ref="CJ41" si="880">CI41</f>
        <v>616672</v>
      </c>
      <c r="CK41" s="293">
        <f t="shared" ref="CK41" si="881">CJ41</f>
        <v>616672</v>
      </c>
      <c r="CL41" s="293">
        <f>ROUND(CK41*(1+取值表!$D$8),0)</f>
        <v>674022</v>
      </c>
      <c r="CM41" s="293">
        <f>CL41</f>
        <v>674022</v>
      </c>
      <c r="CN41" s="293">
        <f t="shared" ref="CN41" si="882">CM41</f>
        <v>674022</v>
      </c>
      <c r="CO41" s="293">
        <f t="shared" ref="CO41" si="883">CN41</f>
        <v>674022</v>
      </c>
      <c r="CP41" s="293">
        <f t="shared" si="47"/>
        <v>26818804</v>
      </c>
    </row>
    <row r="42" spans="1:94" ht="12" customHeight="1">
      <c r="A42" s="644"/>
      <c r="B42" s="645"/>
      <c r="C42" s="646"/>
      <c r="D42" s="647"/>
      <c r="E42" s="648"/>
      <c r="F42" s="642"/>
      <c r="G42" s="642"/>
      <c r="H42" s="643"/>
      <c r="I42" s="291"/>
      <c r="J42" s="295"/>
      <c r="K42" s="293"/>
      <c r="L42" s="293"/>
      <c r="M42" s="293"/>
      <c r="N42" s="293"/>
      <c r="O42" s="293"/>
      <c r="P42" s="293"/>
      <c r="Q42" s="293"/>
      <c r="R42" s="293"/>
      <c r="S42" s="293"/>
      <c r="T42" s="293"/>
      <c r="U42" s="293"/>
      <c r="V42" s="293"/>
      <c r="W42" s="293"/>
      <c r="X42" s="293"/>
      <c r="Y42" s="293"/>
      <c r="Z42" s="293"/>
      <c r="AA42" s="293"/>
      <c r="AB42" s="293"/>
      <c r="AC42" s="293"/>
      <c r="AD42" s="293"/>
      <c r="AE42" s="293"/>
      <c r="AF42" s="293"/>
      <c r="AG42" s="293"/>
      <c r="AH42" s="293"/>
      <c r="AI42" s="293"/>
      <c r="AJ42" s="293"/>
      <c r="AK42" s="293"/>
      <c r="AL42" s="293"/>
      <c r="AM42" s="293"/>
      <c r="AN42" s="293"/>
      <c r="AO42" s="293"/>
      <c r="AP42" s="293"/>
      <c r="AQ42" s="293"/>
      <c r="AR42" s="293"/>
      <c r="AS42" s="293"/>
      <c r="AT42" s="293"/>
      <c r="AU42" s="293"/>
      <c r="AV42" s="293"/>
      <c r="AW42" s="293"/>
      <c r="AX42" s="293"/>
      <c r="AY42" s="293"/>
      <c r="AZ42" s="293"/>
      <c r="BA42" s="293"/>
      <c r="BB42" s="293"/>
      <c r="BC42" s="293"/>
      <c r="BD42" s="293"/>
      <c r="BE42" s="293"/>
      <c r="BF42" s="293"/>
      <c r="BG42" s="293"/>
      <c r="BH42" s="293"/>
      <c r="BI42" s="293"/>
      <c r="BJ42" s="293"/>
      <c r="BK42" s="293"/>
      <c r="BL42" s="293"/>
      <c r="BM42" s="293"/>
      <c r="BN42" s="293"/>
      <c r="BO42" s="293"/>
      <c r="BP42" s="293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  <c r="CA42" s="293"/>
      <c r="CB42" s="293"/>
      <c r="CC42" s="293"/>
      <c r="CD42" s="293"/>
      <c r="CE42" s="293"/>
      <c r="CF42" s="293"/>
      <c r="CG42" s="293"/>
      <c r="CH42" s="293"/>
      <c r="CI42" s="293"/>
      <c r="CJ42" s="293"/>
      <c r="CK42" s="293"/>
      <c r="CL42" s="293"/>
      <c r="CM42" s="293"/>
      <c r="CN42" s="293"/>
      <c r="CO42" s="293"/>
      <c r="CP42" s="293">
        <f t="shared" si="47"/>
        <v>0</v>
      </c>
    </row>
    <row r="43" spans="1:94">
      <c r="A43" s="644">
        <v>21</v>
      </c>
      <c r="B43" s="645" t="s">
        <v>75</v>
      </c>
      <c r="C43" s="646" t="s">
        <v>721</v>
      </c>
      <c r="D43" s="647" t="s">
        <v>449</v>
      </c>
      <c r="E43" s="648" t="s">
        <v>439</v>
      </c>
      <c r="F43" s="642">
        <v>23.4</v>
      </c>
      <c r="G43" s="642">
        <v>46</v>
      </c>
      <c r="H43" s="643">
        <f>F43*G43*365</f>
        <v>392885.99999999994</v>
      </c>
      <c r="I43" s="291">
        <v>85410</v>
      </c>
      <c r="J43" s="295">
        <f>ROUND(F43*G43*365/4,0)</f>
        <v>98222</v>
      </c>
      <c r="K43" s="292">
        <f>J43</f>
        <v>98222</v>
      </c>
      <c r="L43" s="293">
        <f>K43</f>
        <v>98222</v>
      </c>
      <c r="M43" s="293">
        <f>L43</f>
        <v>98222</v>
      </c>
      <c r="N43" s="293">
        <f>ROUND(M43*(1+取值表!$D$8)*取值表!$I$8,0)</f>
        <v>101023</v>
      </c>
      <c r="O43" s="293">
        <f>N43</f>
        <v>101023</v>
      </c>
      <c r="P43" s="293">
        <f>O43</f>
        <v>101023</v>
      </c>
      <c r="Q43" s="293">
        <f>P43</f>
        <v>101023</v>
      </c>
      <c r="R43" s="294">
        <f>ROUND(Q43*(1+取值表!$D$8),0)</f>
        <v>110418</v>
      </c>
      <c r="S43" s="293">
        <f t="shared" ref="S43:T43" si="884">R43</f>
        <v>110418</v>
      </c>
      <c r="T43" s="293">
        <f t="shared" si="884"/>
        <v>110418</v>
      </c>
      <c r="U43" s="293">
        <f>T43</f>
        <v>110418</v>
      </c>
      <c r="V43" s="293">
        <f>ROUND(U43*(1+取值表!$D$8),0)</f>
        <v>120687</v>
      </c>
      <c r="W43" s="293">
        <f t="shared" ref="W43:Y43" si="885">V43</f>
        <v>120687</v>
      </c>
      <c r="X43" s="293">
        <f t="shared" si="885"/>
        <v>120687</v>
      </c>
      <c r="Y43" s="293">
        <f t="shared" si="885"/>
        <v>120687</v>
      </c>
      <c r="Z43" s="293">
        <f>ROUND(Y43*(1+取值表!$D$8),0)</f>
        <v>131911</v>
      </c>
      <c r="AA43" s="293">
        <f t="shared" ref="AA43" si="886">Z43</f>
        <v>131911</v>
      </c>
      <c r="AB43" s="293">
        <f t="shared" ref="AB43" si="887">AA43</f>
        <v>131911</v>
      </c>
      <c r="AC43" s="293">
        <f>AB43</f>
        <v>131911</v>
      </c>
      <c r="AD43" s="293">
        <f>ROUND(AC43*(1+取值表!$D$8),0)</f>
        <v>144179</v>
      </c>
      <c r="AE43" s="293">
        <f t="shared" ref="AE43" si="888">AD43</f>
        <v>144179</v>
      </c>
      <c r="AF43" s="293">
        <f t="shared" ref="AF43" si="889">AE43</f>
        <v>144179</v>
      </c>
      <c r="AG43" s="293">
        <f t="shared" ref="AG43" si="890">AF43</f>
        <v>144179</v>
      </c>
      <c r="AH43" s="293">
        <f>ROUND(AG43*(1+取值表!$D$8),0)</f>
        <v>157588</v>
      </c>
      <c r="AI43" s="293">
        <f t="shared" ref="AI43" si="891">AH43</f>
        <v>157588</v>
      </c>
      <c r="AJ43" s="293">
        <f t="shared" ref="AJ43" si="892">AI43</f>
        <v>157588</v>
      </c>
      <c r="AK43" s="293">
        <f t="shared" ref="AK43" si="893">AJ43</f>
        <v>157588</v>
      </c>
      <c r="AL43" s="293">
        <f>ROUND(AK43*(1+取值表!$D$8),0)</f>
        <v>172244</v>
      </c>
      <c r="AM43" s="293">
        <f t="shared" ref="AM43" si="894">AL43</f>
        <v>172244</v>
      </c>
      <c r="AN43" s="293">
        <f t="shared" ref="AN43" si="895">AM43</f>
        <v>172244</v>
      </c>
      <c r="AO43" s="293">
        <f t="shared" ref="AO43" si="896">AN43</f>
        <v>172244</v>
      </c>
      <c r="AP43" s="293">
        <f>ROUND(AO43*(1+取值表!$D$8),0)</f>
        <v>188263</v>
      </c>
      <c r="AQ43" s="293">
        <f t="shared" ref="AQ43" si="897">AP43</f>
        <v>188263</v>
      </c>
      <c r="AR43" s="293">
        <f t="shared" ref="AR43" si="898">AQ43</f>
        <v>188263</v>
      </c>
      <c r="AS43" s="293">
        <f t="shared" ref="AS43" si="899">AR43</f>
        <v>188263</v>
      </c>
      <c r="AT43" s="293">
        <f>ROUND(AS43*(1+取值表!$D$8),0)</f>
        <v>205771</v>
      </c>
      <c r="AU43" s="293">
        <f t="shared" ref="AU43" si="900">AT43</f>
        <v>205771</v>
      </c>
      <c r="AV43" s="293">
        <f t="shared" ref="AV43" si="901">AU43</f>
        <v>205771</v>
      </c>
      <c r="AW43" s="293">
        <f t="shared" ref="AW43" si="902">AV43</f>
        <v>205771</v>
      </c>
      <c r="AX43" s="293">
        <f>ROUND(AW43*(1+取值表!$D$8),0)</f>
        <v>224908</v>
      </c>
      <c r="AY43" s="293">
        <f t="shared" ref="AY43" si="903">AX43</f>
        <v>224908</v>
      </c>
      <c r="AZ43" s="293">
        <f t="shared" ref="AZ43" si="904">AY43</f>
        <v>224908</v>
      </c>
      <c r="BA43" s="293">
        <f t="shared" ref="BA43" si="905">AZ43</f>
        <v>224908</v>
      </c>
      <c r="BB43" s="293">
        <f>ROUND(BA43*(1+取值表!$D$8),0)</f>
        <v>245824</v>
      </c>
      <c r="BC43" s="293">
        <f>BB43</f>
        <v>245824</v>
      </c>
      <c r="BD43" s="293">
        <f t="shared" ref="BD43" si="906">BC43</f>
        <v>245824</v>
      </c>
      <c r="BE43" s="293">
        <f>BD43</f>
        <v>245824</v>
      </c>
      <c r="BF43" s="293">
        <f>ROUND(BE43*(1+取值表!$D$8),0)</f>
        <v>268686</v>
      </c>
      <c r="BG43" s="293">
        <f>BF43</f>
        <v>268686</v>
      </c>
      <c r="BH43" s="293">
        <f t="shared" ref="BH43" si="907">BG43</f>
        <v>268686</v>
      </c>
      <c r="BI43" s="293">
        <f t="shared" ref="BI43" si="908">BH43</f>
        <v>268686</v>
      </c>
      <c r="BJ43" s="293">
        <f>ROUND(BI43*(1+取值表!$D$8),0)</f>
        <v>293674</v>
      </c>
      <c r="BK43" s="293">
        <f t="shared" ref="BK43" si="909">BJ43</f>
        <v>293674</v>
      </c>
      <c r="BL43" s="293">
        <f t="shared" ref="BL43" si="910">BK43</f>
        <v>293674</v>
      </c>
      <c r="BM43" s="293">
        <f t="shared" ref="BM43" si="911">BL43</f>
        <v>293674</v>
      </c>
      <c r="BN43" s="293">
        <f>ROUND(BM43*(1+取值表!$D$8),0)</f>
        <v>320986</v>
      </c>
      <c r="BO43" s="293">
        <f t="shared" ref="BO43" si="912">BN43</f>
        <v>320986</v>
      </c>
      <c r="BP43" s="293">
        <f t="shared" ref="BP43" si="913">BO43</f>
        <v>320986</v>
      </c>
      <c r="BQ43" s="293">
        <f t="shared" ref="BQ43" si="914">BP43</f>
        <v>320986</v>
      </c>
      <c r="BR43" s="293">
        <f>ROUND(BQ43*(1+取值表!$D$8),0)</f>
        <v>350838</v>
      </c>
      <c r="BS43" s="293">
        <f t="shared" ref="BS43" si="915">BR43</f>
        <v>350838</v>
      </c>
      <c r="BT43" s="293">
        <f t="shared" ref="BT43" si="916">BS43</f>
        <v>350838</v>
      </c>
      <c r="BU43" s="293">
        <f t="shared" ref="BU43" si="917">BT43</f>
        <v>350838</v>
      </c>
      <c r="BV43" s="293">
        <f>ROUND(BU43*(1+取值表!$D$8),0)</f>
        <v>383466</v>
      </c>
      <c r="BW43" s="293">
        <f t="shared" ref="BW43" si="918">BV43</f>
        <v>383466</v>
      </c>
      <c r="BX43" s="293">
        <f t="shared" ref="BX43" si="919">BW43</f>
        <v>383466</v>
      </c>
      <c r="BY43" s="293">
        <f t="shared" ref="BY43" si="920">BX43</f>
        <v>383466</v>
      </c>
      <c r="BZ43" s="293">
        <f>ROUND(BY43*(1+取值表!$D$8),0)</f>
        <v>419128</v>
      </c>
      <c r="CA43" s="293">
        <f t="shared" ref="CA43" si="921">BZ43</f>
        <v>419128</v>
      </c>
      <c r="CB43" s="293">
        <f t="shared" ref="CB43" si="922">CA43</f>
        <v>419128</v>
      </c>
      <c r="CC43" s="293">
        <f t="shared" ref="CC43" si="923">CB43</f>
        <v>419128</v>
      </c>
      <c r="CD43" s="293">
        <f>ROUND(CC43*(1+取值表!$D$8),0)</f>
        <v>458107</v>
      </c>
      <c r="CE43" s="293">
        <f t="shared" ref="CE43" si="924">CD43</f>
        <v>458107</v>
      </c>
      <c r="CF43" s="293">
        <f t="shared" ref="CF43" si="925">CE43</f>
        <v>458107</v>
      </c>
      <c r="CG43" s="293">
        <f t="shared" ref="CG43" si="926">CF43</f>
        <v>458107</v>
      </c>
      <c r="CH43" s="293">
        <f>ROUND(CG43*(1+取值表!$D$8),0)</f>
        <v>500711</v>
      </c>
      <c r="CI43" s="293">
        <f>CH43</f>
        <v>500711</v>
      </c>
      <c r="CJ43" s="293">
        <f t="shared" ref="CJ43" si="927">CI43</f>
        <v>500711</v>
      </c>
      <c r="CK43" s="293">
        <f t="shared" ref="CK43" si="928">CJ43</f>
        <v>500711</v>
      </c>
      <c r="CL43" s="293">
        <f>ROUND(CK43*(1+取值表!$D$8),0)</f>
        <v>547277</v>
      </c>
      <c r="CM43" s="293">
        <f>CL43</f>
        <v>547277</v>
      </c>
      <c r="CN43" s="293">
        <f t="shared" ref="CN43" si="929">CM43</f>
        <v>547277</v>
      </c>
      <c r="CO43" s="293">
        <f t="shared" ref="CO43" si="930">CN43</f>
        <v>547277</v>
      </c>
      <c r="CP43" s="293">
        <f t="shared" si="47"/>
        <v>21775644</v>
      </c>
    </row>
    <row r="44" spans="1:94">
      <c r="A44" s="644"/>
      <c r="B44" s="645"/>
      <c r="C44" s="646"/>
      <c r="D44" s="647"/>
      <c r="E44" s="648"/>
      <c r="F44" s="642"/>
      <c r="G44" s="642"/>
      <c r="H44" s="643"/>
      <c r="I44" s="291"/>
      <c r="J44" s="295"/>
      <c r="K44" s="293"/>
      <c r="L44" s="293"/>
      <c r="M44" s="293"/>
      <c r="N44" s="293"/>
      <c r="O44" s="293"/>
      <c r="P44" s="293"/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293"/>
      <c r="AD44" s="293">
        <f>ROUND(AC44*(1+取值表!$E$8)*取值表!$I$8,0)</f>
        <v>0</v>
      </c>
      <c r="AE44" s="293"/>
      <c r="AF44" s="293"/>
      <c r="AG44" s="293"/>
      <c r="AH44" s="293">
        <f>ROUND(AG44*(1+取值表!$E$8)*取值表!$I$8,0)</f>
        <v>0</v>
      </c>
      <c r="AI44" s="293"/>
      <c r="AJ44" s="293"/>
      <c r="AK44" s="293"/>
      <c r="AL44" s="293">
        <f>ROUND(AK44*(1+取值表!$E$8)*取值表!$I$8,0)</f>
        <v>0</v>
      </c>
      <c r="AM44" s="293"/>
      <c r="AN44" s="293"/>
      <c r="AO44" s="293"/>
      <c r="AP44" s="293">
        <f>ROUND(AO44*(1+取值表!$E$8)*取值表!$I$8,0)</f>
        <v>0</v>
      </c>
      <c r="AQ44" s="293"/>
      <c r="AR44" s="293"/>
      <c r="AS44" s="293"/>
      <c r="AT44" s="293">
        <f>ROUND(AS44*(1+取值表!$E$8)*取值表!$I$8,0)</f>
        <v>0</v>
      </c>
      <c r="AU44" s="293"/>
      <c r="AV44" s="293"/>
      <c r="AW44" s="293"/>
      <c r="AX44" s="293">
        <f>ROUND(AW44*(1+取值表!$E$8)*取值表!$I$8,0)</f>
        <v>0</v>
      </c>
      <c r="AY44" s="293"/>
      <c r="AZ44" s="293"/>
      <c r="BA44" s="293"/>
      <c r="BB44" s="293">
        <f>ROUND(BA44*(1+取值表!$E$8)*取值表!$I$8,0)</f>
        <v>0</v>
      </c>
      <c r="BC44" s="293"/>
      <c r="BD44" s="293"/>
      <c r="BE44" s="293"/>
      <c r="BF44" s="293"/>
      <c r="BG44" s="293"/>
      <c r="BH44" s="293"/>
      <c r="BI44" s="293"/>
      <c r="BJ44" s="293"/>
      <c r="BK44" s="293"/>
      <c r="BL44" s="293"/>
      <c r="BM44" s="293"/>
      <c r="BN44" s="293"/>
      <c r="BO44" s="293"/>
      <c r="BP44" s="293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  <c r="CA44" s="293"/>
      <c r="CB44" s="293"/>
      <c r="CC44" s="293"/>
      <c r="CD44" s="293"/>
      <c r="CE44" s="293"/>
      <c r="CF44" s="293"/>
      <c r="CG44" s="293"/>
      <c r="CH44" s="293"/>
      <c r="CI44" s="293"/>
      <c r="CJ44" s="293"/>
      <c r="CK44" s="293"/>
      <c r="CL44" s="293"/>
      <c r="CM44" s="293"/>
      <c r="CN44" s="293"/>
      <c r="CO44" s="293"/>
      <c r="CP44" s="293">
        <f t="shared" si="47"/>
        <v>0</v>
      </c>
    </row>
    <row r="45" spans="1:94" ht="12" customHeight="1">
      <c r="A45" s="644">
        <v>22</v>
      </c>
      <c r="B45" s="645" t="s">
        <v>76</v>
      </c>
      <c r="C45" s="646" t="s">
        <v>77</v>
      </c>
      <c r="D45" s="647" t="s">
        <v>78</v>
      </c>
      <c r="E45" s="648" t="s">
        <v>439</v>
      </c>
      <c r="F45" s="642">
        <v>463.85</v>
      </c>
      <c r="G45" s="642">
        <f>AVERAGE(6,6,6,6,6)</f>
        <v>6</v>
      </c>
      <c r="H45" s="643">
        <f>F45*G45*365</f>
        <v>1015831.5000000001</v>
      </c>
      <c r="I45" s="291">
        <v>300000</v>
      </c>
      <c r="J45" s="295">
        <f>K45</f>
        <v>253958</v>
      </c>
      <c r="K45" s="293">
        <f t="shared" ref="K45:Q45" si="931">L45</f>
        <v>253958</v>
      </c>
      <c r="L45" s="293">
        <f t="shared" si="931"/>
        <v>253958</v>
      </c>
      <c r="M45" s="293">
        <f t="shared" si="931"/>
        <v>253958</v>
      </c>
      <c r="N45" s="293">
        <f>O45</f>
        <v>253958</v>
      </c>
      <c r="O45" s="293">
        <f>P45</f>
        <v>253958</v>
      </c>
      <c r="P45" s="293">
        <f>Q45</f>
        <v>253958</v>
      </c>
      <c r="Q45" s="293">
        <f t="shared" si="931"/>
        <v>253958</v>
      </c>
      <c r="R45" s="293">
        <f>S45</f>
        <v>253958</v>
      </c>
      <c r="S45" s="293">
        <f>T45</f>
        <v>253958</v>
      </c>
      <c r="T45" s="293">
        <f>U45</f>
        <v>253958</v>
      </c>
      <c r="U45" s="293">
        <f>V45</f>
        <v>253958</v>
      </c>
      <c r="V45" s="292">
        <f>ROUND(G45*F45*365/4,0)</f>
        <v>253958</v>
      </c>
      <c r="W45" s="293">
        <f>V45</f>
        <v>253958</v>
      </c>
      <c r="X45" s="293">
        <f>W45</f>
        <v>253958</v>
      </c>
      <c r="Y45" s="293">
        <f>X45</f>
        <v>253958</v>
      </c>
      <c r="Z45" s="293">
        <f>ROUND(Y45*(1+取值表!$D$8)*取值表!$I$8,0)</f>
        <v>261199</v>
      </c>
      <c r="AA45" s="293">
        <f>Z45</f>
        <v>261199</v>
      </c>
      <c r="AB45" s="293">
        <f>AA45</f>
        <v>261199</v>
      </c>
      <c r="AC45" s="293">
        <f>AB45</f>
        <v>261199</v>
      </c>
      <c r="AD45" s="294">
        <f>ROUND(AC45*(1+取值表!$D$8),0)</f>
        <v>285491</v>
      </c>
      <c r="AE45" s="293">
        <f t="shared" ref="AE45:AG45" si="932">AD45</f>
        <v>285491</v>
      </c>
      <c r="AF45" s="293">
        <f t="shared" si="932"/>
        <v>285491</v>
      </c>
      <c r="AG45" s="293">
        <f t="shared" si="932"/>
        <v>285491</v>
      </c>
      <c r="AH45" s="293">
        <f>ROUND(AG45*(1+取值表!$D$8),0)</f>
        <v>312042</v>
      </c>
      <c r="AI45" s="293">
        <f t="shared" ref="AI45" si="933">AH45</f>
        <v>312042</v>
      </c>
      <c r="AJ45" s="293">
        <f t="shared" ref="AJ45" si="934">AI45</f>
        <v>312042</v>
      </c>
      <c r="AK45" s="293">
        <f t="shared" ref="AK45" si="935">AJ45</f>
        <v>312042</v>
      </c>
      <c r="AL45" s="293">
        <f>ROUND(AK45*(1+取值表!$D$8),0)</f>
        <v>341062</v>
      </c>
      <c r="AM45" s="293">
        <f t="shared" ref="AM45" si="936">AL45</f>
        <v>341062</v>
      </c>
      <c r="AN45" s="293">
        <f t="shared" ref="AN45" si="937">AM45</f>
        <v>341062</v>
      </c>
      <c r="AO45" s="293">
        <f t="shared" ref="AO45" si="938">AN45</f>
        <v>341062</v>
      </c>
      <c r="AP45" s="293">
        <f>ROUND(AO45*(1+取值表!$D$8),0)</f>
        <v>372781</v>
      </c>
      <c r="AQ45" s="293">
        <f t="shared" ref="AQ45" si="939">AP45</f>
        <v>372781</v>
      </c>
      <c r="AR45" s="293">
        <f t="shared" ref="AR45" si="940">AQ45</f>
        <v>372781</v>
      </c>
      <c r="AS45" s="293">
        <f t="shared" ref="AS45" si="941">AR45</f>
        <v>372781</v>
      </c>
      <c r="AT45" s="293">
        <f>ROUND(AS45*(1+取值表!$D$8),0)</f>
        <v>407450</v>
      </c>
      <c r="AU45" s="293">
        <f t="shared" ref="AU45" si="942">AT45</f>
        <v>407450</v>
      </c>
      <c r="AV45" s="293">
        <f t="shared" ref="AV45" si="943">AU45</f>
        <v>407450</v>
      </c>
      <c r="AW45" s="293">
        <f t="shared" ref="AW45" si="944">AV45</f>
        <v>407450</v>
      </c>
      <c r="AX45" s="293">
        <f>ROUND(AW45*(1+取值表!$D$8),0)</f>
        <v>445343</v>
      </c>
      <c r="AY45" s="293">
        <f t="shared" ref="AY45" si="945">AX45</f>
        <v>445343</v>
      </c>
      <c r="AZ45" s="293">
        <f t="shared" ref="AZ45" si="946">AY45</f>
        <v>445343</v>
      </c>
      <c r="BA45" s="293">
        <f t="shared" ref="BA45" si="947">AZ45</f>
        <v>445343</v>
      </c>
      <c r="BB45" s="293">
        <f>ROUND(BA45*(1+取值表!$D$8),0)</f>
        <v>486760</v>
      </c>
      <c r="BC45" s="293">
        <f>BB45</f>
        <v>486760</v>
      </c>
      <c r="BD45" s="293">
        <f t="shared" ref="BD45" si="948">BC45</f>
        <v>486760</v>
      </c>
      <c r="BE45" s="293">
        <f>BD45</f>
        <v>486760</v>
      </c>
      <c r="BF45" s="293">
        <f>ROUND(BE45*(1+取值表!$D$8),0)</f>
        <v>532029</v>
      </c>
      <c r="BG45" s="293">
        <f>BF45</f>
        <v>532029</v>
      </c>
      <c r="BH45" s="293">
        <f t="shared" ref="BH45" si="949">BG45</f>
        <v>532029</v>
      </c>
      <c r="BI45" s="293">
        <f t="shared" ref="BI45" si="950">BH45</f>
        <v>532029</v>
      </c>
      <c r="BJ45" s="293">
        <f>ROUND(BI45*(1+取值表!$D$8),0)</f>
        <v>581508</v>
      </c>
      <c r="BK45" s="293">
        <f t="shared" ref="BK45" si="951">BJ45</f>
        <v>581508</v>
      </c>
      <c r="BL45" s="293">
        <f t="shared" ref="BL45" si="952">BK45</f>
        <v>581508</v>
      </c>
      <c r="BM45" s="293">
        <f t="shared" ref="BM45" si="953">BL45</f>
        <v>581508</v>
      </c>
      <c r="BN45" s="293">
        <f>ROUND(BM45*(1+取值表!$D$8),0)</f>
        <v>635588</v>
      </c>
      <c r="BO45" s="293">
        <f t="shared" ref="BO45" si="954">BN45</f>
        <v>635588</v>
      </c>
      <c r="BP45" s="293">
        <f t="shared" ref="BP45" si="955">BO45</f>
        <v>635588</v>
      </c>
      <c r="BQ45" s="293">
        <f t="shared" ref="BQ45" si="956">BP45</f>
        <v>635588</v>
      </c>
      <c r="BR45" s="293">
        <f>ROUND(BQ45*(1+取值表!$D$8),0)</f>
        <v>694698</v>
      </c>
      <c r="BS45" s="293">
        <f t="shared" ref="BS45" si="957">BR45</f>
        <v>694698</v>
      </c>
      <c r="BT45" s="293">
        <f t="shared" ref="BT45" si="958">BS45</f>
        <v>694698</v>
      </c>
      <c r="BU45" s="293">
        <f t="shared" ref="BU45" si="959">BT45</f>
        <v>694698</v>
      </c>
      <c r="BV45" s="293">
        <f>ROUND(BU45*(1+取值表!$D$8),0)</f>
        <v>759305</v>
      </c>
      <c r="BW45" s="293">
        <f t="shared" ref="BW45" si="960">BV45</f>
        <v>759305</v>
      </c>
      <c r="BX45" s="293">
        <f t="shared" ref="BX45" si="961">BW45</f>
        <v>759305</v>
      </c>
      <c r="BY45" s="293">
        <f t="shared" ref="BY45" si="962">BX45</f>
        <v>759305</v>
      </c>
      <c r="BZ45" s="293">
        <f>ROUND(BY45*(1+取值表!$D$8),0)</f>
        <v>829920</v>
      </c>
      <c r="CA45" s="293">
        <f t="shared" ref="CA45" si="963">BZ45</f>
        <v>829920</v>
      </c>
      <c r="CB45" s="293">
        <f t="shared" ref="CB45" si="964">CA45</f>
        <v>829920</v>
      </c>
      <c r="CC45" s="293">
        <f t="shared" ref="CC45" si="965">CB45</f>
        <v>829920</v>
      </c>
      <c r="CD45" s="293">
        <f>ROUND(CC45*(1+取值表!$D$8),0)</f>
        <v>907103</v>
      </c>
      <c r="CE45" s="293">
        <f t="shared" ref="CE45" si="966">CD45</f>
        <v>907103</v>
      </c>
      <c r="CF45" s="293">
        <f t="shared" ref="CF45" si="967">CE45</f>
        <v>907103</v>
      </c>
      <c r="CG45" s="293">
        <f t="shared" ref="CG45" si="968">CF45</f>
        <v>907103</v>
      </c>
      <c r="CH45" s="293">
        <f>ROUND(CG45*(1+取值表!$D$8),0)</f>
        <v>991464</v>
      </c>
      <c r="CI45" s="293">
        <f>CH45</f>
        <v>991464</v>
      </c>
      <c r="CJ45" s="293">
        <f t="shared" ref="CJ45" si="969">CI45</f>
        <v>991464</v>
      </c>
      <c r="CK45" s="293">
        <f t="shared" ref="CK45" si="970">CJ45</f>
        <v>991464</v>
      </c>
      <c r="CL45" s="293">
        <f>ROUND(CK45*(1+取值表!$D$8),0)</f>
        <v>1083670</v>
      </c>
      <c r="CM45" s="293">
        <f>CL45</f>
        <v>1083670</v>
      </c>
      <c r="CN45" s="293">
        <f t="shared" ref="CN45" si="971">CM45</f>
        <v>1083670</v>
      </c>
      <c r="CO45" s="293">
        <f t="shared" ref="CO45" si="972">CN45</f>
        <v>1083670</v>
      </c>
      <c r="CP45" s="293">
        <f t="shared" si="47"/>
        <v>43772980</v>
      </c>
    </row>
    <row r="46" spans="1:94" ht="12" customHeight="1">
      <c r="A46" s="644"/>
      <c r="B46" s="645"/>
      <c r="C46" s="646"/>
      <c r="D46" s="647"/>
      <c r="E46" s="648"/>
      <c r="F46" s="642"/>
      <c r="G46" s="642"/>
      <c r="H46" s="643"/>
      <c r="I46" s="291"/>
      <c r="J46" s="295"/>
      <c r="K46" s="293"/>
      <c r="L46" s="293"/>
      <c r="M46" s="293"/>
      <c r="N46" s="293"/>
      <c r="O46" s="293"/>
      <c r="P46" s="293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>
        <f>ROUND(AC46*(1+取值表!$E$8)*取值表!$I$8,0)</f>
        <v>0</v>
      </c>
      <c r="AE46" s="293"/>
      <c r="AF46" s="293"/>
      <c r="AG46" s="293"/>
      <c r="AH46" s="293">
        <f>ROUND(AG46*(1+取值表!$E$8)*取值表!$I$8,0)</f>
        <v>0</v>
      </c>
      <c r="AI46" s="293"/>
      <c r="AJ46" s="293"/>
      <c r="AK46" s="293"/>
      <c r="AL46" s="293">
        <f>ROUND(AK46*(1+取值表!$E$8)*取值表!$I$8,0)</f>
        <v>0</v>
      </c>
      <c r="AM46" s="293"/>
      <c r="AN46" s="293"/>
      <c r="AO46" s="293"/>
      <c r="AP46" s="293">
        <f>ROUND(AO46*(1+取值表!$E$8)*取值表!$I$8,0)</f>
        <v>0</v>
      </c>
      <c r="AQ46" s="293"/>
      <c r="AR46" s="293"/>
      <c r="AS46" s="293"/>
      <c r="AT46" s="293">
        <f>ROUND(AS46*(1+取值表!$E$8)*取值表!$I$8,0)</f>
        <v>0</v>
      </c>
      <c r="AU46" s="293"/>
      <c r="AV46" s="293"/>
      <c r="AW46" s="293"/>
      <c r="AX46" s="293">
        <f>ROUND(AW46*(1+取值表!$E$8)*取值表!$I$8,0)</f>
        <v>0</v>
      </c>
      <c r="AY46" s="293"/>
      <c r="AZ46" s="293"/>
      <c r="BA46" s="293"/>
      <c r="BB46" s="293">
        <f>ROUND(BA46*(1+取值表!$E$8)*取值表!$I$8,0)</f>
        <v>0</v>
      </c>
      <c r="BC46" s="293"/>
      <c r="BD46" s="293"/>
      <c r="BE46" s="293"/>
      <c r="BF46" s="293"/>
      <c r="BG46" s="293"/>
      <c r="BH46" s="293"/>
      <c r="BI46" s="293"/>
      <c r="BJ46" s="293"/>
      <c r="BK46" s="293"/>
      <c r="BL46" s="293"/>
      <c r="BM46" s="293"/>
      <c r="BN46" s="293"/>
      <c r="BO46" s="293"/>
      <c r="BP46" s="293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  <c r="CA46" s="293"/>
      <c r="CB46" s="293"/>
      <c r="CC46" s="293"/>
      <c r="CD46" s="293"/>
      <c r="CE46" s="293"/>
      <c r="CF46" s="293"/>
      <c r="CG46" s="293"/>
      <c r="CH46" s="293"/>
      <c r="CI46" s="293"/>
      <c r="CJ46" s="293"/>
      <c r="CK46" s="293"/>
      <c r="CL46" s="293"/>
      <c r="CM46" s="293"/>
      <c r="CN46" s="293"/>
      <c r="CO46" s="293"/>
      <c r="CP46" s="293">
        <f t="shared" si="47"/>
        <v>0</v>
      </c>
    </row>
    <row r="47" spans="1:94" s="296" customFormat="1" ht="15" customHeight="1">
      <c r="A47" s="644">
        <v>23</v>
      </c>
      <c r="B47" s="645" t="s">
        <v>79</v>
      </c>
      <c r="C47" s="646" t="s">
        <v>722</v>
      </c>
      <c r="D47" s="647" t="s">
        <v>80</v>
      </c>
      <c r="E47" s="648" t="s">
        <v>439</v>
      </c>
      <c r="F47" s="642">
        <v>22.02</v>
      </c>
      <c r="G47" s="642">
        <v>43</v>
      </c>
      <c r="H47" s="643">
        <f>F47*G47*365</f>
        <v>345603.9</v>
      </c>
      <c r="I47" s="291">
        <v>86400.98</v>
      </c>
      <c r="J47" s="295">
        <f>ROUND(F47*G47*365/4,0)</f>
        <v>86401</v>
      </c>
      <c r="K47" s="293">
        <f>J47</f>
        <v>86401</v>
      </c>
      <c r="L47" s="292">
        <f>K47</f>
        <v>86401</v>
      </c>
      <c r="M47" s="293">
        <f>L47</f>
        <v>86401</v>
      </c>
      <c r="N47" s="293">
        <f>ROUND(M47*(1+取值表!$D$8)*取值表!$I$8,0)</f>
        <v>88865</v>
      </c>
      <c r="O47" s="293">
        <f>N47</f>
        <v>88865</v>
      </c>
      <c r="P47" s="293">
        <f>O47</f>
        <v>88865</v>
      </c>
      <c r="Q47" s="293">
        <f>P47</f>
        <v>88865</v>
      </c>
      <c r="R47" s="294">
        <f>ROUND(Q47*(1+取值表!$D$8),0)</f>
        <v>97129</v>
      </c>
      <c r="S47" s="293">
        <f t="shared" ref="S47:T47" si="973">R47</f>
        <v>97129</v>
      </c>
      <c r="T47" s="293">
        <f t="shared" si="973"/>
        <v>97129</v>
      </c>
      <c r="U47" s="293">
        <f>T47</f>
        <v>97129</v>
      </c>
      <c r="V47" s="293">
        <f>ROUND(U47*(1+取值表!$D$8),0)</f>
        <v>106162</v>
      </c>
      <c r="W47" s="293">
        <f t="shared" ref="W47:Y47" si="974">V47</f>
        <v>106162</v>
      </c>
      <c r="X47" s="293">
        <f t="shared" si="974"/>
        <v>106162</v>
      </c>
      <c r="Y47" s="293">
        <f t="shared" si="974"/>
        <v>106162</v>
      </c>
      <c r="Z47" s="293">
        <f>ROUND(Y47*(1+取值表!$D$8),0)</f>
        <v>116035</v>
      </c>
      <c r="AA47" s="293">
        <f t="shared" ref="AA47" si="975">Z47</f>
        <v>116035</v>
      </c>
      <c r="AB47" s="293">
        <f t="shared" ref="AB47" si="976">AA47</f>
        <v>116035</v>
      </c>
      <c r="AC47" s="293">
        <f>AB47</f>
        <v>116035</v>
      </c>
      <c r="AD47" s="293">
        <f>ROUND(AC47*(1+取值表!$D$8),0)</f>
        <v>126826</v>
      </c>
      <c r="AE47" s="293">
        <f t="shared" ref="AE47" si="977">AD47</f>
        <v>126826</v>
      </c>
      <c r="AF47" s="293">
        <f t="shared" ref="AF47" si="978">AE47</f>
        <v>126826</v>
      </c>
      <c r="AG47" s="293">
        <f t="shared" ref="AG47" si="979">AF47</f>
        <v>126826</v>
      </c>
      <c r="AH47" s="293">
        <f>ROUND(AG47*(1+取值表!$D$8),0)</f>
        <v>138621</v>
      </c>
      <c r="AI47" s="293">
        <f t="shared" ref="AI47" si="980">AH47</f>
        <v>138621</v>
      </c>
      <c r="AJ47" s="293">
        <f t="shared" ref="AJ47" si="981">AI47</f>
        <v>138621</v>
      </c>
      <c r="AK47" s="293">
        <f t="shared" ref="AK47" si="982">AJ47</f>
        <v>138621</v>
      </c>
      <c r="AL47" s="293">
        <f>ROUND(AK47*(1+取值表!$D$8),0)</f>
        <v>151513</v>
      </c>
      <c r="AM47" s="293">
        <f t="shared" ref="AM47" si="983">AL47</f>
        <v>151513</v>
      </c>
      <c r="AN47" s="293">
        <f t="shared" ref="AN47" si="984">AM47</f>
        <v>151513</v>
      </c>
      <c r="AO47" s="293">
        <f t="shared" ref="AO47" si="985">AN47</f>
        <v>151513</v>
      </c>
      <c r="AP47" s="293">
        <f>ROUND(AO47*(1+取值表!$D$8),0)</f>
        <v>165604</v>
      </c>
      <c r="AQ47" s="293">
        <f t="shared" ref="AQ47" si="986">AP47</f>
        <v>165604</v>
      </c>
      <c r="AR47" s="293">
        <f t="shared" ref="AR47" si="987">AQ47</f>
        <v>165604</v>
      </c>
      <c r="AS47" s="293">
        <f t="shared" ref="AS47" si="988">AR47</f>
        <v>165604</v>
      </c>
      <c r="AT47" s="293">
        <f>ROUND(AS47*(1+取值表!$D$8),0)</f>
        <v>181005</v>
      </c>
      <c r="AU47" s="293">
        <f t="shared" ref="AU47" si="989">AT47</f>
        <v>181005</v>
      </c>
      <c r="AV47" s="293">
        <f t="shared" ref="AV47" si="990">AU47</f>
        <v>181005</v>
      </c>
      <c r="AW47" s="293">
        <f t="shared" ref="AW47" si="991">AV47</f>
        <v>181005</v>
      </c>
      <c r="AX47" s="293">
        <f>ROUND(AW47*(1+取值表!$D$8),0)</f>
        <v>197838</v>
      </c>
      <c r="AY47" s="293">
        <f t="shared" ref="AY47" si="992">AX47</f>
        <v>197838</v>
      </c>
      <c r="AZ47" s="293">
        <f t="shared" ref="AZ47" si="993">AY47</f>
        <v>197838</v>
      </c>
      <c r="BA47" s="293">
        <f t="shared" ref="BA47" si="994">AZ47</f>
        <v>197838</v>
      </c>
      <c r="BB47" s="293">
        <f>ROUND(BA47*(1+取值表!$D$8),0)</f>
        <v>216237</v>
      </c>
      <c r="BC47" s="293">
        <f>BB47</f>
        <v>216237</v>
      </c>
      <c r="BD47" s="293">
        <f t="shared" ref="BD47" si="995">BC47</f>
        <v>216237</v>
      </c>
      <c r="BE47" s="293">
        <f>BD47</f>
        <v>216237</v>
      </c>
      <c r="BF47" s="293">
        <f>ROUND(BE47*(1+取值表!$D$8),0)</f>
        <v>236347</v>
      </c>
      <c r="BG47" s="293">
        <f>BF47</f>
        <v>236347</v>
      </c>
      <c r="BH47" s="293">
        <f t="shared" ref="BH47" si="996">BG47</f>
        <v>236347</v>
      </c>
      <c r="BI47" s="293">
        <f t="shared" ref="BI47" si="997">BH47</f>
        <v>236347</v>
      </c>
      <c r="BJ47" s="293">
        <f>ROUND(BI47*(1+取值表!$D$8),0)</f>
        <v>258327</v>
      </c>
      <c r="BK47" s="293">
        <f t="shared" ref="BK47" si="998">BJ47</f>
        <v>258327</v>
      </c>
      <c r="BL47" s="293">
        <f t="shared" ref="BL47" si="999">BK47</f>
        <v>258327</v>
      </c>
      <c r="BM47" s="293">
        <f t="shared" ref="BM47" si="1000">BL47</f>
        <v>258327</v>
      </c>
      <c r="BN47" s="293">
        <f>ROUND(BM47*(1+取值表!$D$8),0)</f>
        <v>282351</v>
      </c>
      <c r="BO47" s="293">
        <f t="shared" ref="BO47" si="1001">BN47</f>
        <v>282351</v>
      </c>
      <c r="BP47" s="293">
        <f t="shared" ref="BP47" si="1002">BO47</f>
        <v>282351</v>
      </c>
      <c r="BQ47" s="293">
        <f t="shared" ref="BQ47" si="1003">BP47</f>
        <v>282351</v>
      </c>
      <c r="BR47" s="293">
        <f>ROUND(BQ47*(1+取值表!$D$8),0)</f>
        <v>308610</v>
      </c>
      <c r="BS47" s="293">
        <f t="shared" ref="BS47" si="1004">BR47</f>
        <v>308610</v>
      </c>
      <c r="BT47" s="293">
        <f t="shared" ref="BT47" si="1005">BS47</f>
        <v>308610</v>
      </c>
      <c r="BU47" s="293">
        <f t="shared" ref="BU47" si="1006">BT47</f>
        <v>308610</v>
      </c>
      <c r="BV47" s="293">
        <f>ROUND(BU47*(1+取值表!$D$8),0)</f>
        <v>337311</v>
      </c>
      <c r="BW47" s="293">
        <f t="shared" ref="BW47" si="1007">BV47</f>
        <v>337311</v>
      </c>
      <c r="BX47" s="293">
        <f t="shared" ref="BX47" si="1008">BW47</f>
        <v>337311</v>
      </c>
      <c r="BY47" s="293">
        <f t="shared" ref="BY47" si="1009">BX47</f>
        <v>337311</v>
      </c>
      <c r="BZ47" s="293">
        <f>ROUND(BY47*(1+取值表!$D$8),0)</f>
        <v>368681</v>
      </c>
      <c r="CA47" s="293">
        <f t="shared" ref="CA47" si="1010">BZ47</f>
        <v>368681</v>
      </c>
      <c r="CB47" s="293">
        <f t="shared" ref="CB47" si="1011">CA47</f>
        <v>368681</v>
      </c>
      <c r="CC47" s="293">
        <f t="shared" ref="CC47" si="1012">CB47</f>
        <v>368681</v>
      </c>
      <c r="CD47" s="293">
        <f>ROUND(CC47*(1+取值表!$D$8),0)</f>
        <v>402968</v>
      </c>
      <c r="CE47" s="293">
        <f t="shared" ref="CE47" si="1013">CD47</f>
        <v>402968</v>
      </c>
      <c r="CF47" s="293">
        <f t="shared" ref="CF47" si="1014">CE47</f>
        <v>402968</v>
      </c>
      <c r="CG47" s="293">
        <f t="shared" ref="CG47" si="1015">CF47</f>
        <v>402968</v>
      </c>
      <c r="CH47" s="293">
        <f>ROUND(CG47*(1+取值表!$D$8),0)</f>
        <v>440444</v>
      </c>
      <c r="CI47" s="293">
        <f>CH47</f>
        <v>440444</v>
      </c>
      <c r="CJ47" s="293">
        <f t="shared" ref="CJ47" si="1016">CI47</f>
        <v>440444</v>
      </c>
      <c r="CK47" s="293">
        <f t="shared" ref="CK47" si="1017">CJ47</f>
        <v>440444</v>
      </c>
      <c r="CL47" s="293">
        <f>ROUND(CK47*(1+取值表!$D$8),0)</f>
        <v>481405</v>
      </c>
      <c r="CM47" s="293">
        <f>CL47</f>
        <v>481405</v>
      </c>
      <c r="CN47" s="293">
        <f t="shared" ref="CN47" si="1018">CM47</f>
        <v>481405</v>
      </c>
      <c r="CO47" s="293">
        <f t="shared" ref="CO47" si="1019">CN47</f>
        <v>481405</v>
      </c>
      <c r="CP47" s="293">
        <f t="shared" si="47"/>
        <v>19154720</v>
      </c>
    </row>
    <row r="48" spans="1:94" s="296" customFormat="1">
      <c r="A48" s="644"/>
      <c r="B48" s="645"/>
      <c r="C48" s="646"/>
      <c r="D48" s="647"/>
      <c r="E48" s="648"/>
      <c r="F48" s="642"/>
      <c r="G48" s="642"/>
      <c r="H48" s="643"/>
      <c r="I48" s="291"/>
      <c r="J48" s="295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93"/>
      <c r="AD48" s="293"/>
      <c r="AE48" s="293"/>
      <c r="AF48" s="293"/>
      <c r="AG48" s="293"/>
      <c r="AH48" s="293"/>
      <c r="AI48" s="293"/>
      <c r="AJ48" s="293"/>
      <c r="AK48" s="293"/>
      <c r="AL48" s="293"/>
      <c r="AM48" s="293"/>
      <c r="AN48" s="293"/>
      <c r="AO48" s="293"/>
      <c r="AP48" s="293"/>
      <c r="AQ48" s="293"/>
      <c r="AR48" s="293"/>
      <c r="AS48" s="293"/>
      <c r="AT48" s="293"/>
      <c r="AU48" s="293"/>
      <c r="AV48" s="293"/>
      <c r="AW48" s="293"/>
      <c r="AX48" s="293"/>
      <c r="AY48" s="293"/>
      <c r="AZ48" s="293"/>
      <c r="BA48" s="293"/>
      <c r="BB48" s="293"/>
      <c r="BC48" s="293"/>
      <c r="BD48" s="293"/>
      <c r="BE48" s="293"/>
      <c r="BF48" s="293"/>
      <c r="BG48" s="293"/>
      <c r="BH48" s="293"/>
      <c r="BI48" s="293"/>
      <c r="BJ48" s="293"/>
      <c r="BK48" s="293"/>
      <c r="BL48" s="293"/>
      <c r="BM48" s="293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293"/>
      <c r="CE48" s="293"/>
      <c r="CF48" s="293"/>
      <c r="CG48" s="293"/>
      <c r="CH48" s="293"/>
      <c r="CI48" s="293"/>
      <c r="CJ48" s="293"/>
      <c r="CK48" s="293"/>
      <c r="CL48" s="293"/>
      <c r="CM48" s="293"/>
      <c r="CN48" s="293"/>
      <c r="CO48" s="293"/>
      <c r="CP48" s="293">
        <f t="shared" si="47"/>
        <v>0</v>
      </c>
    </row>
    <row r="49" spans="1:95" ht="12" customHeight="1">
      <c r="A49" s="644">
        <v>24</v>
      </c>
      <c r="B49" s="645" t="s">
        <v>81</v>
      </c>
      <c r="C49" s="646" t="s">
        <v>82</v>
      </c>
      <c r="D49" s="647" t="s">
        <v>83</v>
      </c>
      <c r="E49" s="648" t="s">
        <v>447</v>
      </c>
      <c r="F49" s="642">
        <v>1367.64</v>
      </c>
      <c r="G49" s="642">
        <f>H49/F49/365</f>
        <v>9.4554786347284363</v>
      </c>
      <c r="H49" s="643">
        <f>47200671.42/10</f>
        <v>4720067.142</v>
      </c>
      <c r="I49" s="291">
        <v>648806.48</v>
      </c>
      <c r="J49" s="295">
        <f>ROUND(G49*F49*365/4,0)</f>
        <v>1180017</v>
      </c>
      <c r="K49" s="293">
        <f>J49</f>
        <v>1180017</v>
      </c>
      <c r="L49" s="292">
        <f>K49</f>
        <v>1180017</v>
      </c>
      <c r="M49" s="293">
        <f>L49</f>
        <v>1180017</v>
      </c>
      <c r="N49" s="293">
        <f>ROUND(M49*(1+取值表!$D$8)*取值表!$I$8,0)</f>
        <v>1213663</v>
      </c>
      <c r="O49" s="293">
        <f>N49</f>
        <v>1213663</v>
      </c>
      <c r="P49" s="293">
        <f>O49</f>
        <v>1213663</v>
      </c>
      <c r="Q49" s="293">
        <f>P49</f>
        <v>1213663</v>
      </c>
      <c r="R49" s="294">
        <f>ROUND(Q49*(1+取值表!$D$8),0)</f>
        <v>1326534</v>
      </c>
      <c r="S49" s="293">
        <f t="shared" ref="S49:T49" si="1020">R49</f>
        <v>1326534</v>
      </c>
      <c r="T49" s="293">
        <f t="shared" si="1020"/>
        <v>1326534</v>
      </c>
      <c r="U49" s="293">
        <f>T49</f>
        <v>1326534</v>
      </c>
      <c r="V49" s="293">
        <f>ROUND(U49*(1+取值表!$D$8),0)</f>
        <v>1449902</v>
      </c>
      <c r="W49" s="293">
        <f t="shared" ref="W49:Y49" si="1021">V49</f>
        <v>1449902</v>
      </c>
      <c r="X49" s="293">
        <f t="shared" si="1021"/>
        <v>1449902</v>
      </c>
      <c r="Y49" s="293">
        <f t="shared" si="1021"/>
        <v>1449902</v>
      </c>
      <c r="Z49" s="293">
        <f>ROUND(Y49*(1+取值表!$D$8),0)</f>
        <v>1584743</v>
      </c>
      <c r="AA49" s="293">
        <f t="shared" ref="AA49" si="1022">Z49</f>
        <v>1584743</v>
      </c>
      <c r="AB49" s="293">
        <f t="shared" ref="AB49" si="1023">AA49</f>
        <v>1584743</v>
      </c>
      <c r="AC49" s="293">
        <f>AB49</f>
        <v>1584743</v>
      </c>
      <c r="AD49" s="293">
        <f>ROUND(AC49*(1+取值表!$D$8),0)</f>
        <v>1732124</v>
      </c>
      <c r="AE49" s="293">
        <f t="shared" ref="AE49" si="1024">AD49</f>
        <v>1732124</v>
      </c>
      <c r="AF49" s="293">
        <f t="shared" ref="AF49" si="1025">AE49</f>
        <v>1732124</v>
      </c>
      <c r="AG49" s="293">
        <f t="shared" ref="AG49" si="1026">AF49</f>
        <v>1732124</v>
      </c>
      <c r="AH49" s="293">
        <f>ROUND(AG49*(1+取值表!$D$8),0)</f>
        <v>1893212</v>
      </c>
      <c r="AI49" s="293">
        <f t="shared" ref="AI49" si="1027">AH49</f>
        <v>1893212</v>
      </c>
      <c r="AJ49" s="293">
        <f t="shared" ref="AJ49" si="1028">AI49</f>
        <v>1893212</v>
      </c>
      <c r="AK49" s="293">
        <f t="shared" ref="AK49" si="1029">AJ49</f>
        <v>1893212</v>
      </c>
      <c r="AL49" s="293">
        <f>ROUND(AK49*(1+取值表!$D$8),0)</f>
        <v>2069281</v>
      </c>
      <c r="AM49" s="293">
        <f t="shared" ref="AM49" si="1030">AL49</f>
        <v>2069281</v>
      </c>
      <c r="AN49" s="293">
        <f t="shared" ref="AN49" si="1031">AM49</f>
        <v>2069281</v>
      </c>
      <c r="AO49" s="293">
        <f t="shared" ref="AO49" si="1032">AN49</f>
        <v>2069281</v>
      </c>
      <c r="AP49" s="293">
        <f>ROUND(AO49*(1+取值表!$D$8),0)</f>
        <v>2261724</v>
      </c>
      <c r="AQ49" s="293">
        <f t="shared" ref="AQ49" si="1033">AP49</f>
        <v>2261724</v>
      </c>
      <c r="AR49" s="293">
        <f t="shared" ref="AR49" si="1034">AQ49</f>
        <v>2261724</v>
      </c>
      <c r="AS49" s="293">
        <f t="shared" ref="AS49" si="1035">AR49</f>
        <v>2261724</v>
      </c>
      <c r="AT49" s="293">
        <f>ROUND(AS49*(1+取值表!$D$8),0)</f>
        <v>2472064</v>
      </c>
      <c r="AU49" s="293">
        <f t="shared" ref="AU49" si="1036">AT49</f>
        <v>2472064</v>
      </c>
      <c r="AV49" s="293">
        <f t="shared" ref="AV49" si="1037">AU49</f>
        <v>2472064</v>
      </c>
      <c r="AW49" s="293">
        <f t="shared" ref="AW49" si="1038">AV49</f>
        <v>2472064</v>
      </c>
      <c r="AX49" s="293">
        <f>ROUND(AW49*(1+取值表!$D$8),0)</f>
        <v>2701966</v>
      </c>
      <c r="AY49" s="293">
        <f t="shared" ref="AY49" si="1039">AX49</f>
        <v>2701966</v>
      </c>
      <c r="AZ49" s="293">
        <f t="shared" ref="AZ49" si="1040">AY49</f>
        <v>2701966</v>
      </c>
      <c r="BA49" s="293">
        <f t="shared" ref="BA49" si="1041">AZ49</f>
        <v>2701966</v>
      </c>
      <c r="BB49" s="293">
        <f>ROUND(BA49*(1+取值表!$D$8),0)</f>
        <v>2953249</v>
      </c>
      <c r="BC49" s="293">
        <f>BB49</f>
        <v>2953249</v>
      </c>
      <c r="BD49" s="293">
        <f t="shared" ref="BD49" si="1042">BC49</f>
        <v>2953249</v>
      </c>
      <c r="BE49" s="293">
        <f>BD49</f>
        <v>2953249</v>
      </c>
      <c r="BF49" s="293">
        <f>ROUND(BE49*(1+取值表!$D$8),0)</f>
        <v>3227901</v>
      </c>
      <c r="BG49" s="293">
        <f>BF49</f>
        <v>3227901</v>
      </c>
      <c r="BH49" s="293">
        <f t="shared" ref="BH49" si="1043">BG49</f>
        <v>3227901</v>
      </c>
      <c r="BI49" s="293">
        <f t="shared" ref="BI49" si="1044">BH49</f>
        <v>3227901</v>
      </c>
      <c r="BJ49" s="293">
        <f>ROUND(BI49*(1+取值表!$D$8),0)</f>
        <v>3528096</v>
      </c>
      <c r="BK49" s="293">
        <f t="shared" ref="BK49" si="1045">BJ49</f>
        <v>3528096</v>
      </c>
      <c r="BL49" s="293">
        <f t="shared" ref="BL49" si="1046">BK49</f>
        <v>3528096</v>
      </c>
      <c r="BM49" s="293">
        <f t="shared" ref="BM49" si="1047">BL49</f>
        <v>3528096</v>
      </c>
      <c r="BN49" s="293">
        <f>ROUND(BM49*(1+取值表!$D$8),0)</f>
        <v>3856209</v>
      </c>
      <c r="BO49" s="293">
        <f t="shared" ref="BO49" si="1048">BN49</f>
        <v>3856209</v>
      </c>
      <c r="BP49" s="293">
        <f t="shared" ref="BP49" si="1049">BO49</f>
        <v>3856209</v>
      </c>
      <c r="BQ49" s="293">
        <f t="shared" ref="BQ49" si="1050">BP49</f>
        <v>3856209</v>
      </c>
      <c r="BR49" s="293">
        <f>ROUND(BQ49*(1+取值表!$D$8),0)</f>
        <v>4214836</v>
      </c>
      <c r="BS49" s="293">
        <f t="shared" ref="BS49" si="1051">BR49</f>
        <v>4214836</v>
      </c>
      <c r="BT49" s="293">
        <f t="shared" ref="BT49" si="1052">BS49</f>
        <v>4214836</v>
      </c>
      <c r="BU49" s="293">
        <f t="shared" ref="BU49" si="1053">BT49</f>
        <v>4214836</v>
      </c>
      <c r="BV49" s="293">
        <f>ROUND(BU49*(1+取值表!$D$8),0)</f>
        <v>4606816</v>
      </c>
      <c r="BW49" s="293">
        <f t="shared" ref="BW49" si="1054">BV49</f>
        <v>4606816</v>
      </c>
      <c r="BX49" s="293">
        <f t="shared" ref="BX49" si="1055">BW49</f>
        <v>4606816</v>
      </c>
      <c r="BY49" s="293">
        <f t="shared" ref="BY49" si="1056">BX49</f>
        <v>4606816</v>
      </c>
      <c r="BZ49" s="293">
        <f>ROUND(BY49*(1+取值表!$D$8),0)</f>
        <v>5035250</v>
      </c>
      <c r="CA49" s="293">
        <f t="shared" ref="CA49" si="1057">BZ49</f>
        <v>5035250</v>
      </c>
      <c r="CB49" s="293">
        <f t="shared" ref="CB49" si="1058">CA49</f>
        <v>5035250</v>
      </c>
      <c r="CC49" s="293">
        <f t="shared" ref="CC49" si="1059">CB49</f>
        <v>5035250</v>
      </c>
      <c r="CD49" s="293">
        <f>ROUND(CC49*(1+取值表!$D$8),0)</f>
        <v>5503528</v>
      </c>
      <c r="CE49" s="293">
        <f t="shared" ref="CE49" si="1060">CD49</f>
        <v>5503528</v>
      </c>
      <c r="CF49" s="293">
        <f t="shared" ref="CF49" si="1061">CE49</f>
        <v>5503528</v>
      </c>
      <c r="CG49" s="293">
        <f t="shared" ref="CG49" si="1062">CF49</f>
        <v>5503528</v>
      </c>
      <c r="CH49" s="293">
        <f>ROUND(CG49*(1+取值表!$D$8),0)</f>
        <v>6015356</v>
      </c>
      <c r="CI49" s="293">
        <f>CH49</f>
        <v>6015356</v>
      </c>
      <c r="CJ49" s="293">
        <f t="shared" ref="CJ49" si="1063">CI49</f>
        <v>6015356</v>
      </c>
      <c r="CK49" s="293">
        <f t="shared" ref="CK49" si="1064">CJ49</f>
        <v>6015356</v>
      </c>
      <c r="CL49" s="293">
        <f>ROUND(CK49*(1+取值表!$D$8),0)</f>
        <v>6574784</v>
      </c>
      <c r="CM49" s="293">
        <f>CL49</f>
        <v>6574784</v>
      </c>
      <c r="CN49" s="293">
        <f t="shared" ref="CN49" si="1065">CM49</f>
        <v>6574784</v>
      </c>
      <c r="CO49" s="293">
        <f t="shared" ref="CO49" si="1066">CN49</f>
        <v>6574784</v>
      </c>
      <c r="CP49" s="293">
        <f t="shared" si="47"/>
        <v>261605020</v>
      </c>
    </row>
    <row r="50" spans="1:95">
      <c r="A50" s="644"/>
      <c r="B50" s="645"/>
      <c r="C50" s="646"/>
      <c r="D50" s="647"/>
      <c r="E50" s="648"/>
      <c r="F50" s="642"/>
      <c r="G50" s="642"/>
      <c r="H50" s="643"/>
      <c r="I50" s="291"/>
      <c r="J50" s="295"/>
      <c r="K50" s="293"/>
      <c r="L50" s="293"/>
      <c r="M50" s="293"/>
      <c r="N50" s="293"/>
      <c r="O50" s="293"/>
      <c r="P50" s="293"/>
      <c r="Q50" s="293"/>
      <c r="R50" s="293"/>
      <c r="S50" s="293"/>
      <c r="T50" s="293"/>
      <c r="U50" s="293"/>
      <c r="V50" s="293"/>
      <c r="W50" s="293"/>
      <c r="X50" s="293"/>
      <c r="Y50" s="293"/>
      <c r="Z50" s="293"/>
      <c r="AA50" s="293"/>
      <c r="AB50" s="293"/>
      <c r="AC50" s="293"/>
      <c r="AD50" s="293"/>
      <c r="AE50" s="293"/>
      <c r="AF50" s="293"/>
      <c r="AG50" s="293"/>
      <c r="AH50" s="293"/>
      <c r="AI50" s="293"/>
      <c r="AJ50" s="293"/>
      <c r="AK50" s="293"/>
      <c r="AL50" s="293"/>
      <c r="AM50" s="293"/>
      <c r="AN50" s="293"/>
      <c r="AO50" s="293"/>
      <c r="AP50" s="293"/>
      <c r="AQ50" s="293"/>
      <c r="AR50" s="293"/>
      <c r="AS50" s="293"/>
      <c r="AT50" s="293"/>
      <c r="AU50" s="293"/>
      <c r="AV50" s="293"/>
      <c r="AW50" s="293"/>
      <c r="AX50" s="293"/>
      <c r="AY50" s="293"/>
      <c r="AZ50" s="293"/>
      <c r="BA50" s="293"/>
      <c r="BB50" s="293"/>
      <c r="BC50" s="293"/>
      <c r="BD50" s="293"/>
      <c r="BE50" s="293"/>
      <c r="BF50" s="293"/>
      <c r="BG50" s="293"/>
      <c r="BH50" s="293"/>
      <c r="BI50" s="293"/>
      <c r="BJ50" s="293"/>
      <c r="BK50" s="293"/>
      <c r="BL50" s="293"/>
      <c r="BM50" s="293"/>
      <c r="BN50" s="293"/>
      <c r="BO50" s="293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  <c r="CC50" s="293"/>
      <c r="CD50" s="293"/>
      <c r="CE50" s="293"/>
      <c r="CF50" s="293"/>
      <c r="CG50" s="293"/>
      <c r="CH50" s="293"/>
      <c r="CI50" s="293"/>
      <c r="CJ50" s="293"/>
      <c r="CK50" s="293"/>
      <c r="CL50" s="293"/>
      <c r="CM50" s="293"/>
      <c r="CN50" s="293"/>
      <c r="CO50" s="293"/>
      <c r="CP50" s="293">
        <f t="shared" si="47"/>
        <v>0</v>
      </c>
    </row>
    <row r="51" spans="1:95" ht="12" customHeight="1">
      <c r="A51" s="644">
        <v>25</v>
      </c>
      <c r="B51" s="645" t="s">
        <v>84</v>
      </c>
      <c r="C51" s="646" t="s">
        <v>11</v>
      </c>
      <c r="D51" s="647" t="s">
        <v>450</v>
      </c>
      <c r="E51" s="648" t="s">
        <v>439</v>
      </c>
      <c r="F51" s="642">
        <v>139.91</v>
      </c>
      <c r="G51" s="642">
        <v>23</v>
      </c>
      <c r="H51" s="643">
        <f>F51*G51*365</f>
        <v>1174544.45</v>
      </c>
      <c r="I51" s="291">
        <v>293636.11</v>
      </c>
      <c r="J51" s="295">
        <f>ROUND(G51*F51*365/4,0)</f>
        <v>293636</v>
      </c>
      <c r="K51" s="292">
        <f>J51</f>
        <v>293636</v>
      </c>
      <c r="L51" s="293">
        <f>K51</f>
        <v>293636</v>
      </c>
      <c r="M51" s="293">
        <f>L51</f>
        <v>293636</v>
      </c>
      <c r="N51" s="293">
        <f>ROUND(M51*(1+取值表!$D$8)*取值表!$I$8,0)</f>
        <v>302008</v>
      </c>
      <c r="O51" s="293">
        <f>N51</f>
        <v>302008</v>
      </c>
      <c r="P51" s="293">
        <f>O51</f>
        <v>302008</v>
      </c>
      <c r="Q51" s="293">
        <f>P51</f>
        <v>302008</v>
      </c>
      <c r="R51" s="294">
        <f>ROUND(Q51*(1+取值表!$D$8),0)</f>
        <v>330095</v>
      </c>
      <c r="S51" s="293">
        <f t="shared" ref="S51:T51" si="1067">R51</f>
        <v>330095</v>
      </c>
      <c r="T51" s="293">
        <f t="shared" si="1067"/>
        <v>330095</v>
      </c>
      <c r="U51" s="293">
        <f>T51</f>
        <v>330095</v>
      </c>
      <c r="V51" s="293">
        <f>ROUND(U51*(1+取值表!$D$8),0)</f>
        <v>360794</v>
      </c>
      <c r="W51" s="293">
        <f t="shared" ref="W51:Y51" si="1068">V51</f>
        <v>360794</v>
      </c>
      <c r="X51" s="293">
        <f t="shared" si="1068"/>
        <v>360794</v>
      </c>
      <c r="Y51" s="293">
        <f t="shared" si="1068"/>
        <v>360794</v>
      </c>
      <c r="Z51" s="293">
        <f>ROUND(Y51*(1+取值表!$D$8),0)</f>
        <v>394348</v>
      </c>
      <c r="AA51" s="293">
        <f t="shared" ref="AA51" si="1069">Z51</f>
        <v>394348</v>
      </c>
      <c r="AB51" s="293">
        <f t="shared" ref="AB51" si="1070">AA51</f>
        <v>394348</v>
      </c>
      <c r="AC51" s="293">
        <f>AB51</f>
        <v>394348</v>
      </c>
      <c r="AD51" s="293">
        <f>ROUND(AC51*(1+取值表!$D$8),0)</f>
        <v>431022</v>
      </c>
      <c r="AE51" s="293">
        <f t="shared" ref="AE51" si="1071">AD51</f>
        <v>431022</v>
      </c>
      <c r="AF51" s="293">
        <f t="shared" ref="AF51" si="1072">AE51</f>
        <v>431022</v>
      </c>
      <c r="AG51" s="293">
        <f t="shared" ref="AG51" si="1073">AF51</f>
        <v>431022</v>
      </c>
      <c r="AH51" s="293">
        <f>ROUND(AG51*(1+取值表!$D$8),0)</f>
        <v>471107</v>
      </c>
      <c r="AI51" s="293">
        <f t="shared" ref="AI51" si="1074">AH51</f>
        <v>471107</v>
      </c>
      <c r="AJ51" s="293">
        <f t="shared" ref="AJ51" si="1075">AI51</f>
        <v>471107</v>
      </c>
      <c r="AK51" s="293">
        <f t="shared" ref="AK51" si="1076">AJ51</f>
        <v>471107</v>
      </c>
      <c r="AL51" s="293">
        <f>ROUND(AK51*(1+取值表!$D$8),0)</f>
        <v>514920</v>
      </c>
      <c r="AM51" s="293">
        <f t="shared" ref="AM51" si="1077">AL51</f>
        <v>514920</v>
      </c>
      <c r="AN51" s="293">
        <f t="shared" ref="AN51" si="1078">AM51</f>
        <v>514920</v>
      </c>
      <c r="AO51" s="293">
        <f t="shared" ref="AO51" si="1079">AN51</f>
        <v>514920</v>
      </c>
      <c r="AP51" s="293">
        <f>ROUND(AO51*(1+取值表!$D$8),0)</f>
        <v>562808</v>
      </c>
      <c r="AQ51" s="293">
        <f t="shared" ref="AQ51" si="1080">AP51</f>
        <v>562808</v>
      </c>
      <c r="AR51" s="293">
        <f t="shared" ref="AR51" si="1081">AQ51</f>
        <v>562808</v>
      </c>
      <c r="AS51" s="293">
        <f t="shared" ref="AS51" si="1082">AR51</f>
        <v>562808</v>
      </c>
      <c r="AT51" s="293">
        <f>ROUND(AS51*(1+取值表!$D$8),0)</f>
        <v>615149</v>
      </c>
      <c r="AU51" s="293">
        <f t="shared" ref="AU51" si="1083">AT51</f>
        <v>615149</v>
      </c>
      <c r="AV51" s="293">
        <f t="shared" ref="AV51" si="1084">AU51</f>
        <v>615149</v>
      </c>
      <c r="AW51" s="293">
        <f t="shared" ref="AW51" si="1085">AV51</f>
        <v>615149</v>
      </c>
      <c r="AX51" s="293">
        <f>ROUND(AW51*(1+取值表!$D$8),0)</f>
        <v>672358</v>
      </c>
      <c r="AY51" s="293">
        <f t="shared" ref="AY51" si="1086">AX51</f>
        <v>672358</v>
      </c>
      <c r="AZ51" s="293">
        <f t="shared" ref="AZ51" si="1087">AY51</f>
        <v>672358</v>
      </c>
      <c r="BA51" s="293">
        <f t="shared" ref="BA51" si="1088">AZ51</f>
        <v>672358</v>
      </c>
      <c r="BB51" s="293">
        <f>ROUND(BA51*(1+取值表!$D$8),0)</f>
        <v>734887</v>
      </c>
      <c r="BC51" s="293">
        <f>BB51</f>
        <v>734887</v>
      </c>
      <c r="BD51" s="293">
        <f t="shared" ref="BD51" si="1089">BC51</f>
        <v>734887</v>
      </c>
      <c r="BE51" s="293">
        <f>BD51</f>
        <v>734887</v>
      </c>
      <c r="BF51" s="293">
        <f>ROUND(BE51*(1+取值表!$D$8),0)</f>
        <v>803231</v>
      </c>
      <c r="BG51" s="293">
        <f>BF51</f>
        <v>803231</v>
      </c>
      <c r="BH51" s="293">
        <f t="shared" ref="BH51" si="1090">BG51</f>
        <v>803231</v>
      </c>
      <c r="BI51" s="293">
        <f t="shared" ref="BI51" si="1091">BH51</f>
        <v>803231</v>
      </c>
      <c r="BJ51" s="293">
        <f>ROUND(BI51*(1+取值表!$D$8),0)</f>
        <v>877931</v>
      </c>
      <c r="BK51" s="293">
        <f t="shared" ref="BK51" si="1092">BJ51</f>
        <v>877931</v>
      </c>
      <c r="BL51" s="293">
        <f t="shared" ref="BL51" si="1093">BK51</f>
        <v>877931</v>
      </c>
      <c r="BM51" s="293">
        <f t="shared" ref="BM51" si="1094">BL51</f>
        <v>877931</v>
      </c>
      <c r="BN51" s="293">
        <f>ROUND(BM51*(1+取值表!$D$8),0)</f>
        <v>959579</v>
      </c>
      <c r="BO51" s="293">
        <f t="shared" ref="BO51" si="1095">BN51</f>
        <v>959579</v>
      </c>
      <c r="BP51" s="293">
        <f t="shared" ref="BP51" si="1096">BO51</f>
        <v>959579</v>
      </c>
      <c r="BQ51" s="293">
        <f t="shared" ref="BQ51" si="1097">BP51</f>
        <v>959579</v>
      </c>
      <c r="BR51" s="293">
        <f>ROUND(BQ51*(1+取值表!$D$8),0)</f>
        <v>1048820</v>
      </c>
      <c r="BS51" s="293">
        <f t="shared" ref="BS51" si="1098">BR51</f>
        <v>1048820</v>
      </c>
      <c r="BT51" s="293">
        <f t="shared" ref="BT51" si="1099">BS51</f>
        <v>1048820</v>
      </c>
      <c r="BU51" s="293">
        <f t="shared" ref="BU51" si="1100">BT51</f>
        <v>1048820</v>
      </c>
      <c r="BV51" s="293">
        <f>ROUND(BU51*(1+取值表!$D$8),0)</f>
        <v>1146360</v>
      </c>
      <c r="BW51" s="293">
        <f t="shared" ref="BW51" si="1101">BV51</f>
        <v>1146360</v>
      </c>
      <c r="BX51" s="293">
        <f t="shared" ref="BX51" si="1102">BW51</f>
        <v>1146360</v>
      </c>
      <c r="BY51" s="293">
        <f t="shared" ref="BY51" si="1103">BX51</f>
        <v>1146360</v>
      </c>
      <c r="BZ51" s="293">
        <f>ROUND(BY51*(1+取值表!$D$8),0)</f>
        <v>1252971</v>
      </c>
      <c r="CA51" s="293">
        <f t="shared" ref="CA51" si="1104">BZ51</f>
        <v>1252971</v>
      </c>
      <c r="CB51" s="293">
        <f t="shared" ref="CB51" si="1105">CA51</f>
        <v>1252971</v>
      </c>
      <c r="CC51" s="293">
        <f t="shared" ref="CC51" si="1106">CB51</f>
        <v>1252971</v>
      </c>
      <c r="CD51" s="293">
        <f>ROUND(CC51*(1+取值表!$D$8),0)</f>
        <v>1369497</v>
      </c>
      <c r="CE51" s="293">
        <f t="shared" ref="CE51" si="1107">CD51</f>
        <v>1369497</v>
      </c>
      <c r="CF51" s="293">
        <f t="shared" ref="CF51" si="1108">CE51</f>
        <v>1369497</v>
      </c>
      <c r="CG51" s="293">
        <f t="shared" ref="CG51" si="1109">CF51</f>
        <v>1369497</v>
      </c>
      <c r="CH51" s="293">
        <f>ROUND(CG51*(1+取值表!$D$8),0)</f>
        <v>1496860</v>
      </c>
      <c r="CI51" s="293">
        <f>CH51</f>
        <v>1496860</v>
      </c>
      <c r="CJ51" s="293">
        <f t="shared" ref="CJ51" si="1110">CI51</f>
        <v>1496860</v>
      </c>
      <c r="CK51" s="293">
        <f t="shared" ref="CK51" si="1111">CJ51</f>
        <v>1496860</v>
      </c>
      <c r="CL51" s="293">
        <f>ROUND(CK51*(1+取值表!$D$8),0)</f>
        <v>1636068</v>
      </c>
      <c r="CM51" s="293">
        <f>CL51</f>
        <v>1636068</v>
      </c>
      <c r="CN51" s="293">
        <f t="shared" ref="CN51" si="1112">CM51</f>
        <v>1636068</v>
      </c>
      <c r="CO51" s="293">
        <f t="shared" ref="CO51" si="1113">CN51</f>
        <v>1636068</v>
      </c>
      <c r="CP51" s="293">
        <f t="shared" si="47"/>
        <v>65097796</v>
      </c>
    </row>
    <row r="52" spans="1:95" ht="11.25" customHeight="1">
      <c r="A52" s="644"/>
      <c r="B52" s="645"/>
      <c r="C52" s="646"/>
      <c r="D52" s="647"/>
      <c r="E52" s="648"/>
      <c r="F52" s="642"/>
      <c r="G52" s="642"/>
      <c r="H52" s="643"/>
      <c r="I52" s="291"/>
      <c r="J52" s="295"/>
      <c r="K52" s="293"/>
      <c r="L52" s="293"/>
      <c r="M52" s="293"/>
      <c r="N52" s="293"/>
      <c r="O52" s="293"/>
      <c r="P52" s="293"/>
      <c r="Q52" s="293"/>
      <c r="R52" s="293"/>
      <c r="S52" s="293"/>
      <c r="T52" s="293"/>
      <c r="U52" s="293"/>
      <c r="V52" s="293"/>
      <c r="W52" s="293"/>
      <c r="X52" s="293"/>
      <c r="Y52" s="293"/>
      <c r="Z52" s="293"/>
      <c r="AA52" s="293"/>
      <c r="AB52" s="293"/>
      <c r="AC52" s="293"/>
      <c r="AD52" s="293"/>
      <c r="AE52" s="293"/>
      <c r="AF52" s="293"/>
      <c r="AG52" s="293"/>
      <c r="AH52" s="293"/>
      <c r="AI52" s="293"/>
      <c r="AJ52" s="293"/>
      <c r="AK52" s="293"/>
      <c r="AL52" s="293"/>
      <c r="AM52" s="293"/>
      <c r="AN52" s="293"/>
      <c r="AO52" s="293"/>
      <c r="AP52" s="293"/>
      <c r="AQ52" s="293"/>
      <c r="AR52" s="293"/>
      <c r="AS52" s="293"/>
      <c r="AT52" s="293"/>
      <c r="AU52" s="293"/>
      <c r="AV52" s="293"/>
      <c r="AW52" s="293"/>
      <c r="AX52" s="293"/>
      <c r="AY52" s="293"/>
      <c r="AZ52" s="293"/>
      <c r="BA52" s="293"/>
      <c r="BB52" s="293"/>
      <c r="BC52" s="293"/>
      <c r="BD52" s="293"/>
      <c r="BE52" s="293"/>
      <c r="BF52" s="293"/>
      <c r="BG52" s="293"/>
      <c r="BH52" s="293"/>
      <c r="BI52" s="293"/>
      <c r="BJ52" s="293"/>
      <c r="BK52" s="293"/>
      <c r="BL52" s="293"/>
      <c r="BM52" s="293"/>
      <c r="BN52" s="293"/>
      <c r="BO52" s="293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  <c r="CA52" s="293"/>
      <c r="CB52" s="293"/>
      <c r="CC52" s="293"/>
      <c r="CD52" s="293"/>
      <c r="CE52" s="293"/>
      <c r="CF52" s="293"/>
      <c r="CG52" s="293"/>
      <c r="CH52" s="293"/>
      <c r="CI52" s="293"/>
      <c r="CJ52" s="293"/>
      <c r="CK52" s="293"/>
      <c r="CL52" s="293"/>
      <c r="CM52" s="293"/>
      <c r="CN52" s="293"/>
      <c r="CO52" s="293"/>
      <c r="CP52" s="293">
        <f t="shared" si="47"/>
        <v>0</v>
      </c>
    </row>
    <row r="53" spans="1:95">
      <c r="A53" s="644">
        <v>26</v>
      </c>
      <c r="B53" s="645" t="s">
        <v>85</v>
      </c>
      <c r="C53" s="664" t="s">
        <v>86</v>
      </c>
      <c r="D53" s="647" t="s">
        <v>28</v>
      </c>
      <c r="E53" s="648" t="s">
        <v>447</v>
      </c>
      <c r="F53" s="642">
        <v>445.58</v>
      </c>
      <c r="G53" s="642">
        <v>12.25</v>
      </c>
      <c r="H53" s="643">
        <f>F53*G53*365</f>
        <v>1992299.575</v>
      </c>
      <c r="I53" s="291">
        <v>243955.05</v>
      </c>
      <c r="J53" s="295">
        <f>ROUND(F53*G53*365/4,0)</f>
        <v>498075</v>
      </c>
      <c r="K53" s="292">
        <f>J53</f>
        <v>498075</v>
      </c>
      <c r="L53" s="293">
        <f>K53</f>
        <v>498075</v>
      </c>
      <c r="M53" s="293">
        <f>L53</f>
        <v>498075</v>
      </c>
      <c r="N53" s="293">
        <f>ROUND(M53*(1+取值表!$D$8)*取值表!$I$8,0)</f>
        <v>512277</v>
      </c>
      <c r="O53" s="293">
        <f>N53</f>
        <v>512277</v>
      </c>
      <c r="P53" s="293">
        <f>O53</f>
        <v>512277</v>
      </c>
      <c r="Q53" s="293">
        <f>P53</f>
        <v>512277</v>
      </c>
      <c r="R53" s="294">
        <f>ROUND(Q53*(1+取值表!$D$8),0)</f>
        <v>559919</v>
      </c>
      <c r="S53" s="293">
        <f t="shared" ref="S53:T53" si="1114">R53</f>
        <v>559919</v>
      </c>
      <c r="T53" s="293">
        <f t="shared" si="1114"/>
        <v>559919</v>
      </c>
      <c r="U53" s="293">
        <f>T53</f>
        <v>559919</v>
      </c>
      <c r="V53" s="293">
        <f>ROUND(U53*(1+取值表!$D$8),0)</f>
        <v>611991</v>
      </c>
      <c r="W53" s="293">
        <f t="shared" ref="W53:Y53" si="1115">V53</f>
        <v>611991</v>
      </c>
      <c r="X53" s="293">
        <f t="shared" si="1115"/>
        <v>611991</v>
      </c>
      <c r="Y53" s="293">
        <f t="shared" si="1115"/>
        <v>611991</v>
      </c>
      <c r="Z53" s="293">
        <f>ROUND(Y53*(1+取值表!$D$8),0)</f>
        <v>668906</v>
      </c>
      <c r="AA53" s="293">
        <f t="shared" ref="AA53" si="1116">Z53</f>
        <v>668906</v>
      </c>
      <c r="AB53" s="293">
        <f t="shared" ref="AB53" si="1117">AA53</f>
        <v>668906</v>
      </c>
      <c r="AC53" s="293">
        <f>AB53</f>
        <v>668906</v>
      </c>
      <c r="AD53" s="293">
        <f>ROUND(AC53*(1+取值表!$D$8),0)</f>
        <v>731114</v>
      </c>
      <c r="AE53" s="293">
        <f t="shared" ref="AE53" si="1118">AD53</f>
        <v>731114</v>
      </c>
      <c r="AF53" s="293">
        <f t="shared" ref="AF53" si="1119">AE53</f>
        <v>731114</v>
      </c>
      <c r="AG53" s="293">
        <f t="shared" ref="AG53" si="1120">AF53</f>
        <v>731114</v>
      </c>
      <c r="AH53" s="293">
        <f>ROUND(AG53*(1+取值表!$D$8),0)</f>
        <v>799108</v>
      </c>
      <c r="AI53" s="293">
        <f t="shared" ref="AI53" si="1121">AH53</f>
        <v>799108</v>
      </c>
      <c r="AJ53" s="293">
        <f t="shared" ref="AJ53" si="1122">AI53</f>
        <v>799108</v>
      </c>
      <c r="AK53" s="293">
        <f t="shared" ref="AK53" si="1123">AJ53</f>
        <v>799108</v>
      </c>
      <c r="AL53" s="293">
        <f>ROUND(AK53*(1+取值表!$D$8),0)</f>
        <v>873425</v>
      </c>
      <c r="AM53" s="293">
        <f t="shared" ref="AM53" si="1124">AL53</f>
        <v>873425</v>
      </c>
      <c r="AN53" s="293">
        <f t="shared" ref="AN53" si="1125">AM53</f>
        <v>873425</v>
      </c>
      <c r="AO53" s="293">
        <f t="shared" ref="AO53" si="1126">AN53</f>
        <v>873425</v>
      </c>
      <c r="AP53" s="293">
        <f>ROUND(AO53*(1+取值表!$D$8),0)</f>
        <v>954654</v>
      </c>
      <c r="AQ53" s="293">
        <f t="shared" ref="AQ53" si="1127">AP53</f>
        <v>954654</v>
      </c>
      <c r="AR53" s="293">
        <f t="shared" ref="AR53" si="1128">AQ53</f>
        <v>954654</v>
      </c>
      <c r="AS53" s="293">
        <f t="shared" ref="AS53" si="1129">AR53</f>
        <v>954654</v>
      </c>
      <c r="AT53" s="293">
        <f>ROUND(AS53*(1+取值表!$D$8),0)</f>
        <v>1043437</v>
      </c>
      <c r="AU53" s="293">
        <f t="shared" ref="AU53" si="1130">AT53</f>
        <v>1043437</v>
      </c>
      <c r="AV53" s="293">
        <f t="shared" ref="AV53" si="1131">AU53</f>
        <v>1043437</v>
      </c>
      <c r="AW53" s="293">
        <f t="shared" ref="AW53" si="1132">AV53</f>
        <v>1043437</v>
      </c>
      <c r="AX53" s="293">
        <f>ROUND(AW53*(1+取值表!$D$8),0)</f>
        <v>1140477</v>
      </c>
      <c r="AY53" s="293">
        <f t="shared" ref="AY53" si="1133">AX53</f>
        <v>1140477</v>
      </c>
      <c r="AZ53" s="293">
        <f t="shared" ref="AZ53" si="1134">AY53</f>
        <v>1140477</v>
      </c>
      <c r="BA53" s="293">
        <f t="shared" ref="BA53" si="1135">AZ53</f>
        <v>1140477</v>
      </c>
      <c r="BB53" s="293">
        <f>ROUND(BA53*(1+取值表!$D$8),0)</f>
        <v>1246541</v>
      </c>
      <c r="BC53" s="293">
        <f>BB53</f>
        <v>1246541</v>
      </c>
      <c r="BD53" s="293">
        <f t="shared" ref="BD53" si="1136">BC53</f>
        <v>1246541</v>
      </c>
      <c r="BE53" s="293">
        <f>BD53</f>
        <v>1246541</v>
      </c>
      <c r="BF53" s="293">
        <f>ROUND(BE53*(1+取值表!$D$8),0)</f>
        <v>1362469</v>
      </c>
      <c r="BG53" s="293">
        <f>BF53</f>
        <v>1362469</v>
      </c>
      <c r="BH53" s="293">
        <f t="shared" ref="BH53" si="1137">BG53</f>
        <v>1362469</v>
      </c>
      <c r="BI53" s="293">
        <f t="shared" ref="BI53" si="1138">BH53</f>
        <v>1362469</v>
      </c>
      <c r="BJ53" s="293">
        <f>ROUND(BI53*(1+取值表!$D$8),0)</f>
        <v>1489179</v>
      </c>
      <c r="BK53" s="293">
        <f t="shared" ref="BK53" si="1139">BJ53</f>
        <v>1489179</v>
      </c>
      <c r="BL53" s="293">
        <f t="shared" ref="BL53" si="1140">BK53</f>
        <v>1489179</v>
      </c>
      <c r="BM53" s="293">
        <f t="shared" ref="BM53" si="1141">BL53</f>
        <v>1489179</v>
      </c>
      <c r="BN53" s="293">
        <f>ROUND(BM53*(1+取值表!$D$8),0)</f>
        <v>1627673</v>
      </c>
      <c r="BO53" s="293">
        <f t="shared" ref="BO53" si="1142">BN53</f>
        <v>1627673</v>
      </c>
      <c r="BP53" s="293">
        <f t="shared" ref="BP53" si="1143">BO53</f>
        <v>1627673</v>
      </c>
      <c r="BQ53" s="293">
        <f t="shared" ref="BQ53" si="1144">BP53</f>
        <v>1627673</v>
      </c>
      <c r="BR53" s="293">
        <f>ROUND(BQ53*(1+取值表!$D$8),0)</f>
        <v>1779047</v>
      </c>
      <c r="BS53" s="293">
        <f t="shared" ref="BS53" si="1145">BR53</f>
        <v>1779047</v>
      </c>
      <c r="BT53" s="293">
        <f t="shared" ref="BT53" si="1146">BS53</f>
        <v>1779047</v>
      </c>
      <c r="BU53" s="293">
        <f t="shared" ref="BU53" si="1147">BT53</f>
        <v>1779047</v>
      </c>
      <c r="BV53" s="293">
        <f>ROUND(BU53*(1+取值表!$D$8),0)</f>
        <v>1944498</v>
      </c>
      <c r="BW53" s="293">
        <f t="shared" ref="BW53" si="1148">BV53</f>
        <v>1944498</v>
      </c>
      <c r="BX53" s="293">
        <f t="shared" ref="BX53" si="1149">BW53</f>
        <v>1944498</v>
      </c>
      <c r="BY53" s="293">
        <f t="shared" ref="BY53" si="1150">BX53</f>
        <v>1944498</v>
      </c>
      <c r="BZ53" s="293">
        <f>ROUND(BY53*(1+取值表!$D$8),0)</f>
        <v>2125336</v>
      </c>
      <c r="CA53" s="293">
        <f t="shared" ref="CA53" si="1151">BZ53</f>
        <v>2125336</v>
      </c>
      <c r="CB53" s="293">
        <f t="shared" ref="CB53" si="1152">CA53</f>
        <v>2125336</v>
      </c>
      <c r="CC53" s="293">
        <f t="shared" ref="CC53" si="1153">CB53</f>
        <v>2125336</v>
      </c>
      <c r="CD53" s="293">
        <f>ROUND(CC53*(1+取值表!$D$8),0)</f>
        <v>2322992</v>
      </c>
      <c r="CE53" s="293">
        <f t="shared" ref="CE53" si="1154">CD53</f>
        <v>2322992</v>
      </c>
      <c r="CF53" s="293">
        <f t="shared" ref="CF53" si="1155">CE53</f>
        <v>2322992</v>
      </c>
      <c r="CG53" s="293">
        <f t="shared" ref="CG53" si="1156">CF53</f>
        <v>2322992</v>
      </c>
      <c r="CH53" s="293">
        <f>ROUND(CG53*(1+取值表!$D$8),0)</f>
        <v>2539030</v>
      </c>
      <c r="CI53" s="293">
        <f>CH53</f>
        <v>2539030</v>
      </c>
      <c r="CJ53" s="293">
        <f t="shared" ref="CJ53" si="1157">CI53</f>
        <v>2539030</v>
      </c>
      <c r="CK53" s="293">
        <f t="shared" ref="CK53" si="1158">CJ53</f>
        <v>2539030</v>
      </c>
      <c r="CL53" s="293">
        <f>ROUND(CK53*(1+取值表!$D$8),0)</f>
        <v>2775160</v>
      </c>
      <c r="CM53" s="293">
        <f>CL53</f>
        <v>2775160</v>
      </c>
      <c r="CN53" s="293">
        <f t="shared" ref="CN53" si="1159">CM53</f>
        <v>2775160</v>
      </c>
      <c r="CO53" s="293">
        <f t="shared" ref="CO53" si="1160">CN53</f>
        <v>2775160</v>
      </c>
      <c r="CP53" s="293">
        <f t="shared" si="47"/>
        <v>110421232</v>
      </c>
    </row>
    <row r="54" spans="1:95">
      <c r="A54" s="644"/>
      <c r="B54" s="645"/>
      <c r="C54" s="664"/>
      <c r="D54" s="647"/>
      <c r="E54" s="648"/>
      <c r="F54" s="642"/>
      <c r="G54" s="642"/>
      <c r="H54" s="643"/>
      <c r="I54" s="291"/>
      <c r="J54" s="295"/>
      <c r="K54" s="293"/>
      <c r="L54" s="293"/>
      <c r="M54" s="293"/>
      <c r="N54" s="293"/>
      <c r="O54" s="293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293"/>
      <c r="AG54" s="293"/>
      <c r="AH54" s="293"/>
      <c r="AI54" s="293"/>
      <c r="AJ54" s="293"/>
      <c r="AK54" s="293"/>
      <c r="AL54" s="293"/>
      <c r="AM54" s="293"/>
      <c r="AN54" s="293"/>
      <c r="AO54" s="293"/>
      <c r="AP54" s="293"/>
      <c r="AQ54" s="293"/>
      <c r="AR54" s="293"/>
      <c r="AS54" s="293"/>
      <c r="AT54" s="293"/>
      <c r="AU54" s="293"/>
      <c r="AV54" s="293"/>
      <c r="AW54" s="293"/>
      <c r="AX54" s="293"/>
      <c r="AY54" s="293"/>
      <c r="AZ54" s="293"/>
      <c r="BA54" s="293"/>
      <c r="BB54" s="293"/>
      <c r="BC54" s="293"/>
      <c r="BD54" s="293"/>
      <c r="BE54" s="293"/>
      <c r="BF54" s="293"/>
      <c r="BG54" s="293"/>
      <c r="BH54" s="293"/>
      <c r="BI54" s="293"/>
      <c r="BJ54" s="293"/>
      <c r="BK54" s="293"/>
      <c r="BL54" s="293"/>
      <c r="BM54" s="293"/>
      <c r="BN54" s="293"/>
      <c r="BO54" s="293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  <c r="CC54" s="293"/>
      <c r="CD54" s="293"/>
      <c r="CE54" s="293"/>
      <c r="CF54" s="293"/>
      <c r="CG54" s="293"/>
      <c r="CH54" s="293"/>
      <c r="CI54" s="293"/>
      <c r="CJ54" s="293"/>
      <c r="CK54" s="293"/>
      <c r="CL54" s="293"/>
      <c r="CM54" s="293"/>
      <c r="CN54" s="293"/>
      <c r="CO54" s="293"/>
      <c r="CP54" s="293">
        <f t="shared" si="47"/>
        <v>0</v>
      </c>
    </row>
    <row r="55" spans="1:95" ht="12" customHeight="1">
      <c r="A55" s="644">
        <v>27</v>
      </c>
      <c r="B55" s="645" t="s">
        <v>87</v>
      </c>
      <c r="C55" s="646" t="s">
        <v>88</v>
      </c>
      <c r="D55" s="647" t="s">
        <v>451</v>
      </c>
      <c r="E55" s="648" t="s">
        <v>439</v>
      </c>
      <c r="F55" s="642">
        <v>140.13</v>
      </c>
      <c r="G55" s="642">
        <f>AVERAGE(32)</f>
        <v>32</v>
      </c>
      <c r="H55" s="643">
        <f>F55*G55*365</f>
        <v>1636718.4</v>
      </c>
      <c r="I55" s="291">
        <v>396392.74</v>
      </c>
      <c r="J55" s="295">
        <f>ROUND(G55*F55*365/4,0)</f>
        <v>409180</v>
      </c>
      <c r="K55" s="293">
        <f>J55</f>
        <v>409180</v>
      </c>
      <c r="L55" s="292">
        <f>K55</f>
        <v>409180</v>
      </c>
      <c r="M55" s="293">
        <f>L55</f>
        <v>409180</v>
      </c>
      <c r="N55" s="293">
        <f>ROUND(M55*(1+取值表!$D$8)*取值表!$I$8,0)</f>
        <v>420847</v>
      </c>
      <c r="O55" s="293">
        <f>N55</f>
        <v>420847</v>
      </c>
      <c r="P55" s="293">
        <f>O55</f>
        <v>420847</v>
      </c>
      <c r="Q55" s="293">
        <f>P55</f>
        <v>420847</v>
      </c>
      <c r="R55" s="294">
        <f>ROUND(Q55*(1+取值表!$D$8),0)</f>
        <v>459986</v>
      </c>
      <c r="S55" s="293">
        <f t="shared" ref="S55:T55" si="1161">R55</f>
        <v>459986</v>
      </c>
      <c r="T55" s="293">
        <f t="shared" si="1161"/>
        <v>459986</v>
      </c>
      <c r="U55" s="293">
        <f>T55</f>
        <v>459986</v>
      </c>
      <c r="V55" s="293">
        <f>ROUND(U55*(1+取值表!$D$8),0)</f>
        <v>502765</v>
      </c>
      <c r="W55" s="293">
        <f t="shared" ref="W55:Y55" si="1162">V55</f>
        <v>502765</v>
      </c>
      <c r="X55" s="293">
        <f t="shared" si="1162"/>
        <v>502765</v>
      </c>
      <c r="Y55" s="293">
        <f t="shared" si="1162"/>
        <v>502765</v>
      </c>
      <c r="Z55" s="293">
        <f>ROUND(Y55*(1+取值表!$D$8),0)</f>
        <v>549522</v>
      </c>
      <c r="AA55" s="293">
        <f t="shared" ref="AA55" si="1163">Z55</f>
        <v>549522</v>
      </c>
      <c r="AB55" s="293">
        <f t="shared" ref="AB55" si="1164">AA55</f>
        <v>549522</v>
      </c>
      <c r="AC55" s="293">
        <f>AB55</f>
        <v>549522</v>
      </c>
      <c r="AD55" s="293">
        <f>ROUND(AC55*(1+取值表!$D$8),0)</f>
        <v>600628</v>
      </c>
      <c r="AE55" s="293">
        <f t="shared" ref="AE55" si="1165">AD55</f>
        <v>600628</v>
      </c>
      <c r="AF55" s="293">
        <f t="shared" ref="AF55" si="1166">AE55</f>
        <v>600628</v>
      </c>
      <c r="AG55" s="293">
        <f t="shared" ref="AG55" si="1167">AF55</f>
        <v>600628</v>
      </c>
      <c r="AH55" s="293">
        <f>ROUND(AG55*(1+取值表!$D$8),0)</f>
        <v>656486</v>
      </c>
      <c r="AI55" s="293">
        <f t="shared" ref="AI55" si="1168">AH55</f>
        <v>656486</v>
      </c>
      <c r="AJ55" s="293">
        <f t="shared" ref="AJ55" si="1169">AI55</f>
        <v>656486</v>
      </c>
      <c r="AK55" s="293">
        <f t="shared" ref="AK55" si="1170">AJ55</f>
        <v>656486</v>
      </c>
      <c r="AL55" s="293">
        <f>ROUND(AK55*(1+取值表!$D$8),0)</f>
        <v>717539</v>
      </c>
      <c r="AM55" s="293">
        <f t="shared" ref="AM55" si="1171">AL55</f>
        <v>717539</v>
      </c>
      <c r="AN55" s="293">
        <f t="shared" ref="AN55" si="1172">AM55</f>
        <v>717539</v>
      </c>
      <c r="AO55" s="293">
        <f t="shared" ref="AO55" si="1173">AN55</f>
        <v>717539</v>
      </c>
      <c r="AP55" s="293">
        <f>ROUND(AO55*(1+取值表!$D$8),0)</f>
        <v>784270</v>
      </c>
      <c r="AQ55" s="293">
        <f t="shared" ref="AQ55" si="1174">AP55</f>
        <v>784270</v>
      </c>
      <c r="AR55" s="293">
        <f t="shared" ref="AR55" si="1175">AQ55</f>
        <v>784270</v>
      </c>
      <c r="AS55" s="293">
        <f t="shared" ref="AS55" si="1176">AR55</f>
        <v>784270</v>
      </c>
      <c r="AT55" s="293">
        <f>ROUND(AS55*(1+取值表!$D$8),0)</f>
        <v>857207</v>
      </c>
      <c r="AU55" s="293">
        <f t="shared" ref="AU55" si="1177">AT55</f>
        <v>857207</v>
      </c>
      <c r="AV55" s="293">
        <f t="shared" ref="AV55" si="1178">AU55</f>
        <v>857207</v>
      </c>
      <c r="AW55" s="293">
        <f t="shared" ref="AW55" si="1179">AV55</f>
        <v>857207</v>
      </c>
      <c r="AX55" s="293">
        <f>ROUND(AW55*(1+取值表!$D$8),0)</f>
        <v>936927</v>
      </c>
      <c r="AY55" s="293">
        <f t="shared" ref="AY55" si="1180">AX55</f>
        <v>936927</v>
      </c>
      <c r="AZ55" s="293">
        <f t="shared" ref="AZ55" si="1181">AY55</f>
        <v>936927</v>
      </c>
      <c r="BA55" s="293">
        <f t="shared" ref="BA55" si="1182">AZ55</f>
        <v>936927</v>
      </c>
      <c r="BB55" s="293">
        <f>ROUND(BA55*(1+取值表!$D$8),0)</f>
        <v>1024061</v>
      </c>
      <c r="BC55" s="293">
        <f>BB55</f>
        <v>1024061</v>
      </c>
      <c r="BD55" s="293">
        <f t="shared" ref="BD55" si="1183">BC55</f>
        <v>1024061</v>
      </c>
      <c r="BE55" s="293">
        <f>BD55</f>
        <v>1024061</v>
      </c>
      <c r="BF55" s="293">
        <f>ROUND(BE55*(1+取值表!$D$8),0)</f>
        <v>1119299</v>
      </c>
      <c r="BG55" s="293">
        <f>BF55</f>
        <v>1119299</v>
      </c>
      <c r="BH55" s="293">
        <f t="shared" ref="BH55" si="1184">BG55</f>
        <v>1119299</v>
      </c>
      <c r="BI55" s="293">
        <f t="shared" ref="BI55" si="1185">BH55</f>
        <v>1119299</v>
      </c>
      <c r="BJ55" s="293">
        <f>ROUND(BI55*(1+取值表!$D$8),0)</f>
        <v>1223394</v>
      </c>
      <c r="BK55" s="293">
        <f t="shared" ref="BK55" si="1186">BJ55</f>
        <v>1223394</v>
      </c>
      <c r="BL55" s="293">
        <f t="shared" ref="BL55" si="1187">BK55</f>
        <v>1223394</v>
      </c>
      <c r="BM55" s="293">
        <f t="shared" ref="BM55" si="1188">BL55</f>
        <v>1223394</v>
      </c>
      <c r="BN55" s="293">
        <f>ROUND(BM55*(1+取值表!$D$8),0)</f>
        <v>1337170</v>
      </c>
      <c r="BO55" s="293">
        <f t="shared" ref="BO55" si="1189">BN55</f>
        <v>1337170</v>
      </c>
      <c r="BP55" s="293">
        <f t="shared" ref="BP55" si="1190">BO55</f>
        <v>1337170</v>
      </c>
      <c r="BQ55" s="293">
        <f t="shared" ref="BQ55" si="1191">BP55</f>
        <v>1337170</v>
      </c>
      <c r="BR55" s="293">
        <f>ROUND(BQ55*(1+取值表!$D$8),0)</f>
        <v>1461527</v>
      </c>
      <c r="BS55" s="293">
        <f t="shared" ref="BS55" si="1192">BR55</f>
        <v>1461527</v>
      </c>
      <c r="BT55" s="293">
        <f t="shared" ref="BT55" si="1193">BS55</f>
        <v>1461527</v>
      </c>
      <c r="BU55" s="293">
        <f t="shared" ref="BU55" si="1194">BT55</f>
        <v>1461527</v>
      </c>
      <c r="BV55" s="293">
        <f>ROUND(BU55*(1+取值表!$D$8),0)</f>
        <v>1597449</v>
      </c>
      <c r="BW55" s="293">
        <f t="shared" ref="BW55" si="1195">BV55</f>
        <v>1597449</v>
      </c>
      <c r="BX55" s="293">
        <f t="shared" ref="BX55" si="1196">BW55</f>
        <v>1597449</v>
      </c>
      <c r="BY55" s="293">
        <f t="shared" ref="BY55" si="1197">BX55</f>
        <v>1597449</v>
      </c>
      <c r="BZ55" s="293">
        <f>ROUND(BY55*(1+取值表!$D$8),0)</f>
        <v>1746012</v>
      </c>
      <c r="CA55" s="293">
        <f t="shared" ref="CA55" si="1198">BZ55</f>
        <v>1746012</v>
      </c>
      <c r="CB55" s="293">
        <f t="shared" ref="CB55" si="1199">CA55</f>
        <v>1746012</v>
      </c>
      <c r="CC55" s="293">
        <f t="shared" ref="CC55" si="1200">CB55</f>
        <v>1746012</v>
      </c>
      <c r="CD55" s="293">
        <f>ROUND(CC55*(1+取值表!$D$8),0)</f>
        <v>1908391</v>
      </c>
      <c r="CE55" s="293">
        <f t="shared" ref="CE55" si="1201">CD55</f>
        <v>1908391</v>
      </c>
      <c r="CF55" s="293">
        <f t="shared" ref="CF55" si="1202">CE55</f>
        <v>1908391</v>
      </c>
      <c r="CG55" s="293">
        <f t="shared" ref="CG55" si="1203">CF55</f>
        <v>1908391</v>
      </c>
      <c r="CH55" s="293">
        <f>ROUND(CG55*(1+取值表!$D$8),0)</f>
        <v>2085871</v>
      </c>
      <c r="CI55" s="293">
        <f>CH55</f>
        <v>2085871</v>
      </c>
      <c r="CJ55" s="293">
        <f t="shared" ref="CJ55" si="1204">CI55</f>
        <v>2085871</v>
      </c>
      <c r="CK55" s="293">
        <f t="shared" ref="CK55" si="1205">CJ55</f>
        <v>2085871</v>
      </c>
      <c r="CL55" s="293">
        <f>ROUND(CK55*(1+取值表!$D$8),0)</f>
        <v>2279857</v>
      </c>
      <c r="CM55" s="293">
        <f>CL55</f>
        <v>2279857</v>
      </c>
      <c r="CN55" s="293">
        <f t="shared" ref="CN55" si="1206">CM55</f>
        <v>2279857</v>
      </c>
      <c r="CO55" s="293">
        <f t="shared" ref="CO55" si="1207">CN55</f>
        <v>2279857</v>
      </c>
      <c r="CP55" s="293">
        <f t="shared" si="47"/>
        <v>90713552</v>
      </c>
    </row>
    <row r="56" spans="1:95">
      <c r="A56" s="644"/>
      <c r="B56" s="645"/>
      <c r="C56" s="646"/>
      <c r="D56" s="647"/>
      <c r="E56" s="648"/>
      <c r="F56" s="642"/>
      <c r="G56" s="642"/>
      <c r="H56" s="643"/>
      <c r="I56" s="291">
        <v>0</v>
      </c>
      <c r="J56" s="295"/>
      <c r="K56" s="293"/>
      <c r="L56" s="293"/>
      <c r="M56" s="293"/>
      <c r="N56" s="293"/>
      <c r="O56" s="293"/>
      <c r="P56" s="293"/>
      <c r="Q56" s="293"/>
      <c r="R56" s="293"/>
      <c r="S56" s="293"/>
      <c r="T56" s="293"/>
      <c r="U56" s="293"/>
      <c r="V56" s="293"/>
      <c r="W56" s="293"/>
      <c r="X56" s="293"/>
      <c r="Y56" s="293"/>
      <c r="Z56" s="293"/>
      <c r="AA56" s="293"/>
      <c r="AB56" s="293"/>
      <c r="AC56" s="293"/>
      <c r="AD56" s="293"/>
      <c r="AE56" s="293"/>
      <c r="AF56" s="293"/>
      <c r="AG56" s="293"/>
      <c r="AH56" s="293"/>
      <c r="AI56" s="293"/>
      <c r="AJ56" s="293"/>
      <c r="AK56" s="293"/>
      <c r="AL56" s="293"/>
      <c r="AM56" s="293"/>
      <c r="AN56" s="293"/>
      <c r="AO56" s="293"/>
      <c r="AP56" s="293"/>
      <c r="AQ56" s="293"/>
      <c r="AR56" s="293"/>
      <c r="AS56" s="293"/>
      <c r="AT56" s="293"/>
      <c r="AU56" s="293"/>
      <c r="AV56" s="293"/>
      <c r="AW56" s="293"/>
      <c r="AX56" s="293"/>
      <c r="AY56" s="293"/>
      <c r="AZ56" s="293"/>
      <c r="BA56" s="293"/>
      <c r="BB56" s="293"/>
      <c r="BC56" s="293"/>
      <c r="BD56" s="293"/>
      <c r="BE56" s="293"/>
      <c r="BF56" s="293"/>
      <c r="BG56" s="293"/>
      <c r="BH56" s="293"/>
      <c r="BI56" s="293"/>
      <c r="BJ56" s="293"/>
      <c r="BK56" s="293"/>
      <c r="BL56" s="293"/>
      <c r="BM56" s="293"/>
      <c r="BN56" s="293"/>
      <c r="BO56" s="293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  <c r="CC56" s="293"/>
      <c r="CD56" s="293"/>
      <c r="CE56" s="293"/>
      <c r="CF56" s="293"/>
      <c r="CG56" s="293"/>
      <c r="CH56" s="293"/>
      <c r="CI56" s="293"/>
      <c r="CJ56" s="293"/>
      <c r="CK56" s="293"/>
      <c r="CL56" s="293"/>
      <c r="CM56" s="293"/>
      <c r="CN56" s="293"/>
      <c r="CO56" s="293"/>
      <c r="CP56" s="293">
        <f t="shared" si="47"/>
        <v>0</v>
      </c>
    </row>
    <row r="57" spans="1:95">
      <c r="A57" s="644">
        <v>28</v>
      </c>
      <c r="B57" s="645" t="s">
        <v>89</v>
      </c>
      <c r="C57" s="646" t="s">
        <v>90</v>
      </c>
      <c r="D57" s="647" t="s">
        <v>407</v>
      </c>
      <c r="E57" s="648" t="s">
        <v>439</v>
      </c>
      <c r="F57" s="642">
        <v>271.08999999999997</v>
      </c>
      <c r="G57" s="642">
        <f>AVERAGE(12)</f>
        <v>12</v>
      </c>
      <c r="H57" s="643">
        <f>F57*G57*365</f>
        <v>1187374.2</v>
      </c>
      <c r="I57" s="291">
        <v>593687.1</v>
      </c>
      <c r="J57" s="295">
        <f>ROUND(G57*F57*365/4,0)</f>
        <v>296844</v>
      </c>
      <c r="K57" s="292">
        <f>J57</f>
        <v>296844</v>
      </c>
      <c r="L57" s="293">
        <f>K57</f>
        <v>296844</v>
      </c>
      <c r="M57" s="293">
        <f>L57</f>
        <v>296844</v>
      </c>
      <c r="N57" s="293">
        <f>ROUND(M57*(1+取值表!$D$8)*取值表!$I$8,0)</f>
        <v>305308</v>
      </c>
      <c r="O57" s="293">
        <f>N57</f>
        <v>305308</v>
      </c>
      <c r="P57" s="293">
        <f>O57</f>
        <v>305308</v>
      </c>
      <c r="Q57" s="293">
        <f>P57</f>
        <v>305308</v>
      </c>
      <c r="R57" s="294">
        <f>ROUND(Q57*(1+取值表!$D$8),0)</f>
        <v>333702</v>
      </c>
      <c r="S57" s="293">
        <f t="shared" ref="S57:T57" si="1208">R57</f>
        <v>333702</v>
      </c>
      <c r="T57" s="293">
        <f t="shared" si="1208"/>
        <v>333702</v>
      </c>
      <c r="U57" s="293">
        <f>T57</f>
        <v>333702</v>
      </c>
      <c r="V57" s="293">
        <f>ROUND(U57*(1+取值表!$D$8),0)</f>
        <v>364736</v>
      </c>
      <c r="W57" s="293">
        <f t="shared" ref="W57:Y57" si="1209">V57</f>
        <v>364736</v>
      </c>
      <c r="X57" s="293">
        <f t="shared" si="1209"/>
        <v>364736</v>
      </c>
      <c r="Y57" s="293">
        <f t="shared" si="1209"/>
        <v>364736</v>
      </c>
      <c r="Z57" s="293">
        <f>ROUND(Y57*(1+取值表!$D$8),0)</f>
        <v>398656</v>
      </c>
      <c r="AA57" s="293">
        <f t="shared" ref="AA57" si="1210">Z57</f>
        <v>398656</v>
      </c>
      <c r="AB57" s="293">
        <f t="shared" ref="AB57" si="1211">AA57</f>
        <v>398656</v>
      </c>
      <c r="AC57" s="293">
        <f>AB57</f>
        <v>398656</v>
      </c>
      <c r="AD57" s="293">
        <f>ROUND(AC57*(1+取值表!$D$8),0)</f>
        <v>435731</v>
      </c>
      <c r="AE57" s="293">
        <f t="shared" ref="AE57" si="1212">AD57</f>
        <v>435731</v>
      </c>
      <c r="AF57" s="293">
        <f t="shared" ref="AF57" si="1213">AE57</f>
        <v>435731</v>
      </c>
      <c r="AG57" s="293">
        <f t="shared" ref="AG57" si="1214">AF57</f>
        <v>435731</v>
      </c>
      <c r="AH57" s="293">
        <f>ROUND(AG57*(1+取值表!$D$8),0)</f>
        <v>476254</v>
      </c>
      <c r="AI57" s="293">
        <f t="shared" ref="AI57" si="1215">AH57</f>
        <v>476254</v>
      </c>
      <c r="AJ57" s="293">
        <f t="shared" ref="AJ57" si="1216">AI57</f>
        <v>476254</v>
      </c>
      <c r="AK57" s="293">
        <f t="shared" ref="AK57" si="1217">AJ57</f>
        <v>476254</v>
      </c>
      <c r="AL57" s="293">
        <f>ROUND(AK57*(1+取值表!$D$8),0)</f>
        <v>520546</v>
      </c>
      <c r="AM57" s="293">
        <f t="shared" ref="AM57" si="1218">AL57</f>
        <v>520546</v>
      </c>
      <c r="AN57" s="293">
        <f t="shared" ref="AN57" si="1219">AM57</f>
        <v>520546</v>
      </c>
      <c r="AO57" s="293">
        <f t="shared" ref="AO57" si="1220">AN57</f>
        <v>520546</v>
      </c>
      <c r="AP57" s="293">
        <f>ROUND(AO57*(1+取值表!$D$8),0)</f>
        <v>568957</v>
      </c>
      <c r="AQ57" s="293">
        <f t="shared" ref="AQ57" si="1221">AP57</f>
        <v>568957</v>
      </c>
      <c r="AR57" s="293">
        <f t="shared" ref="AR57" si="1222">AQ57</f>
        <v>568957</v>
      </c>
      <c r="AS57" s="293">
        <f t="shared" ref="AS57" si="1223">AR57</f>
        <v>568957</v>
      </c>
      <c r="AT57" s="293">
        <f>ROUND(AS57*(1+取值表!$D$8),0)</f>
        <v>621870</v>
      </c>
      <c r="AU57" s="293">
        <f t="shared" ref="AU57" si="1224">AT57</f>
        <v>621870</v>
      </c>
      <c r="AV57" s="293">
        <f t="shared" ref="AV57" si="1225">AU57</f>
        <v>621870</v>
      </c>
      <c r="AW57" s="293">
        <f t="shared" ref="AW57" si="1226">AV57</f>
        <v>621870</v>
      </c>
      <c r="AX57" s="293">
        <f>ROUND(AW57*(1+取值表!$D$8),0)</f>
        <v>679704</v>
      </c>
      <c r="AY57" s="293">
        <f t="shared" ref="AY57" si="1227">AX57</f>
        <v>679704</v>
      </c>
      <c r="AZ57" s="293">
        <f t="shared" ref="AZ57" si="1228">AY57</f>
        <v>679704</v>
      </c>
      <c r="BA57" s="293">
        <f t="shared" ref="BA57" si="1229">AZ57</f>
        <v>679704</v>
      </c>
      <c r="BB57" s="293">
        <f>ROUND(BA57*(1+取值表!$D$8),0)</f>
        <v>742916</v>
      </c>
      <c r="BC57" s="293">
        <f>BB57</f>
        <v>742916</v>
      </c>
      <c r="BD57" s="293">
        <f t="shared" ref="BD57" si="1230">BC57</f>
        <v>742916</v>
      </c>
      <c r="BE57" s="293">
        <f>BD57</f>
        <v>742916</v>
      </c>
      <c r="BF57" s="293">
        <f>ROUND(BE57*(1+取值表!$D$8),0)</f>
        <v>812007</v>
      </c>
      <c r="BG57" s="293">
        <f>BF57</f>
        <v>812007</v>
      </c>
      <c r="BH57" s="293">
        <f t="shared" ref="BH57" si="1231">BG57</f>
        <v>812007</v>
      </c>
      <c r="BI57" s="293">
        <f t="shared" ref="BI57" si="1232">BH57</f>
        <v>812007</v>
      </c>
      <c r="BJ57" s="293">
        <f>ROUND(BI57*(1+取值表!$D$8),0)</f>
        <v>887524</v>
      </c>
      <c r="BK57" s="293">
        <f t="shared" ref="BK57" si="1233">BJ57</f>
        <v>887524</v>
      </c>
      <c r="BL57" s="293">
        <f t="shared" ref="BL57" si="1234">BK57</f>
        <v>887524</v>
      </c>
      <c r="BM57" s="293">
        <f t="shared" ref="BM57" si="1235">BL57</f>
        <v>887524</v>
      </c>
      <c r="BN57" s="293">
        <f>ROUND(BM57*(1+取值表!$D$8),0)</f>
        <v>970064</v>
      </c>
      <c r="BO57" s="293">
        <f t="shared" ref="BO57" si="1236">BN57</f>
        <v>970064</v>
      </c>
      <c r="BP57" s="293">
        <f t="shared" ref="BP57" si="1237">BO57</f>
        <v>970064</v>
      </c>
      <c r="BQ57" s="293">
        <f t="shared" ref="BQ57" si="1238">BP57</f>
        <v>970064</v>
      </c>
      <c r="BR57" s="293">
        <f>ROUND(BQ57*(1+取值表!$D$8),0)</f>
        <v>1060280</v>
      </c>
      <c r="BS57" s="293">
        <f t="shared" ref="BS57" si="1239">BR57</f>
        <v>1060280</v>
      </c>
      <c r="BT57" s="293">
        <f t="shared" ref="BT57" si="1240">BS57</f>
        <v>1060280</v>
      </c>
      <c r="BU57" s="293">
        <f t="shared" ref="BU57" si="1241">BT57</f>
        <v>1060280</v>
      </c>
      <c r="BV57" s="293">
        <f>ROUND(BU57*(1+取值表!$D$8),0)</f>
        <v>1158886</v>
      </c>
      <c r="BW57" s="293">
        <f t="shared" ref="BW57" si="1242">BV57</f>
        <v>1158886</v>
      </c>
      <c r="BX57" s="293">
        <f t="shared" ref="BX57" si="1243">BW57</f>
        <v>1158886</v>
      </c>
      <c r="BY57" s="293">
        <f t="shared" ref="BY57" si="1244">BX57</f>
        <v>1158886</v>
      </c>
      <c r="BZ57" s="293">
        <f>ROUND(BY57*(1+取值表!$D$8),0)</f>
        <v>1266662</v>
      </c>
      <c r="CA57" s="293">
        <f t="shared" ref="CA57" si="1245">BZ57</f>
        <v>1266662</v>
      </c>
      <c r="CB57" s="293">
        <f t="shared" ref="CB57" si="1246">CA57</f>
        <v>1266662</v>
      </c>
      <c r="CC57" s="293">
        <f t="shared" ref="CC57" si="1247">CB57</f>
        <v>1266662</v>
      </c>
      <c r="CD57" s="293">
        <f>ROUND(CC57*(1+取值表!$D$8),0)</f>
        <v>1384462</v>
      </c>
      <c r="CE57" s="293">
        <f t="shared" ref="CE57" si="1248">CD57</f>
        <v>1384462</v>
      </c>
      <c r="CF57" s="293">
        <f t="shared" ref="CF57" si="1249">CE57</f>
        <v>1384462</v>
      </c>
      <c r="CG57" s="293">
        <f t="shared" ref="CG57" si="1250">CF57</f>
        <v>1384462</v>
      </c>
      <c r="CH57" s="293">
        <f>ROUND(CG57*(1+取值表!$D$8),0)</f>
        <v>1513217</v>
      </c>
      <c r="CI57" s="293">
        <f>CH57</f>
        <v>1513217</v>
      </c>
      <c r="CJ57" s="293">
        <f t="shared" ref="CJ57" si="1251">CI57</f>
        <v>1513217</v>
      </c>
      <c r="CK57" s="293">
        <f t="shared" ref="CK57" si="1252">CJ57</f>
        <v>1513217</v>
      </c>
      <c r="CL57" s="293">
        <f>ROUND(CK57*(1+取值表!$D$8),0)</f>
        <v>1653946</v>
      </c>
      <c r="CM57" s="293">
        <f>CL57</f>
        <v>1653946</v>
      </c>
      <c r="CN57" s="293">
        <f t="shared" ref="CN57" si="1253">CM57</f>
        <v>1653946</v>
      </c>
      <c r="CO57" s="293">
        <f t="shared" ref="CO57" si="1254">CN57</f>
        <v>1653946</v>
      </c>
      <c r="CP57" s="293">
        <f t="shared" si="47"/>
        <v>65809088</v>
      </c>
    </row>
    <row r="58" spans="1:95">
      <c r="A58" s="644"/>
      <c r="B58" s="645"/>
      <c r="C58" s="646"/>
      <c r="D58" s="647"/>
      <c r="E58" s="648"/>
      <c r="F58" s="642"/>
      <c r="G58" s="642"/>
      <c r="H58" s="643"/>
      <c r="I58" s="291"/>
      <c r="J58" s="295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3"/>
      <c r="X58" s="293"/>
      <c r="Y58" s="293"/>
      <c r="Z58" s="293"/>
      <c r="AA58" s="293"/>
      <c r="AB58" s="293"/>
      <c r="AC58" s="293"/>
      <c r="AD58" s="293"/>
      <c r="AE58" s="293"/>
      <c r="AF58" s="293"/>
      <c r="AG58" s="293"/>
      <c r="AH58" s="293"/>
      <c r="AI58" s="293"/>
      <c r="AJ58" s="293"/>
      <c r="AK58" s="293"/>
      <c r="AL58" s="293"/>
      <c r="AM58" s="293"/>
      <c r="AN58" s="293"/>
      <c r="AO58" s="293"/>
      <c r="AP58" s="293"/>
      <c r="AQ58" s="293"/>
      <c r="AR58" s="293"/>
      <c r="AS58" s="293"/>
      <c r="AT58" s="293"/>
      <c r="AU58" s="293"/>
      <c r="AV58" s="293"/>
      <c r="AW58" s="293"/>
      <c r="AX58" s="293"/>
      <c r="AY58" s="293"/>
      <c r="AZ58" s="293"/>
      <c r="BA58" s="293"/>
      <c r="BB58" s="293"/>
      <c r="BC58" s="293"/>
      <c r="BD58" s="293"/>
      <c r="BE58" s="293"/>
      <c r="BF58" s="293"/>
      <c r="BG58" s="293"/>
      <c r="BH58" s="293"/>
      <c r="BI58" s="293"/>
      <c r="BJ58" s="293"/>
      <c r="BK58" s="293"/>
      <c r="BL58" s="293"/>
      <c r="BM58" s="293"/>
      <c r="BN58" s="293"/>
      <c r="BO58" s="293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  <c r="CC58" s="293"/>
      <c r="CD58" s="293"/>
      <c r="CE58" s="293"/>
      <c r="CF58" s="293"/>
      <c r="CG58" s="293"/>
      <c r="CH58" s="293"/>
      <c r="CI58" s="293"/>
      <c r="CJ58" s="293"/>
      <c r="CK58" s="293"/>
      <c r="CL58" s="293"/>
      <c r="CM58" s="293"/>
      <c r="CN58" s="293"/>
      <c r="CO58" s="293"/>
      <c r="CP58" s="293">
        <f t="shared" si="47"/>
        <v>0</v>
      </c>
    </row>
    <row r="59" spans="1:95">
      <c r="A59" s="644">
        <v>29</v>
      </c>
      <c r="B59" s="645" t="s">
        <v>91</v>
      </c>
      <c r="C59" s="646" t="s">
        <v>723</v>
      </c>
      <c r="D59" s="647" t="s">
        <v>432</v>
      </c>
      <c r="E59" s="648" t="s">
        <v>439</v>
      </c>
      <c r="F59" s="642">
        <v>82.75</v>
      </c>
      <c r="G59" s="642">
        <v>39</v>
      </c>
      <c r="H59" s="643">
        <f>F59*G59*365</f>
        <v>1177946.25</v>
      </c>
      <c r="I59" s="291">
        <v>294486.56</v>
      </c>
      <c r="J59" s="295">
        <f>ROUND(F59*G59*365/4,0)</f>
        <v>294487</v>
      </c>
      <c r="K59" s="292">
        <f>J59</f>
        <v>294487</v>
      </c>
      <c r="L59" s="293">
        <f>K59</f>
        <v>294487</v>
      </c>
      <c r="M59" s="293">
        <f>L59</f>
        <v>294487</v>
      </c>
      <c r="N59" s="293">
        <f>ROUND(M59*(1+取值表!$D$8)*取值表!$I$8,0)</f>
        <v>302884</v>
      </c>
      <c r="O59" s="293">
        <f>N59</f>
        <v>302884</v>
      </c>
      <c r="P59" s="293">
        <f>O59</f>
        <v>302884</v>
      </c>
      <c r="Q59" s="293">
        <f>P59</f>
        <v>302884</v>
      </c>
      <c r="R59" s="294">
        <f>ROUND(Q59*(1+取值表!$D$8),0)</f>
        <v>331052</v>
      </c>
      <c r="S59" s="293">
        <f t="shared" ref="S59:T59" si="1255">R59</f>
        <v>331052</v>
      </c>
      <c r="T59" s="293">
        <f t="shared" si="1255"/>
        <v>331052</v>
      </c>
      <c r="U59" s="293">
        <f>T59</f>
        <v>331052</v>
      </c>
      <c r="V59" s="293">
        <f>ROUND(U59*(1+取值表!$D$8),0)</f>
        <v>361840</v>
      </c>
      <c r="W59" s="293">
        <f t="shared" ref="W59:Y59" si="1256">V59</f>
        <v>361840</v>
      </c>
      <c r="X59" s="293">
        <f t="shared" si="1256"/>
        <v>361840</v>
      </c>
      <c r="Y59" s="293">
        <f t="shared" si="1256"/>
        <v>361840</v>
      </c>
      <c r="Z59" s="293">
        <f>ROUND(Y59*(1+取值表!$D$8),0)</f>
        <v>395491</v>
      </c>
      <c r="AA59" s="293">
        <f t="shared" ref="AA59" si="1257">Z59</f>
        <v>395491</v>
      </c>
      <c r="AB59" s="293">
        <f t="shared" ref="AB59" si="1258">AA59</f>
        <v>395491</v>
      </c>
      <c r="AC59" s="293">
        <f>AB59</f>
        <v>395491</v>
      </c>
      <c r="AD59" s="293">
        <f>ROUND(AC59*(1+取值表!$D$8),0)</f>
        <v>432272</v>
      </c>
      <c r="AE59" s="293">
        <f t="shared" ref="AE59" si="1259">AD59</f>
        <v>432272</v>
      </c>
      <c r="AF59" s="293">
        <f t="shared" ref="AF59" si="1260">AE59</f>
        <v>432272</v>
      </c>
      <c r="AG59" s="293">
        <f t="shared" ref="AG59" si="1261">AF59</f>
        <v>432272</v>
      </c>
      <c r="AH59" s="293">
        <f>ROUND(AG59*(1+取值表!$D$8),0)</f>
        <v>472473</v>
      </c>
      <c r="AI59" s="293">
        <f t="shared" ref="AI59" si="1262">AH59</f>
        <v>472473</v>
      </c>
      <c r="AJ59" s="293">
        <f t="shared" ref="AJ59" si="1263">AI59</f>
        <v>472473</v>
      </c>
      <c r="AK59" s="293">
        <f t="shared" ref="AK59" si="1264">AJ59</f>
        <v>472473</v>
      </c>
      <c r="AL59" s="293">
        <f>ROUND(AK59*(1+取值表!$D$8),0)</f>
        <v>516413</v>
      </c>
      <c r="AM59" s="293">
        <f t="shared" ref="AM59" si="1265">AL59</f>
        <v>516413</v>
      </c>
      <c r="AN59" s="293">
        <f t="shared" ref="AN59" si="1266">AM59</f>
        <v>516413</v>
      </c>
      <c r="AO59" s="293">
        <f t="shared" ref="AO59" si="1267">AN59</f>
        <v>516413</v>
      </c>
      <c r="AP59" s="293">
        <f>ROUND(AO59*(1+取值表!$D$8),0)</f>
        <v>564439</v>
      </c>
      <c r="AQ59" s="293">
        <f t="shared" ref="AQ59" si="1268">AP59</f>
        <v>564439</v>
      </c>
      <c r="AR59" s="293">
        <f t="shared" ref="AR59" si="1269">AQ59</f>
        <v>564439</v>
      </c>
      <c r="AS59" s="293">
        <f t="shared" ref="AS59" si="1270">AR59</f>
        <v>564439</v>
      </c>
      <c r="AT59" s="293">
        <f>ROUND(AS59*(1+取值表!$D$8),0)</f>
        <v>616932</v>
      </c>
      <c r="AU59" s="293">
        <f t="shared" ref="AU59" si="1271">AT59</f>
        <v>616932</v>
      </c>
      <c r="AV59" s="293">
        <f t="shared" ref="AV59" si="1272">AU59</f>
        <v>616932</v>
      </c>
      <c r="AW59" s="293">
        <f t="shared" ref="AW59" si="1273">AV59</f>
        <v>616932</v>
      </c>
      <c r="AX59" s="293">
        <f>ROUND(AW59*(1+取值表!$D$8),0)</f>
        <v>674307</v>
      </c>
      <c r="AY59" s="293">
        <f t="shared" ref="AY59" si="1274">AX59</f>
        <v>674307</v>
      </c>
      <c r="AZ59" s="293">
        <f t="shared" ref="AZ59" si="1275">AY59</f>
        <v>674307</v>
      </c>
      <c r="BA59" s="293">
        <f t="shared" ref="BA59" si="1276">AZ59</f>
        <v>674307</v>
      </c>
      <c r="BB59" s="293">
        <f>ROUND(BA59*(1+取值表!$D$8),0)</f>
        <v>737018</v>
      </c>
      <c r="BC59" s="293">
        <f>BB59</f>
        <v>737018</v>
      </c>
      <c r="BD59" s="293">
        <f t="shared" ref="BD59" si="1277">BC59</f>
        <v>737018</v>
      </c>
      <c r="BE59" s="293">
        <f>BD59</f>
        <v>737018</v>
      </c>
      <c r="BF59" s="293">
        <f>ROUND(BE59*(1+取值表!$D$8),0)</f>
        <v>805561</v>
      </c>
      <c r="BG59" s="293">
        <f>BF59</f>
        <v>805561</v>
      </c>
      <c r="BH59" s="293">
        <f t="shared" ref="BH59" si="1278">BG59</f>
        <v>805561</v>
      </c>
      <c r="BI59" s="293">
        <f t="shared" ref="BI59" si="1279">BH59</f>
        <v>805561</v>
      </c>
      <c r="BJ59" s="293">
        <f>ROUND(BI59*(1+取值表!$D$8),0)</f>
        <v>880478</v>
      </c>
      <c r="BK59" s="293">
        <f t="shared" ref="BK59" si="1280">BJ59</f>
        <v>880478</v>
      </c>
      <c r="BL59" s="293">
        <f t="shared" ref="BL59" si="1281">BK59</f>
        <v>880478</v>
      </c>
      <c r="BM59" s="293">
        <f t="shared" ref="BM59" si="1282">BL59</f>
        <v>880478</v>
      </c>
      <c r="BN59" s="293">
        <f>ROUND(BM59*(1+取值表!$D$8),0)</f>
        <v>962362</v>
      </c>
      <c r="BO59" s="293">
        <f t="shared" ref="BO59" si="1283">BN59</f>
        <v>962362</v>
      </c>
      <c r="BP59" s="293">
        <f t="shared" ref="BP59" si="1284">BO59</f>
        <v>962362</v>
      </c>
      <c r="BQ59" s="293">
        <f t="shared" ref="BQ59" si="1285">BP59</f>
        <v>962362</v>
      </c>
      <c r="BR59" s="293">
        <f>ROUND(BQ59*(1+取值表!$D$8),0)</f>
        <v>1051862</v>
      </c>
      <c r="BS59" s="293">
        <f t="shared" ref="BS59" si="1286">BR59</f>
        <v>1051862</v>
      </c>
      <c r="BT59" s="293">
        <f t="shared" ref="BT59" si="1287">BS59</f>
        <v>1051862</v>
      </c>
      <c r="BU59" s="293">
        <f t="shared" ref="BU59" si="1288">BT59</f>
        <v>1051862</v>
      </c>
      <c r="BV59" s="293">
        <f>ROUND(BU59*(1+取值表!$D$8),0)</f>
        <v>1149685</v>
      </c>
      <c r="BW59" s="293">
        <f t="shared" ref="BW59" si="1289">BV59</f>
        <v>1149685</v>
      </c>
      <c r="BX59" s="293">
        <f t="shared" ref="BX59" si="1290">BW59</f>
        <v>1149685</v>
      </c>
      <c r="BY59" s="293">
        <f t="shared" ref="BY59" si="1291">BX59</f>
        <v>1149685</v>
      </c>
      <c r="BZ59" s="293">
        <f>ROUND(BY59*(1+取值表!$D$8),0)</f>
        <v>1256606</v>
      </c>
      <c r="CA59" s="293">
        <f t="shared" ref="CA59" si="1292">BZ59</f>
        <v>1256606</v>
      </c>
      <c r="CB59" s="293">
        <f t="shared" ref="CB59" si="1293">CA59</f>
        <v>1256606</v>
      </c>
      <c r="CC59" s="293">
        <f t="shared" ref="CC59" si="1294">CB59</f>
        <v>1256606</v>
      </c>
      <c r="CD59" s="293">
        <f>ROUND(CC59*(1+取值表!$D$8),0)</f>
        <v>1373470</v>
      </c>
      <c r="CE59" s="293">
        <f t="shared" ref="CE59" si="1295">CD59</f>
        <v>1373470</v>
      </c>
      <c r="CF59" s="293">
        <f t="shared" ref="CF59" si="1296">CE59</f>
        <v>1373470</v>
      </c>
      <c r="CG59" s="293">
        <f t="shared" ref="CG59" si="1297">CF59</f>
        <v>1373470</v>
      </c>
      <c r="CH59" s="293">
        <f>ROUND(CG59*(1+取值表!$D$8),0)</f>
        <v>1501203</v>
      </c>
      <c r="CI59" s="293">
        <f>CH59</f>
        <v>1501203</v>
      </c>
      <c r="CJ59" s="293">
        <f t="shared" ref="CJ59" si="1298">CI59</f>
        <v>1501203</v>
      </c>
      <c r="CK59" s="293">
        <f t="shared" ref="CK59" si="1299">CJ59</f>
        <v>1501203</v>
      </c>
      <c r="CL59" s="293">
        <f>ROUND(CK59*(1+取值表!$D$8),0)</f>
        <v>1640815</v>
      </c>
      <c r="CM59" s="293">
        <f>CL59</f>
        <v>1640815</v>
      </c>
      <c r="CN59" s="293">
        <f t="shared" ref="CN59" si="1300">CM59</f>
        <v>1640815</v>
      </c>
      <c r="CO59" s="293">
        <f t="shared" ref="CO59" si="1301">CN59</f>
        <v>1640815</v>
      </c>
      <c r="CP59" s="293">
        <f t="shared" si="47"/>
        <v>65286600</v>
      </c>
    </row>
    <row r="60" spans="1:95">
      <c r="A60" s="644"/>
      <c r="B60" s="645"/>
      <c r="C60" s="646"/>
      <c r="D60" s="647"/>
      <c r="E60" s="648"/>
      <c r="F60" s="642"/>
      <c r="G60" s="642"/>
      <c r="H60" s="643"/>
      <c r="I60" s="291"/>
      <c r="J60" s="295"/>
      <c r="K60" s="293"/>
      <c r="L60" s="293"/>
      <c r="M60" s="293"/>
      <c r="N60" s="293"/>
      <c r="O60" s="293"/>
      <c r="P60" s="293"/>
      <c r="Q60" s="293"/>
      <c r="R60" s="293"/>
      <c r="S60" s="293"/>
      <c r="T60" s="293"/>
      <c r="U60" s="293"/>
      <c r="V60" s="293"/>
      <c r="W60" s="293"/>
      <c r="X60" s="293"/>
      <c r="Y60" s="293"/>
      <c r="Z60" s="293"/>
      <c r="AA60" s="293"/>
      <c r="AB60" s="293"/>
      <c r="AC60" s="293"/>
      <c r="AD60" s="293"/>
      <c r="AE60" s="293"/>
      <c r="AF60" s="293"/>
      <c r="AG60" s="293"/>
      <c r="AH60" s="293"/>
      <c r="AI60" s="293"/>
      <c r="AJ60" s="293"/>
      <c r="AK60" s="293"/>
      <c r="AL60" s="293"/>
      <c r="AM60" s="293"/>
      <c r="AN60" s="293"/>
      <c r="AO60" s="293"/>
      <c r="AP60" s="293"/>
      <c r="AQ60" s="293"/>
      <c r="AR60" s="293"/>
      <c r="AS60" s="293"/>
      <c r="AT60" s="293"/>
      <c r="AU60" s="293"/>
      <c r="AV60" s="293"/>
      <c r="AW60" s="293"/>
      <c r="AX60" s="293"/>
      <c r="AY60" s="293"/>
      <c r="AZ60" s="293"/>
      <c r="BA60" s="293"/>
      <c r="BB60" s="293"/>
      <c r="BC60" s="293"/>
      <c r="BD60" s="293"/>
      <c r="BE60" s="293"/>
      <c r="BF60" s="293"/>
      <c r="BG60" s="293"/>
      <c r="BH60" s="293"/>
      <c r="BI60" s="293"/>
      <c r="BJ60" s="293"/>
      <c r="BK60" s="293"/>
      <c r="BL60" s="293"/>
      <c r="BM60" s="293"/>
      <c r="BN60" s="293"/>
      <c r="BO60" s="293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  <c r="CC60" s="293"/>
      <c r="CD60" s="293"/>
      <c r="CE60" s="293"/>
      <c r="CF60" s="293"/>
      <c r="CG60" s="293"/>
      <c r="CH60" s="293"/>
      <c r="CI60" s="293"/>
      <c r="CJ60" s="293"/>
      <c r="CK60" s="293"/>
      <c r="CL60" s="293"/>
      <c r="CM60" s="293"/>
      <c r="CN60" s="293"/>
      <c r="CO60" s="293"/>
      <c r="CP60" s="293">
        <f t="shared" si="47"/>
        <v>0</v>
      </c>
    </row>
    <row r="61" spans="1:95">
      <c r="A61" s="644">
        <v>30</v>
      </c>
      <c r="B61" s="658" t="s">
        <v>92</v>
      </c>
      <c r="C61" s="646" t="s">
        <v>93</v>
      </c>
      <c r="D61" s="647" t="s">
        <v>452</v>
      </c>
      <c r="E61" s="648" t="s">
        <v>439</v>
      </c>
      <c r="F61" s="642">
        <v>91.25</v>
      </c>
      <c r="G61" s="642">
        <v>37</v>
      </c>
      <c r="H61" s="643">
        <f>F61*G61*365</f>
        <v>1232331.25</v>
      </c>
      <c r="I61" s="291">
        <v>308082.81</v>
      </c>
      <c r="J61" s="295">
        <f>ROUND(F61*G61*365/4,0)</f>
        <v>308083</v>
      </c>
      <c r="K61" s="292">
        <f>J61</f>
        <v>308083</v>
      </c>
      <c r="L61" s="293">
        <f>K61</f>
        <v>308083</v>
      </c>
      <c r="M61" s="293">
        <f>L61</f>
        <v>308083</v>
      </c>
      <c r="N61" s="293">
        <f>ROUND(M61*(1+取值表!$D$8)*取值表!$I$8,0)</f>
        <v>316867</v>
      </c>
      <c r="O61" s="293">
        <f>N61</f>
        <v>316867</v>
      </c>
      <c r="P61" s="293">
        <f>O61</f>
        <v>316867</v>
      </c>
      <c r="Q61" s="293">
        <f>P61</f>
        <v>316867</v>
      </c>
      <c r="R61" s="294">
        <f>ROUND(Q61*(1+取值表!$D$8),0)</f>
        <v>346336</v>
      </c>
      <c r="S61" s="293">
        <f t="shared" ref="S61:T61" si="1302">R61</f>
        <v>346336</v>
      </c>
      <c r="T61" s="293">
        <f t="shared" si="1302"/>
        <v>346336</v>
      </c>
      <c r="U61" s="293">
        <f>T61</f>
        <v>346336</v>
      </c>
      <c r="V61" s="293">
        <f>ROUND(U61*(1+取值表!$D$8),0)</f>
        <v>378545</v>
      </c>
      <c r="W61" s="293">
        <f t="shared" ref="W61:Y61" si="1303">V61</f>
        <v>378545</v>
      </c>
      <c r="X61" s="293">
        <f t="shared" si="1303"/>
        <v>378545</v>
      </c>
      <c r="Y61" s="293">
        <f t="shared" si="1303"/>
        <v>378545</v>
      </c>
      <c r="Z61" s="293">
        <f>ROUND(Y61*(1+取值表!$D$8),0)</f>
        <v>413750</v>
      </c>
      <c r="AA61" s="293">
        <f t="shared" ref="AA61" si="1304">Z61</f>
        <v>413750</v>
      </c>
      <c r="AB61" s="293">
        <f t="shared" ref="AB61" si="1305">AA61</f>
        <v>413750</v>
      </c>
      <c r="AC61" s="293">
        <f>AB61</f>
        <v>413750</v>
      </c>
      <c r="AD61" s="293">
        <f>ROUND(AC61*(1+取值表!$D$8),0)</f>
        <v>452229</v>
      </c>
      <c r="AE61" s="293">
        <f t="shared" ref="AE61" si="1306">AD61</f>
        <v>452229</v>
      </c>
      <c r="AF61" s="293">
        <f t="shared" ref="AF61" si="1307">AE61</f>
        <v>452229</v>
      </c>
      <c r="AG61" s="293">
        <f t="shared" ref="AG61" si="1308">AF61</f>
        <v>452229</v>
      </c>
      <c r="AH61" s="293">
        <f>ROUND(AG61*(1+取值表!$D$8),0)</f>
        <v>494286</v>
      </c>
      <c r="AI61" s="293">
        <f t="shared" ref="AI61" si="1309">AH61</f>
        <v>494286</v>
      </c>
      <c r="AJ61" s="293">
        <f t="shared" ref="AJ61" si="1310">AI61</f>
        <v>494286</v>
      </c>
      <c r="AK61" s="293">
        <f t="shared" ref="AK61" si="1311">AJ61</f>
        <v>494286</v>
      </c>
      <c r="AL61" s="293">
        <f>ROUND(AK61*(1+取值表!$D$8),0)</f>
        <v>540255</v>
      </c>
      <c r="AM61" s="293">
        <f t="shared" ref="AM61" si="1312">AL61</f>
        <v>540255</v>
      </c>
      <c r="AN61" s="293">
        <f t="shared" ref="AN61" si="1313">AM61</f>
        <v>540255</v>
      </c>
      <c r="AO61" s="293">
        <f t="shared" ref="AO61" si="1314">AN61</f>
        <v>540255</v>
      </c>
      <c r="AP61" s="293">
        <f>ROUND(AO61*(1+取值表!$D$8),0)</f>
        <v>590499</v>
      </c>
      <c r="AQ61" s="293">
        <f t="shared" ref="AQ61" si="1315">AP61</f>
        <v>590499</v>
      </c>
      <c r="AR61" s="293">
        <f t="shared" ref="AR61" si="1316">AQ61</f>
        <v>590499</v>
      </c>
      <c r="AS61" s="293">
        <f t="shared" ref="AS61" si="1317">AR61</f>
        <v>590499</v>
      </c>
      <c r="AT61" s="293">
        <f>ROUND(AS61*(1+取值表!$D$8),0)</f>
        <v>645415</v>
      </c>
      <c r="AU61" s="293">
        <f t="shared" ref="AU61" si="1318">AT61</f>
        <v>645415</v>
      </c>
      <c r="AV61" s="293">
        <f t="shared" ref="AV61" si="1319">AU61</f>
        <v>645415</v>
      </c>
      <c r="AW61" s="293">
        <f t="shared" ref="AW61" si="1320">AV61</f>
        <v>645415</v>
      </c>
      <c r="AX61" s="293">
        <f>ROUND(AW61*(1+取值表!$D$8),0)</f>
        <v>705439</v>
      </c>
      <c r="AY61" s="293">
        <f t="shared" ref="AY61" si="1321">AX61</f>
        <v>705439</v>
      </c>
      <c r="AZ61" s="293">
        <f t="shared" ref="AZ61" si="1322">AY61</f>
        <v>705439</v>
      </c>
      <c r="BA61" s="293">
        <f t="shared" ref="BA61" si="1323">AZ61</f>
        <v>705439</v>
      </c>
      <c r="BB61" s="293">
        <f>ROUND(BA61*(1+取值表!$D$8),0)</f>
        <v>771045</v>
      </c>
      <c r="BC61" s="293">
        <f>BB61</f>
        <v>771045</v>
      </c>
      <c r="BD61" s="293">
        <f t="shared" ref="BD61" si="1324">BC61</f>
        <v>771045</v>
      </c>
      <c r="BE61" s="293">
        <f>BD61</f>
        <v>771045</v>
      </c>
      <c r="BF61" s="293">
        <f>ROUND(BE61*(1+取值表!$D$8),0)</f>
        <v>842752</v>
      </c>
      <c r="BG61" s="293">
        <f>BF61</f>
        <v>842752</v>
      </c>
      <c r="BH61" s="293">
        <f t="shared" ref="BH61" si="1325">BG61</f>
        <v>842752</v>
      </c>
      <c r="BI61" s="293">
        <f t="shared" ref="BI61" si="1326">BH61</f>
        <v>842752</v>
      </c>
      <c r="BJ61" s="293">
        <f>ROUND(BI61*(1+取值表!$D$8),0)</f>
        <v>921128</v>
      </c>
      <c r="BK61" s="293">
        <f t="shared" ref="BK61" si="1327">BJ61</f>
        <v>921128</v>
      </c>
      <c r="BL61" s="293">
        <f t="shared" ref="BL61" si="1328">BK61</f>
        <v>921128</v>
      </c>
      <c r="BM61" s="293">
        <f t="shared" ref="BM61" si="1329">BL61</f>
        <v>921128</v>
      </c>
      <c r="BN61" s="293">
        <f>ROUND(BM61*(1+取值表!$D$8),0)</f>
        <v>1006793</v>
      </c>
      <c r="BO61" s="293">
        <f t="shared" ref="BO61" si="1330">BN61</f>
        <v>1006793</v>
      </c>
      <c r="BP61" s="293">
        <f t="shared" ref="BP61" si="1331">BO61</f>
        <v>1006793</v>
      </c>
      <c r="BQ61" s="293">
        <f t="shared" ref="BQ61" si="1332">BP61</f>
        <v>1006793</v>
      </c>
      <c r="BR61" s="293">
        <f>ROUND(BQ61*(1+取值表!$D$8),0)</f>
        <v>1100425</v>
      </c>
      <c r="BS61" s="293">
        <f t="shared" ref="BS61" si="1333">BR61</f>
        <v>1100425</v>
      </c>
      <c r="BT61" s="293">
        <f t="shared" ref="BT61" si="1334">BS61</f>
        <v>1100425</v>
      </c>
      <c r="BU61" s="293">
        <f t="shared" ref="BU61" si="1335">BT61</f>
        <v>1100425</v>
      </c>
      <c r="BV61" s="293">
        <f>ROUND(BU61*(1+取值表!$D$8),0)</f>
        <v>1202765</v>
      </c>
      <c r="BW61" s="293">
        <f t="shared" ref="BW61" si="1336">BV61</f>
        <v>1202765</v>
      </c>
      <c r="BX61" s="293">
        <f t="shared" ref="BX61" si="1337">BW61</f>
        <v>1202765</v>
      </c>
      <c r="BY61" s="293">
        <f t="shared" ref="BY61" si="1338">BX61</f>
        <v>1202765</v>
      </c>
      <c r="BZ61" s="293">
        <f>ROUND(BY61*(1+取值表!$D$8),0)</f>
        <v>1314622</v>
      </c>
      <c r="CA61" s="293">
        <f t="shared" ref="CA61" si="1339">BZ61</f>
        <v>1314622</v>
      </c>
      <c r="CB61" s="293">
        <f t="shared" ref="CB61" si="1340">CA61</f>
        <v>1314622</v>
      </c>
      <c r="CC61" s="293">
        <f t="shared" ref="CC61" si="1341">CB61</f>
        <v>1314622</v>
      </c>
      <c r="CD61" s="293">
        <f>ROUND(CC61*(1+取值表!$D$8),0)</f>
        <v>1436882</v>
      </c>
      <c r="CE61" s="293">
        <f t="shared" ref="CE61" si="1342">CD61</f>
        <v>1436882</v>
      </c>
      <c r="CF61" s="293">
        <f t="shared" ref="CF61" si="1343">CE61</f>
        <v>1436882</v>
      </c>
      <c r="CG61" s="293">
        <f t="shared" ref="CG61" si="1344">CF61</f>
        <v>1436882</v>
      </c>
      <c r="CH61" s="293">
        <f>ROUND(CG61*(1+取值表!$D$8),0)</f>
        <v>1570512</v>
      </c>
      <c r="CI61" s="293">
        <f>CH61</f>
        <v>1570512</v>
      </c>
      <c r="CJ61" s="293">
        <f t="shared" ref="CJ61" si="1345">CI61</f>
        <v>1570512</v>
      </c>
      <c r="CK61" s="293">
        <f t="shared" ref="CK61" si="1346">CJ61</f>
        <v>1570512</v>
      </c>
      <c r="CL61" s="293">
        <f>ROUND(CK61*(1+取值表!$D$8),0)</f>
        <v>1716570</v>
      </c>
      <c r="CM61" s="293">
        <f>CL61</f>
        <v>1716570</v>
      </c>
      <c r="CN61" s="293">
        <f t="shared" ref="CN61" si="1347">CM61</f>
        <v>1716570</v>
      </c>
      <c r="CO61" s="293">
        <f t="shared" ref="CO61" si="1348">CN61</f>
        <v>1716570</v>
      </c>
      <c r="CP61" s="293">
        <f t="shared" si="47"/>
        <v>68300792</v>
      </c>
      <c r="CQ61" s="379"/>
    </row>
    <row r="62" spans="1:95">
      <c r="A62" s="644"/>
      <c r="B62" s="658"/>
      <c r="C62" s="646"/>
      <c r="D62" s="647"/>
      <c r="E62" s="648"/>
      <c r="F62" s="642"/>
      <c r="G62" s="642"/>
      <c r="H62" s="643"/>
      <c r="I62" s="291"/>
      <c r="J62" s="295"/>
      <c r="K62" s="293"/>
      <c r="L62" s="293"/>
      <c r="M62" s="293"/>
      <c r="N62" s="293"/>
      <c r="O62" s="293"/>
      <c r="P62" s="293"/>
      <c r="Q62" s="293"/>
      <c r="R62" s="293"/>
      <c r="S62" s="293"/>
      <c r="T62" s="293"/>
      <c r="U62" s="293"/>
      <c r="V62" s="293"/>
      <c r="W62" s="293"/>
      <c r="X62" s="293"/>
      <c r="Y62" s="293"/>
      <c r="Z62" s="293"/>
      <c r="AA62" s="293"/>
      <c r="AB62" s="293"/>
      <c r="AC62" s="293"/>
      <c r="AD62" s="293"/>
      <c r="AE62" s="293"/>
      <c r="AF62" s="293"/>
      <c r="AG62" s="293"/>
      <c r="AH62" s="293"/>
      <c r="AI62" s="293"/>
      <c r="AJ62" s="293"/>
      <c r="AK62" s="293"/>
      <c r="AL62" s="293"/>
      <c r="AM62" s="293"/>
      <c r="AN62" s="293"/>
      <c r="AO62" s="293"/>
      <c r="AP62" s="293"/>
      <c r="AQ62" s="293"/>
      <c r="AR62" s="293"/>
      <c r="AS62" s="293"/>
      <c r="AT62" s="293"/>
      <c r="AU62" s="293"/>
      <c r="AV62" s="293"/>
      <c r="AW62" s="293"/>
      <c r="AX62" s="293"/>
      <c r="AY62" s="293"/>
      <c r="AZ62" s="293"/>
      <c r="BA62" s="293"/>
      <c r="BB62" s="293"/>
      <c r="BC62" s="293"/>
      <c r="BD62" s="293"/>
      <c r="BE62" s="293"/>
      <c r="BF62" s="293"/>
      <c r="BG62" s="293"/>
      <c r="BH62" s="293"/>
      <c r="BI62" s="293"/>
      <c r="BJ62" s="293"/>
      <c r="BK62" s="293"/>
      <c r="BL62" s="293"/>
      <c r="BM62" s="293"/>
      <c r="BN62" s="293"/>
      <c r="BO62" s="293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  <c r="CC62" s="293"/>
      <c r="CD62" s="293"/>
      <c r="CE62" s="293"/>
      <c r="CF62" s="293"/>
      <c r="CG62" s="293"/>
      <c r="CH62" s="293"/>
      <c r="CI62" s="293"/>
      <c r="CJ62" s="293"/>
      <c r="CK62" s="293"/>
      <c r="CL62" s="293"/>
      <c r="CM62" s="293"/>
      <c r="CN62" s="293"/>
      <c r="CO62" s="293"/>
      <c r="CP62" s="293">
        <f t="shared" si="47"/>
        <v>0</v>
      </c>
    </row>
    <row r="63" spans="1:95" ht="12" customHeight="1">
      <c r="A63" s="644">
        <v>31</v>
      </c>
      <c r="B63" s="645" t="s">
        <v>94</v>
      </c>
      <c r="C63" s="646" t="s">
        <v>95</v>
      </c>
      <c r="D63" s="647" t="s">
        <v>453</v>
      </c>
      <c r="E63" s="648" t="s">
        <v>439</v>
      </c>
      <c r="F63" s="642">
        <v>75</v>
      </c>
      <c r="G63" s="642">
        <v>42.5</v>
      </c>
      <c r="H63" s="643">
        <f>F63*G63*365</f>
        <v>1163437.5</v>
      </c>
      <c r="I63" s="291">
        <v>246375</v>
      </c>
      <c r="J63" s="295">
        <f>ROUND(G63*F63*365/4,0)</f>
        <v>290859</v>
      </c>
      <c r="K63" s="295">
        <f>J63</f>
        <v>290859</v>
      </c>
      <c r="L63" s="292">
        <f>K63</f>
        <v>290859</v>
      </c>
      <c r="M63" s="293">
        <f>L63</f>
        <v>290859</v>
      </c>
      <c r="N63" s="293">
        <f>ROUND(M63*(1+取值表!$D$8)*取值表!$I$8,0)</f>
        <v>299152</v>
      </c>
      <c r="O63" s="293">
        <f>N63</f>
        <v>299152</v>
      </c>
      <c r="P63" s="293">
        <f>O63</f>
        <v>299152</v>
      </c>
      <c r="Q63" s="293">
        <f>P63</f>
        <v>299152</v>
      </c>
      <c r="R63" s="294">
        <f>ROUND(Q63*(1+取值表!$D$8),0)</f>
        <v>326973</v>
      </c>
      <c r="S63" s="293">
        <f t="shared" ref="S63:T63" si="1349">R63</f>
        <v>326973</v>
      </c>
      <c r="T63" s="293">
        <f t="shared" si="1349"/>
        <v>326973</v>
      </c>
      <c r="U63" s="293">
        <f>T63</f>
        <v>326973</v>
      </c>
      <c r="V63" s="293">
        <f>ROUND(U63*(1+取值表!$D$8),0)</f>
        <v>357381</v>
      </c>
      <c r="W63" s="293">
        <f t="shared" ref="W63:Y63" si="1350">V63</f>
        <v>357381</v>
      </c>
      <c r="X63" s="293">
        <f t="shared" si="1350"/>
        <v>357381</v>
      </c>
      <c r="Y63" s="293">
        <f t="shared" si="1350"/>
        <v>357381</v>
      </c>
      <c r="Z63" s="293">
        <f>ROUND(Y63*(1+取值表!$D$8),0)</f>
        <v>390617</v>
      </c>
      <c r="AA63" s="293">
        <f t="shared" ref="AA63" si="1351">Z63</f>
        <v>390617</v>
      </c>
      <c r="AB63" s="293">
        <f t="shared" ref="AB63" si="1352">AA63</f>
        <v>390617</v>
      </c>
      <c r="AC63" s="293">
        <f>AB63</f>
        <v>390617</v>
      </c>
      <c r="AD63" s="293">
        <f>ROUND(AC63*(1+取值表!$D$8),0)</f>
        <v>426944</v>
      </c>
      <c r="AE63" s="293">
        <f t="shared" ref="AE63" si="1353">AD63</f>
        <v>426944</v>
      </c>
      <c r="AF63" s="293">
        <f t="shared" ref="AF63" si="1354">AE63</f>
        <v>426944</v>
      </c>
      <c r="AG63" s="293">
        <f t="shared" ref="AG63" si="1355">AF63</f>
        <v>426944</v>
      </c>
      <c r="AH63" s="293">
        <f>ROUND(AG63*(1+取值表!$D$8),0)</f>
        <v>466650</v>
      </c>
      <c r="AI63" s="293">
        <f t="shared" ref="AI63" si="1356">AH63</f>
        <v>466650</v>
      </c>
      <c r="AJ63" s="293">
        <f t="shared" ref="AJ63" si="1357">AI63</f>
        <v>466650</v>
      </c>
      <c r="AK63" s="293">
        <f t="shared" ref="AK63" si="1358">AJ63</f>
        <v>466650</v>
      </c>
      <c r="AL63" s="293">
        <f>ROUND(AK63*(1+取值表!$D$8),0)</f>
        <v>510048</v>
      </c>
      <c r="AM63" s="293">
        <f t="shared" ref="AM63" si="1359">AL63</f>
        <v>510048</v>
      </c>
      <c r="AN63" s="293">
        <f t="shared" ref="AN63" si="1360">AM63</f>
        <v>510048</v>
      </c>
      <c r="AO63" s="293">
        <f t="shared" ref="AO63" si="1361">AN63</f>
        <v>510048</v>
      </c>
      <c r="AP63" s="293">
        <f>ROUND(AO63*(1+取值表!$D$8),0)</f>
        <v>557482</v>
      </c>
      <c r="AQ63" s="293">
        <f t="shared" ref="AQ63" si="1362">AP63</f>
        <v>557482</v>
      </c>
      <c r="AR63" s="293">
        <f t="shared" ref="AR63" si="1363">AQ63</f>
        <v>557482</v>
      </c>
      <c r="AS63" s="293">
        <f t="shared" ref="AS63" si="1364">AR63</f>
        <v>557482</v>
      </c>
      <c r="AT63" s="293">
        <f>ROUND(AS63*(1+取值表!$D$8),0)</f>
        <v>609328</v>
      </c>
      <c r="AU63" s="293">
        <f t="shared" ref="AU63" si="1365">AT63</f>
        <v>609328</v>
      </c>
      <c r="AV63" s="293">
        <f t="shared" ref="AV63" si="1366">AU63</f>
        <v>609328</v>
      </c>
      <c r="AW63" s="293">
        <f t="shared" ref="AW63" si="1367">AV63</f>
        <v>609328</v>
      </c>
      <c r="AX63" s="293">
        <f>ROUND(AW63*(1+取值表!$D$8),0)</f>
        <v>665996</v>
      </c>
      <c r="AY63" s="293">
        <f t="shared" ref="AY63" si="1368">AX63</f>
        <v>665996</v>
      </c>
      <c r="AZ63" s="293">
        <f t="shared" ref="AZ63" si="1369">AY63</f>
        <v>665996</v>
      </c>
      <c r="BA63" s="293">
        <f t="shared" ref="BA63" si="1370">AZ63</f>
        <v>665996</v>
      </c>
      <c r="BB63" s="293">
        <f>ROUND(BA63*(1+取值表!$D$8),0)</f>
        <v>727934</v>
      </c>
      <c r="BC63" s="293">
        <f>BB63</f>
        <v>727934</v>
      </c>
      <c r="BD63" s="293">
        <f t="shared" ref="BD63" si="1371">BC63</f>
        <v>727934</v>
      </c>
      <c r="BE63" s="293">
        <f>BD63</f>
        <v>727934</v>
      </c>
      <c r="BF63" s="293">
        <f>ROUND(BE63*(1+取值表!$D$8),0)</f>
        <v>795632</v>
      </c>
      <c r="BG63" s="293">
        <f>BF63</f>
        <v>795632</v>
      </c>
      <c r="BH63" s="293">
        <f t="shared" ref="BH63" si="1372">BG63</f>
        <v>795632</v>
      </c>
      <c r="BI63" s="293">
        <f t="shared" ref="BI63" si="1373">BH63</f>
        <v>795632</v>
      </c>
      <c r="BJ63" s="293">
        <f>ROUND(BI63*(1+取值表!$D$8),0)</f>
        <v>869626</v>
      </c>
      <c r="BK63" s="293">
        <f t="shared" ref="BK63" si="1374">BJ63</f>
        <v>869626</v>
      </c>
      <c r="BL63" s="293">
        <f t="shared" ref="BL63" si="1375">BK63</f>
        <v>869626</v>
      </c>
      <c r="BM63" s="293">
        <f t="shared" ref="BM63" si="1376">BL63</f>
        <v>869626</v>
      </c>
      <c r="BN63" s="293">
        <f>ROUND(BM63*(1+取值表!$D$8),0)</f>
        <v>950501</v>
      </c>
      <c r="BO63" s="293">
        <f t="shared" ref="BO63" si="1377">BN63</f>
        <v>950501</v>
      </c>
      <c r="BP63" s="293">
        <f t="shared" ref="BP63" si="1378">BO63</f>
        <v>950501</v>
      </c>
      <c r="BQ63" s="293">
        <f t="shared" ref="BQ63" si="1379">BP63</f>
        <v>950501</v>
      </c>
      <c r="BR63" s="293">
        <f>ROUND(BQ63*(1+取值表!$D$8),0)</f>
        <v>1038898</v>
      </c>
      <c r="BS63" s="293">
        <f t="shared" ref="BS63" si="1380">BR63</f>
        <v>1038898</v>
      </c>
      <c r="BT63" s="293">
        <f t="shared" ref="BT63" si="1381">BS63</f>
        <v>1038898</v>
      </c>
      <c r="BU63" s="293">
        <f t="shared" ref="BU63" si="1382">BT63</f>
        <v>1038898</v>
      </c>
      <c r="BV63" s="293">
        <f>ROUND(BU63*(1+取值表!$D$8),0)</f>
        <v>1135516</v>
      </c>
      <c r="BW63" s="293">
        <f t="shared" ref="BW63" si="1383">BV63</f>
        <v>1135516</v>
      </c>
      <c r="BX63" s="293">
        <f t="shared" ref="BX63" si="1384">BW63</f>
        <v>1135516</v>
      </c>
      <c r="BY63" s="293">
        <f t="shared" ref="BY63" si="1385">BX63</f>
        <v>1135516</v>
      </c>
      <c r="BZ63" s="293">
        <f>ROUND(BY63*(1+取值表!$D$8),0)</f>
        <v>1241119</v>
      </c>
      <c r="CA63" s="293">
        <f t="shared" ref="CA63" si="1386">BZ63</f>
        <v>1241119</v>
      </c>
      <c r="CB63" s="293">
        <f t="shared" ref="CB63" si="1387">CA63</f>
        <v>1241119</v>
      </c>
      <c r="CC63" s="293">
        <f t="shared" ref="CC63" si="1388">CB63</f>
        <v>1241119</v>
      </c>
      <c r="CD63" s="293">
        <f>ROUND(CC63*(1+取值表!$D$8),0)</f>
        <v>1356543</v>
      </c>
      <c r="CE63" s="293">
        <f t="shared" ref="CE63" si="1389">CD63</f>
        <v>1356543</v>
      </c>
      <c r="CF63" s="293">
        <f t="shared" ref="CF63" si="1390">CE63</f>
        <v>1356543</v>
      </c>
      <c r="CG63" s="293">
        <f t="shared" ref="CG63" si="1391">CF63</f>
        <v>1356543</v>
      </c>
      <c r="CH63" s="293">
        <f>ROUND(CG63*(1+取值表!$D$8),0)</f>
        <v>1482701</v>
      </c>
      <c r="CI63" s="293">
        <f>CH63</f>
        <v>1482701</v>
      </c>
      <c r="CJ63" s="293">
        <f t="shared" ref="CJ63" si="1392">CI63</f>
        <v>1482701</v>
      </c>
      <c r="CK63" s="293">
        <f t="shared" ref="CK63" si="1393">CJ63</f>
        <v>1482701</v>
      </c>
      <c r="CL63" s="293">
        <f>ROUND(CK63*(1+取值表!$D$8),0)</f>
        <v>1620592</v>
      </c>
      <c r="CM63" s="293">
        <f>CL63</f>
        <v>1620592</v>
      </c>
      <c r="CN63" s="293">
        <f t="shared" ref="CN63" si="1394">CM63</f>
        <v>1620592</v>
      </c>
      <c r="CO63" s="293">
        <f t="shared" ref="CO63" si="1395">CN63</f>
        <v>1620592</v>
      </c>
      <c r="CP63" s="293">
        <f t="shared" si="47"/>
        <v>64481968</v>
      </c>
    </row>
    <row r="64" spans="1:95" ht="12" customHeight="1">
      <c r="A64" s="644"/>
      <c r="B64" s="645"/>
      <c r="C64" s="646"/>
      <c r="D64" s="647"/>
      <c r="E64" s="648"/>
      <c r="F64" s="642"/>
      <c r="G64" s="642"/>
      <c r="H64" s="643"/>
      <c r="I64" s="291"/>
      <c r="J64" s="295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  <c r="W64" s="293"/>
      <c r="X64" s="293"/>
      <c r="Y64" s="293"/>
      <c r="Z64" s="293"/>
      <c r="AA64" s="293"/>
      <c r="AB64" s="293"/>
      <c r="AC64" s="293"/>
      <c r="AD64" s="293"/>
      <c r="AE64" s="293"/>
      <c r="AF64" s="293"/>
      <c r="AG64" s="293"/>
      <c r="AH64" s="293"/>
      <c r="AI64" s="293"/>
      <c r="AJ64" s="293"/>
      <c r="AK64" s="293"/>
      <c r="AL64" s="293"/>
      <c r="AM64" s="293"/>
      <c r="AN64" s="293"/>
      <c r="AO64" s="293"/>
      <c r="AP64" s="293"/>
      <c r="AQ64" s="293"/>
      <c r="AR64" s="293"/>
      <c r="AS64" s="293"/>
      <c r="AT64" s="293"/>
      <c r="AU64" s="293"/>
      <c r="AV64" s="293"/>
      <c r="AW64" s="293"/>
      <c r="AX64" s="293"/>
      <c r="AY64" s="293"/>
      <c r="AZ64" s="293"/>
      <c r="BA64" s="293"/>
      <c r="BB64" s="293"/>
      <c r="BC64" s="293"/>
      <c r="BD64" s="293"/>
      <c r="BE64" s="293"/>
      <c r="BF64" s="293"/>
      <c r="BG64" s="293"/>
      <c r="BH64" s="293"/>
      <c r="BI64" s="293"/>
      <c r="BJ64" s="293"/>
      <c r="BK64" s="293"/>
      <c r="BL64" s="293"/>
      <c r="BM64" s="293"/>
      <c r="BN64" s="293"/>
      <c r="BO64" s="293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  <c r="CC64" s="293"/>
      <c r="CD64" s="293"/>
      <c r="CE64" s="293"/>
      <c r="CF64" s="293"/>
      <c r="CG64" s="293"/>
      <c r="CH64" s="293"/>
      <c r="CI64" s="293"/>
      <c r="CJ64" s="293"/>
      <c r="CK64" s="293"/>
      <c r="CL64" s="293"/>
      <c r="CM64" s="293"/>
      <c r="CN64" s="293"/>
      <c r="CO64" s="293"/>
      <c r="CP64" s="293">
        <f t="shared" si="47"/>
        <v>0</v>
      </c>
    </row>
    <row r="65" spans="1:212" ht="12" customHeight="1">
      <c r="A65" s="644">
        <v>32</v>
      </c>
      <c r="B65" s="645" t="s">
        <v>96</v>
      </c>
      <c r="C65" s="646" t="s">
        <v>724</v>
      </c>
      <c r="D65" s="647" t="s">
        <v>454</v>
      </c>
      <c r="E65" s="648" t="s">
        <v>439</v>
      </c>
      <c r="F65" s="642">
        <v>31.91</v>
      </c>
      <c r="G65" s="642">
        <v>44</v>
      </c>
      <c r="H65" s="643">
        <f>F65*G65*365</f>
        <v>512474.6</v>
      </c>
      <c r="I65" s="291">
        <v>128118.65</v>
      </c>
      <c r="J65" s="292">
        <f>ROUND(F65*G65*365/4,0)</f>
        <v>128119</v>
      </c>
      <c r="K65" s="293">
        <f>J65</f>
        <v>128119</v>
      </c>
      <c r="L65" s="293">
        <f>K65</f>
        <v>128119</v>
      </c>
      <c r="M65" s="293">
        <f>L65</f>
        <v>128119</v>
      </c>
      <c r="N65" s="293">
        <f>ROUND(M65*(1+取值表!$D$8)*取值表!$I$8,0)</f>
        <v>131772</v>
      </c>
      <c r="O65" s="293">
        <f>N65</f>
        <v>131772</v>
      </c>
      <c r="P65" s="293">
        <f>O65</f>
        <v>131772</v>
      </c>
      <c r="Q65" s="293">
        <f>P65</f>
        <v>131772</v>
      </c>
      <c r="R65" s="294">
        <f>ROUND(Q65*(1+取值表!$D$8),0)</f>
        <v>144027</v>
      </c>
      <c r="S65" s="293">
        <f t="shared" ref="S65:T65" si="1396">R65</f>
        <v>144027</v>
      </c>
      <c r="T65" s="293">
        <f t="shared" si="1396"/>
        <v>144027</v>
      </c>
      <c r="U65" s="293">
        <f>T65</f>
        <v>144027</v>
      </c>
      <c r="V65" s="293">
        <f>ROUND(U65*(1+取值表!$D$8),0)</f>
        <v>157422</v>
      </c>
      <c r="W65" s="293">
        <f t="shared" ref="W65:Y65" si="1397">V65</f>
        <v>157422</v>
      </c>
      <c r="X65" s="293">
        <f t="shared" si="1397"/>
        <v>157422</v>
      </c>
      <c r="Y65" s="293">
        <f t="shared" si="1397"/>
        <v>157422</v>
      </c>
      <c r="Z65" s="293">
        <f>ROUND(Y65*(1+取值表!$D$8),0)</f>
        <v>172062</v>
      </c>
      <c r="AA65" s="293">
        <f t="shared" ref="AA65" si="1398">Z65</f>
        <v>172062</v>
      </c>
      <c r="AB65" s="293">
        <f t="shared" ref="AB65" si="1399">AA65</f>
        <v>172062</v>
      </c>
      <c r="AC65" s="293">
        <f>AB65</f>
        <v>172062</v>
      </c>
      <c r="AD65" s="293">
        <f>ROUND(AC65*(1+取值表!$D$8),0)</f>
        <v>188064</v>
      </c>
      <c r="AE65" s="293">
        <f t="shared" ref="AE65" si="1400">AD65</f>
        <v>188064</v>
      </c>
      <c r="AF65" s="293">
        <f t="shared" ref="AF65" si="1401">AE65</f>
        <v>188064</v>
      </c>
      <c r="AG65" s="293">
        <f t="shared" ref="AG65" si="1402">AF65</f>
        <v>188064</v>
      </c>
      <c r="AH65" s="293">
        <f>ROUND(AG65*(1+取值表!$D$8),0)</f>
        <v>205554</v>
      </c>
      <c r="AI65" s="293">
        <f t="shared" ref="AI65" si="1403">AH65</f>
        <v>205554</v>
      </c>
      <c r="AJ65" s="293">
        <f t="shared" ref="AJ65" si="1404">AI65</f>
        <v>205554</v>
      </c>
      <c r="AK65" s="293">
        <f t="shared" ref="AK65" si="1405">AJ65</f>
        <v>205554</v>
      </c>
      <c r="AL65" s="293">
        <f>ROUND(AK65*(1+取值表!$D$8),0)</f>
        <v>224671</v>
      </c>
      <c r="AM65" s="293">
        <f t="shared" ref="AM65" si="1406">AL65</f>
        <v>224671</v>
      </c>
      <c r="AN65" s="293">
        <f t="shared" ref="AN65" si="1407">AM65</f>
        <v>224671</v>
      </c>
      <c r="AO65" s="293">
        <f t="shared" ref="AO65" si="1408">AN65</f>
        <v>224671</v>
      </c>
      <c r="AP65" s="293">
        <f>ROUND(AO65*(1+取值表!$D$8),0)</f>
        <v>245565</v>
      </c>
      <c r="AQ65" s="293">
        <f t="shared" ref="AQ65" si="1409">AP65</f>
        <v>245565</v>
      </c>
      <c r="AR65" s="293">
        <f t="shared" ref="AR65" si="1410">AQ65</f>
        <v>245565</v>
      </c>
      <c r="AS65" s="293">
        <f t="shared" ref="AS65" si="1411">AR65</f>
        <v>245565</v>
      </c>
      <c r="AT65" s="293">
        <f>ROUND(AS65*(1+取值表!$D$8),0)</f>
        <v>268403</v>
      </c>
      <c r="AU65" s="293">
        <f t="shared" ref="AU65" si="1412">AT65</f>
        <v>268403</v>
      </c>
      <c r="AV65" s="293">
        <f t="shared" ref="AV65" si="1413">AU65</f>
        <v>268403</v>
      </c>
      <c r="AW65" s="293">
        <f t="shared" ref="AW65" si="1414">AV65</f>
        <v>268403</v>
      </c>
      <c r="AX65" s="293">
        <f>ROUND(AW65*(1+取值表!$D$8),0)</f>
        <v>293364</v>
      </c>
      <c r="AY65" s="293">
        <f t="shared" ref="AY65" si="1415">AX65</f>
        <v>293364</v>
      </c>
      <c r="AZ65" s="293">
        <f t="shared" ref="AZ65" si="1416">AY65</f>
        <v>293364</v>
      </c>
      <c r="BA65" s="293">
        <f t="shared" ref="BA65" si="1417">AZ65</f>
        <v>293364</v>
      </c>
      <c r="BB65" s="293">
        <f>ROUND(BA65*(1+取值表!$D$8),0)</f>
        <v>320647</v>
      </c>
      <c r="BC65" s="293">
        <f>BB65</f>
        <v>320647</v>
      </c>
      <c r="BD65" s="293">
        <f t="shared" ref="BD65" si="1418">BC65</f>
        <v>320647</v>
      </c>
      <c r="BE65" s="293">
        <f>BD65</f>
        <v>320647</v>
      </c>
      <c r="BF65" s="293">
        <f>ROUND(BE65*(1+取值表!$D$8),0)</f>
        <v>350467</v>
      </c>
      <c r="BG65" s="293">
        <f>BF65</f>
        <v>350467</v>
      </c>
      <c r="BH65" s="293">
        <f t="shared" ref="BH65" si="1419">BG65</f>
        <v>350467</v>
      </c>
      <c r="BI65" s="293">
        <f t="shared" ref="BI65" si="1420">BH65</f>
        <v>350467</v>
      </c>
      <c r="BJ65" s="293">
        <f>ROUND(BI65*(1+取值表!$D$8),0)</f>
        <v>383060</v>
      </c>
      <c r="BK65" s="293">
        <f t="shared" ref="BK65" si="1421">BJ65</f>
        <v>383060</v>
      </c>
      <c r="BL65" s="293">
        <f t="shared" ref="BL65" si="1422">BK65</f>
        <v>383060</v>
      </c>
      <c r="BM65" s="293">
        <f t="shared" ref="BM65" si="1423">BL65</f>
        <v>383060</v>
      </c>
      <c r="BN65" s="293">
        <f>ROUND(BM65*(1+取值表!$D$8),0)</f>
        <v>418685</v>
      </c>
      <c r="BO65" s="293">
        <f t="shared" ref="BO65" si="1424">BN65</f>
        <v>418685</v>
      </c>
      <c r="BP65" s="293">
        <f t="shared" ref="BP65" si="1425">BO65</f>
        <v>418685</v>
      </c>
      <c r="BQ65" s="293">
        <f t="shared" ref="BQ65" si="1426">BP65</f>
        <v>418685</v>
      </c>
      <c r="BR65" s="293">
        <f>ROUND(BQ65*(1+取值表!$D$8),0)</f>
        <v>457623</v>
      </c>
      <c r="BS65" s="293">
        <f t="shared" ref="BS65" si="1427">BR65</f>
        <v>457623</v>
      </c>
      <c r="BT65" s="293">
        <f t="shared" ref="BT65" si="1428">BS65</f>
        <v>457623</v>
      </c>
      <c r="BU65" s="293">
        <f t="shared" ref="BU65" si="1429">BT65</f>
        <v>457623</v>
      </c>
      <c r="BV65" s="293">
        <f>ROUND(BU65*(1+取值表!$D$8),0)</f>
        <v>500182</v>
      </c>
      <c r="BW65" s="293">
        <f t="shared" ref="BW65" si="1430">BV65</f>
        <v>500182</v>
      </c>
      <c r="BX65" s="293">
        <f t="shared" ref="BX65" si="1431">BW65</f>
        <v>500182</v>
      </c>
      <c r="BY65" s="293">
        <f t="shared" ref="BY65" si="1432">BX65</f>
        <v>500182</v>
      </c>
      <c r="BZ65" s="293">
        <f>ROUND(BY65*(1+取值表!$D$8),0)</f>
        <v>546699</v>
      </c>
      <c r="CA65" s="293">
        <f t="shared" ref="CA65" si="1433">BZ65</f>
        <v>546699</v>
      </c>
      <c r="CB65" s="293">
        <f t="shared" ref="CB65" si="1434">CA65</f>
        <v>546699</v>
      </c>
      <c r="CC65" s="293">
        <f t="shared" ref="CC65" si="1435">CB65</f>
        <v>546699</v>
      </c>
      <c r="CD65" s="293">
        <f>ROUND(CC65*(1+取值表!$D$8),0)</f>
        <v>597542</v>
      </c>
      <c r="CE65" s="293">
        <f t="shared" ref="CE65" si="1436">CD65</f>
        <v>597542</v>
      </c>
      <c r="CF65" s="293">
        <f t="shared" ref="CF65" si="1437">CE65</f>
        <v>597542</v>
      </c>
      <c r="CG65" s="293">
        <f t="shared" ref="CG65" si="1438">CF65</f>
        <v>597542</v>
      </c>
      <c r="CH65" s="293">
        <f>ROUND(CG65*(1+取值表!$D$8),0)</f>
        <v>653113</v>
      </c>
      <c r="CI65" s="293">
        <f>CH65</f>
        <v>653113</v>
      </c>
      <c r="CJ65" s="293">
        <f t="shared" ref="CJ65" si="1439">CI65</f>
        <v>653113</v>
      </c>
      <c r="CK65" s="293">
        <f t="shared" ref="CK65" si="1440">CJ65</f>
        <v>653113</v>
      </c>
      <c r="CL65" s="293">
        <f>ROUND(CK65*(1+取值表!$D$8),0)</f>
        <v>713853</v>
      </c>
      <c r="CM65" s="293">
        <f>CL65</f>
        <v>713853</v>
      </c>
      <c r="CN65" s="293">
        <f t="shared" ref="CN65" si="1441">CM65</f>
        <v>713853</v>
      </c>
      <c r="CO65" s="293">
        <f t="shared" ref="CO65" si="1442">CN65</f>
        <v>713853</v>
      </c>
      <c r="CP65" s="293">
        <f t="shared" si="47"/>
        <v>28403576</v>
      </c>
    </row>
    <row r="66" spans="1:212" ht="12" customHeight="1">
      <c r="A66" s="644"/>
      <c r="B66" s="645"/>
      <c r="C66" s="646"/>
      <c r="D66" s="647"/>
      <c r="E66" s="648"/>
      <c r="F66" s="642"/>
      <c r="G66" s="642"/>
      <c r="H66" s="643"/>
      <c r="I66" s="291"/>
      <c r="J66" s="295"/>
      <c r="K66" s="293"/>
      <c r="L66" s="293"/>
      <c r="M66" s="293"/>
      <c r="N66" s="293"/>
      <c r="O66" s="293"/>
      <c r="P66" s="293"/>
      <c r="Q66" s="293"/>
      <c r="R66" s="293"/>
      <c r="S66" s="293"/>
      <c r="T66" s="293"/>
      <c r="U66" s="293"/>
      <c r="V66" s="293"/>
      <c r="W66" s="293"/>
      <c r="X66" s="293"/>
      <c r="Y66" s="293"/>
      <c r="Z66" s="293"/>
      <c r="AA66" s="293"/>
      <c r="AB66" s="293"/>
      <c r="AC66" s="293"/>
      <c r="AD66" s="293"/>
      <c r="AE66" s="293"/>
      <c r="AF66" s="293"/>
      <c r="AG66" s="293"/>
      <c r="AH66" s="293"/>
      <c r="AI66" s="293"/>
      <c r="AJ66" s="293"/>
      <c r="AK66" s="293"/>
      <c r="AL66" s="293"/>
      <c r="AM66" s="293"/>
      <c r="AN66" s="293"/>
      <c r="AO66" s="293"/>
      <c r="AP66" s="293"/>
      <c r="AQ66" s="293"/>
      <c r="AR66" s="293"/>
      <c r="AS66" s="293"/>
      <c r="AT66" s="293"/>
      <c r="AU66" s="293"/>
      <c r="AV66" s="293"/>
      <c r="AW66" s="293"/>
      <c r="AX66" s="293"/>
      <c r="AY66" s="293"/>
      <c r="AZ66" s="293"/>
      <c r="BA66" s="293"/>
      <c r="BB66" s="293"/>
      <c r="BC66" s="293"/>
      <c r="BD66" s="293"/>
      <c r="BE66" s="293"/>
      <c r="BF66" s="293"/>
      <c r="BG66" s="293"/>
      <c r="BH66" s="293"/>
      <c r="BI66" s="293"/>
      <c r="BJ66" s="293"/>
      <c r="BK66" s="293"/>
      <c r="BL66" s="293"/>
      <c r="BM66" s="293"/>
      <c r="BN66" s="293"/>
      <c r="BO66" s="293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  <c r="CA66" s="293"/>
      <c r="CB66" s="293"/>
      <c r="CC66" s="293"/>
      <c r="CD66" s="293"/>
      <c r="CE66" s="293"/>
      <c r="CF66" s="293"/>
      <c r="CG66" s="293"/>
      <c r="CH66" s="293"/>
      <c r="CI66" s="293"/>
      <c r="CJ66" s="293"/>
      <c r="CK66" s="293"/>
      <c r="CL66" s="293"/>
      <c r="CM66" s="293"/>
      <c r="CN66" s="293"/>
      <c r="CO66" s="293"/>
      <c r="CP66" s="293">
        <f t="shared" si="47"/>
        <v>0</v>
      </c>
    </row>
    <row r="67" spans="1:212" s="300" customFormat="1" ht="11.25" customHeight="1">
      <c r="A67" s="644">
        <v>33</v>
      </c>
      <c r="B67" s="658" t="s">
        <v>97</v>
      </c>
      <c r="C67" s="659" t="s">
        <v>98</v>
      </c>
      <c r="D67" s="647" t="s">
        <v>99</v>
      </c>
      <c r="E67" s="660" t="s">
        <v>439</v>
      </c>
      <c r="F67" s="661">
        <v>92</v>
      </c>
      <c r="G67" s="661">
        <v>15.75</v>
      </c>
      <c r="H67" s="662">
        <f>F67*G67*365</f>
        <v>528885</v>
      </c>
      <c r="I67" s="298">
        <v>100000</v>
      </c>
      <c r="J67" s="295">
        <f>ROUND(G67*F67*365/4,0)</f>
        <v>132221</v>
      </c>
      <c r="K67" s="295">
        <f t="shared" ref="K67:AN67" si="1443">J67</f>
        <v>132221</v>
      </c>
      <c r="L67" s="295">
        <f t="shared" si="1443"/>
        <v>132221</v>
      </c>
      <c r="M67" s="295">
        <f t="shared" si="1443"/>
        <v>132221</v>
      </c>
      <c r="N67" s="295">
        <f t="shared" si="1443"/>
        <v>132221</v>
      </c>
      <c r="O67" s="295">
        <f>N67</f>
        <v>132221</v>
      </c>
      <c r="P67" s="295">
        <f>O67</f>
        <v>132221</v>
      </c>
      <c r="Q67" s="295">
        <f>P67</f>
        <v>132221</v>
      </c>
      <c r="R67" s="295">
        <f t="shared" si="1443"/>
        <v>132221</v>
      </c>
      <c r="S67" s="295">
        <f t="shared" si="1443"/>
        <v>132221</v>
      </c>
      <c r="T67" s="295">
        <f t="shared" si="1443"/>
        <v>132221</v>
      </c>
      <c r="U67" s="295">
        <f>T67</f>
        <v>132221</v>
      </c>
      <c r="V67" s="295">
        <f t="shared" si="1443"/>
        <v>132221</v>
      </c>
      <c r="W67" s="295">
        <f t="shared" si="1443"/>
        <v>132221</v>
      </c>
      <c r="X67" s="295">
        <f t="shared" si="1443"/>
        <v>132221</v>
      </c>
      <c r="Y67" s="295">
        <f t="shared" si="1443"/>
        <v>132221</v>
      </c>
      <c r="Z67" s="295">
        <f t="shared" si="1443"/>
        <v>132221</v>
      </c>
      <c r="AA67" s="295">
        <f t="shared" si="1443"/>
        <v>132221</v>
      </c>
      <c r="AB67" s="295">
        <f t="shared" si="1443"/>
        <v>132221</v>
      </c>
      <c r="AC67" s="295">
        <f>AB67</f>
        <v>132221</v>
      </c>
      <c r="AD67" s="295">
        <f t="shared" si="1443"/>
        <v>132221</v>
      </c>
      <c r="AE67" s="295">
        <f t="shared" si="1443"/>
        <v>132221</v>
      </c>
      <c r="AF67" s="295">
        <f t="shared" si="1443"/>
        <v>132221</v>
      </c>
      <c r="AG67" s="295">
        <f t="shared" si="1443"/>
        <v>132221</v>
      </c>
      <c r="AH67" s="295">
        <f t="shared" si="1443"/>
        <v>132221</v>
      </c>
      <c r="AI67" s="295">
        <f t="shared" si="1443"/>
        <v>132221</v>
      </c>
      <c r="AJ67" s="295">
        <f t="shared" si="1443"/>
        <v>132221</v>
      </c>
      <c r="AK67" s="295">
        <f t="shared" si="1443"/>
        <v>132221</v>
      </c>
      <c r="AL67" s="295">
        <f t="shared" si="1443"/>
        <v>132221</v>
      </c>
      <c r="AM67" s="295">
        <f t="shared" si="1443"/>
        <v>132221</v>
      </c>
      <c r="AN67" s="292">
        <f t="shared" si="1443"/>
        <v>132221</v>
      </c>
      <c r="AO67" s="295">
        <f>AN67</f>
        <v>132221</v>
      </c>
      <c r="AP67" s="293">
        <f>ROUND(AO67*(1+取值表!$E$8)*取值表!$I$8,0)</f>
        <v>135991</v>
      </c>
      <c r="AQ67" s="295">
        <f>AP67</f>
        <v>135991</v>
      </c>
      <c r="AR67" s="295">
        <f>AQ67</f>
        <v>135991</v>
      </c>
      <c r="AS67" s="295">
        <f>AR67</f>
        <v>135991</v>
      </c>
      <c r="AT67" s="294">
        <f>ROUND(AS67*(1+取值表!$E$8),0)</f>
        <v>148638</v>
      </c>
      <c r="AU67" s="295">
        <f t="shared" ref="AU67:AW67" si="1444">AT67</f>
        <v>148638</v>
      </c>
      <c r="AV67" s="295">
        <f t="shared" si="1444"/>
        <v>148638</v>
      </c>
      <c r="AW67" s="295">
        <f t="shared" si="1444"/>
        <v>148638</v>
      </c>
      <c r="AX67" s="293">
        <f>ROUND(AW67*(1+取值表!$D$8),0)</f>
        <v>162461</v>
      </c>
      <c r="AY67" s="295">
        <f t="shared" ref="AY67:BI67" si="1445">AX67</f>
        <v>162461</v>
      </c>
      <c r="AZ67" s="295">
        <f t="shared" si="1445"/>
        <v>162461</v>
      </c>
      <c r="BA67" s="295">
        <f t="shared" si="1445"/>
        <v>162461</v>
      </c>
      <c r="BB67" s="293">
        <f>ROUND(BA67*(1+取值表!$D$8),0)</f>
        <v>177570</v>
      </c>
      <c r="BC67" s="295">
        <f>BB67</f>
        <v>177570</v>
      </c>
      <c r="BD67" s="295">
        <f t="shared" si="1445"/>
        <v>177570</v>
      </c>
      <c r="BE67" s="295">
        <f>BD67</f>
        <v>177570</v>
      </c>
      <c r="BF67" s="293">
        <f>ROUND(BE67*(1+取值表!$D$8),0)</f>
        <v>194084</v>
      </c>
      <c r="BG67" s="295">
        <f>BF67</f>
        <v>194084</v>
      </c>
      <c r="BH67" s="295">
        <f t="shared" si="1445"/>
        <v>194084</v>
      </c>
      <c r="BI67" s="295">
        <f t="shared" si="1445"/>
        <v>194084</v>
      </c>
      <c r="BJ67" s="293">
        <f>ROUND(BI67*(1+取值表!$D$8),0)</f>
        <v>212134</v>
      </c>
      <c r="BK67" s="295">
        <f t="shared" ref="BK67" si="1446">BJ67</f>
        <v>212134</v>
      </c>
      <c r="BL67" s="295">
        <f t="shared" ref="BL67" si="1447">BK67</f>
        <v>212134</v>
      </c>
      <c r="BM67" s="295">
        <f t="shared" ref="BM67" si="1448">BL67</f>
        <v>212134</v>
      </c>
      <c r="BN67" s="293">
        <f>ROUND(BM67*(1+取值表!$D$8),0)</f>
        <v>231862</v>
      </c>
      <c r="BO67" s="295">
        <f t="shared" ref="BO67" si="1449">BN67</f>
        <v>231862</v>
      </c>
      <c r="BP67" s="295">
        <f t="shared" ref="BP67" si="1450">BO67</f>
        <v>231862</v>
      </c>
      <c r="BQ67" s="295">
        <f t="shared" ref="BQ67" si="1451">BP67</f>
        <v>231862</v>
      </c>
      <c r="BR67" s="293">
        <f>ROUND(BQ67*(1+取值表!$D$8),0)</f>
        <v>253425</v>
      </c>
      <c r="BS67" s="295">
        <f t="shared" ref="BS67" si="1452">BR67</f>
        <v>253425</v>
      </c>
      <c r="BT67" s="295">
        <f t="shared" ref="BT67" si="1453">BS67</f>
        <v>253425</v>
      </c>
      <c r="BU67" s="295">
        <f t="shared" ref="BU67" si="1454">BT67</f>
        <v>253425</v>
      </c>
      <c r="BV67" s="293">
        <f>ROUND(BU67*(1+取值表!$D$8),0)</f>
        <v>276994</v>
      </c>
      <c r="BW67" s="295">
        <f t="shared" ref="BW67" si="1455">BV67</f>
        <v>276994</v>
      </c>
      <c r="BX67" s="295">
        <f t="shared" ref="BX67" si="1456">BW67</f>
        <v>276994</v>
      </c>
      <c r="BY67" s="295">
        <f t="shared" ref="BY67" si="1457">BX67</f>
        <v>276994</v>
      </c>
      <c r="BZ67" s="293">
        <f>ROUND(BY67*(1+取值表!$D$8),0)</f>
        <v>302754</v>
      </c>
      <c r="CA67" s="295">
        <f t="shared" ref="CA67" si="1458">BZ67</f>
        <v>302754</v>
      </c>
      <c r="CB67" s="295">
        <f t="shared" ref="CB67" si="1459">CA67</f>
        <v>302754</v>
      </c>
      <c r="CC67" s="295">
        <f t="shared" ref="CC67" si="1460">CB67</f>
        <v>302754</v>
      </c>
      <c r="CD67" s="293">
        <f>ROUND(CC67*(1+取值表!$D$8),0)</f>
        <v>330910</v>
      </c>
      <c r="CE67" s="295">
        <f t="shared" ref="CE67" si="1461">CD67</f>
        <v>330910</v>
      </c>
      <c r="CF67" s="295">
        <f t="shared" ref="CF67" si="1462">CE67</f>
        <v>330910</v>
      </c>
      <c r="CG67" s="295">
        <f t="shared" ref="CG67" si="1463">CF67</f>
        <v>330910</v>
      </c>
      <c r="CH67" s="293">
        <f>ROUND(CG67*(1+取值表!$D$8),0)</f>
        <v>361685</v>
      </c>
      <c r="CI67" s="295">
        <f>CH67</f>
        <v>361685</v>
      </c>
      <c r="CJ67" s="295">
        <f t="shared" ref="CJ67" si="1464">CI67</f>
        <v>361685</v>
      </c>
      <c r="CK67" s="295">
        <f t="shared" ref="CK67" si="1465">CJ67</f>
        <v>361685</v>
      </c>
      <c r="CL67" s="293">
        <f>ROUND(CK67*(1+取值表!$D$8),0)</f>
        <v>395322</v>
      </c>
      <c r="CM67" s="295">
        <f>CL67</f>
        <v>395322</v>
      </c>
      <c r="CN67" s="295">
        <f t="shared" ref="CN67" si="1466">CM67</f>
        <v>395322</v>
      </c>
      <c r="CO67" s="295">
        <f t="shared" ref="CO67" si="1467">CN67</f>
        <v>395322</v>
      </c>
      <c r="CP67" s="293">
        <f t="shared" ref="CP67:CP130" si="1468">SUM(J67:CO67)</f>
        <v>16966392</v>
      </c>
      <c r="CQ67" s="299"/>
    </row>
    <row r="68" spans="1:212" s="300" customFormat="1">
      <c r="A68" s="644"/>
      <c r="B68" s="658"/>
      <c r="C68" s="659"/>
      <c r="D68" s="647"/>
      <c r="E68" s="660"/>
      <c r="F68" s="661"/>
      <c r="G68" s="661"/>
      <c r="H68" s="662"/>
      <c r="I68" s="298"/>
      <c r="J68" s="295"/>
      <c r="K68" s="295"/>
      <c r="L68" s="295"/>
      <c r="M68" s="295"/>
      <c r="N68" s="295"/>
      <c r="O68" s="295"/>
      <c r="P68" s="295"/>
      <c r="Q68" s="295"/>
      <c r="R68" s="295">
        <f>ROUND(Q68*(1+取值表!$D$8),0)</f>
        <v>0</v>
      </c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5"/>
      <c r="BQ68" s="295"/>
      <c r="BR68" s="295"/>
      <c r="BS68" s="295"/>
      <c r="BT68" s="295"/>
      <c r="BU68" s="295"/>
      <c r="BV68" s="295"/>
      <c r="BW68" s="295"/>
      <c r="BX68" s="295"/>
      <c r="BY68" s="295"/>
      <c r="BZ68" s="295"/>
      <c r="CA68" s="295"/>
      <c r="CB68" s="295"/>
      <c r="CC68" s="295"/>
      <c r="CD68" s="295"/>
      <c r="CE68" s="295"/>
      <c r="CF68" s="295"/>
      <c r="CG68" s="295"/>
      <c r="CH68" s="295"/>
      <c r="CI68" s="295"/>
      <c r="CJ68" s="295"/>
      <c r="CK68" s="295"/>
      <c r="CL68" s="295"/>
      <c r="CM68" s="295"/>
      <c r="CN68" s="295"/>
      <c r="CO68" s="295"/>
      <c r="CP68" s="293">
        <f t="shared" si="1468"/>
        <v>0</v>
      </c>
      <c r="CQ68" s="299"/>
    </row>
    <row r="69" spans="1:212">
      <c r="A69" s="644">
        <v>34</v>
      </c>
      <c r="B69" s="645" t="s">
        <v>100</v>
      </c>
      <c r="C69" s="646" t="s">
        <v>101</v>
      </c>
      <c r="D69" s="647" t="s">
        <v>102</v>
      </c>
      <c r="E69" s="648" t="s">
        <v>439</v>
      </c>
      <c r="F69" s="642">
        <v>66.25</v>
      </c>
      <c r="G69" s="642">
        <v>15.5</v>
      </c>
      <c r="H69" s="643">
        <f>F69*G69*365</f>
        <v>374809.375</v>
      </c>
      <c r="I69" s="291">
        <v>92674.64</v>
      </c>
      <c r="J69" s="295">
        <f>ROUND(F69*G69*365/4,0)</f>
        <v>93702</v>
      </c>
      <c r="K69" s="292">
        <f>J69</f>
        <v>93702</v>
      </c>
      <c r="L69" s="293">
        <f>K69</f>
        <v>93702</v>
      </c>
      <c r="M69" s="293">
        <f>L69</f>
        <v>93702</v>
      </c>
      <c r="N69" s="293">
        <f>ROUND(M69*(1+取值表!$D$8)*取值表!$I$8,0)</f>
        <v>96374</v>
      </c>
      <c r="O69" s="293">
        <f>N69</f>
        <v>96374</v>
      </c>
      <c r="P69" s="293">
        <f>O69</f>
        <v>96374</v>
      </c>
      <c r="Q69" s="293">
        <f>P69</f>
        <v>96374</v>
      </c>
      <c r="R69" s="294">
        <f>ROUND(Q69*(1+取值表!$D$8),0)</f>
        <v>105337</v>
      </c>
      <c r="S69" s="293">
        <f>R69</f>
        <v>105337</v>
      </c>
      <c r="T69" s="293">
        <f t="shared" ref="T69:W69" si="1469">S69</f>
        <v>105337</v>
      </c>
      <c r="U69" s="293">
        <f>T69</f>
        <v>105337</v>
      </c>
      <c r="V69" s="293">
        <f>ROUND(U69*(1+取值表!$D$8),0)</f>
        <v>115133</v>
      </c>
      <c r="W69" s="293">
        <f t="shared" si="1469"/>
        <v>115133</v>
      </c>
      <c r="X69" s="293">
        <f>W69</f>
        <v>115133</v>
      </c>
      <c r="Y69" s="293">
        <f t="shared" ref="Y69" si="1470">X69</f>
        <v>115133</v>
      </c>
      <c r="Z69" s="293">
        <f>ROUND(Y69*(1+取值表!$D$8),0)</f>
        <v>125840</v>
      </c>
      <c r="AA69" s="293">
        <f t="shared" ref="AA69:AB69" si="1471">Z69</f>
        <v>125840</v>
      </c>
      <c r="AB69" s="293">
        <f t="shared" si="1471"/>
        <v>125840</v>
      </c>
      <c r="AC69" s="293">
        <f>AB69</f>
        <v>125840</v>
      </c>
      <c r="AD69" s="293">
        <f>ROUND(AC69*(1+取值表!$D$8),0)</f>
        <v>137543</v>
      </c>
      <c r="AE69" s="293">
        <f t="shared" ref="AE69:AF69" si="1472">AD69</f>
        <v>137543</v>
      </c>
      <c r="AF69" s="293">
        <f t="shared" si="1472"/>
        <v>137543</v>
      </c>
      <c r="AG69" s="293">
        <f t="shared" ref="AG69" si="1473">AF69</f>
        <v>137543</v>
      </c>
      <c r="AH69" s="293">
        <f>ROUND(AG69*(1+取值表!$D$8),0)</f>
        <v>150334</v>
      </c>
      <c r="AI69" s="293">
        <f t="shared" ref="AI69:AJ69" si="1474">AH69</f>
        <v>150334</v>
      </c>
      <c r="AJ69" s="293">
        <f t="shared" si="1474"/>
        <v>150334</v>
      </c>
      <c r="AK69" s="293">
        <f t="shared" ref="AK69" si="1475">AJ69</f>
        <v>150334</v>
      </c>
      <c r="AL69" s="293">
        <f>ROUND(AK69*(1+取值表!$D$8),0)</f>
        <v>164315</v>
      </c>
      <c r="AM69" s="293">
        <f t="shared" ref="AM69:AN69" si="1476">AL69</f>
        <v>164315</v>
      </c>
      <c r="AN69" s="293">
        <f t="shared" si="1476"/>
        <v>164315</v>
      </c>
      <c r="AO69" s="293">
        <f t="shared" ref="AO69" si="1477">AN69</f>
        <v>164315</v>
      </c>
      <c r="AP69" s="293">
        <f>ROUND(AO69*(1+取值表!$D$8),0)</f>
        <v>179596</v>
      </c>
      <c r="AQ69" s="293">
        <f t="shared" ref="AQ69:AR69" si="1478">AP69</f>
        <v>179596</v>
      </c>
      <c r="AR69" s="293">
        <f t="shared" si="1478"/>
        <v>179596</v>
      </c>
      <c r="AS69" s="293">
        <f t="shared" ref="AS69" si="1479">AR69</f>
        <v>179596</v>
      </c>
      <c r="AT69" s="293">
        <f>ROUND(AS69*(1+取值表!$D$8),0)</f>
        <v>196298</v>
      </c>
      <c r="AU69" s="293">
        <f t="shared" ref="AU69:AV69" si="1480">AT69</f>
        <v>196298</v>
      </c>
      <c r="AV69" s="293">
        <f t="shared" si="1480"/>
        <v>196298</v>
      </c>
      <c r="AW69" s="293">
        <f t="shared" ref="AW69" si="1481">AV69</f>
        <v>196298</v>
      </c>
      <c r="AX69" s="293">
        <f>ROUND(AW69*(1+取值表!$D$8),0)</f>
        <v>214554</v>
      </c>
      <c r="AY69" s="293">
        <f t="shared" ref="AY69:AZ69" si="1482">AX69</f>
        <v>214554</v>
      </c>
      <c r="AZ69" s="293">
        <f t="shared" si="1482"/>
        <v>214554</v>
      </c>
      <c r="BA69" s="293">
        <f t="shared" ref="BA69" si="1483">AZ69</f>
        <v>214554</v>
      </c>
      <c r="BB69" s="293">
        <f>ROUND(BA69*(1+取值表!$D$8),0)</f>
        <v>234508</v>
      </c>
      <c r="BC69" s="293">
        <f>BB69</f>
        <v>234508</v>
      </c>
      <c r="BD69" s="293">
        <f t="shared" ref="BD69" si="1484">BC69</f>
        <v>234508</v>
      </c>
      <c r="BE69" s="293">
        <f>BD69</f>
        <v>234508</v>
      </c>
      <c r="BF69" s="293">
        <f>ROUND(BE69*(1+取值表!$D$8),0)</f>
        <v>256317</v>
      </c>
      <c r="BG69" s="293">
        <f>BF69</f>
        <v>256317</v>
      </c>
      <c r="BH69" s="293">
        <f t="shared" ref="BH69" si="1485">BG69</f>
        <v>256317</v>
      </c>
      <c r="BI69" s="293">
        <f t="shared" ref="BI69" si="1486">BH69</f>
        <v>256317</v>
      </c>
      <c r="BJ69" s="293">
        <f>ROUND(BI69*(1+取值表!$D$8),0)</f>
        <v>280154</v>
      </c>
      <c r="BK69" s="293">
        <f t="shared" ref="BK69" si="1487">BJ69</f>
        <v>280154</v>
      </c>
      <c r="BL69" s="293">
        <f t="shared" ref="BL69" si="1488">BK69</f>
        <v>280154</v>
      </c>
      <c r="BM69" s="293">
        <f t="shared" ref="BM69" si="1489">BL69</f>
        <v>280154</v>
      </c>
      <c r="BN69" s="293">
        <f>ROUND(BM69*(1+取值表!$D$8),0)</f>
        <v>306208</v>
      </c>
      <c r="BO69" s="293">
        <f t="shared" ref="BO69" si="1490">BN69</f>
        <v>306208</v>
      </c>
      <c r="BP69" s="293">
        <f t="shared" ref="BP69" si="1491">BO69</f>
        <v>306208</v>
      </c>
      <c r="BQ69" s="293">
        <f t="shared" ref="BQ69" si="1492">BP69</f>
        <v>306208</v>
      </c>
      <c r="BR69" s="293">
        <f>ROUND(BQ69*(1+取值表!$D$8),0)</f>
        <v>334685</v>
      </c>
      <c r="BS69" s="293">
        <f t="shared" ref="BS69" si="1493">BR69</f>
        <v>334685</v>
      </c>
      <c r="BT69" s="293">
        <f t="shared" ref="BT69" si="1494">BS69</f>
        <v>334685</v>
      </c>
      <c r="BU69" s="293">
        <f t="shared" ref="BU69" si="1495">BT69</f>
        <v>334685</v>
      </c>
      <c r="BV69" s="293">
        <f>ROUND(BU69*(1+取值表!$D$8),0)</f>
        <v>365811</v>
      </c>
      <c r="BW69" s="293">
        <f t="shared" ref="BW69" si="1496">BV69</f>
        <v>365811</v>
      </c>
      <c r="BX69" s="293">
        <f t="shared" ref="BX69" si="1497">BW69</f>
        <v>365811</v>
      </c>
      <c r="BY69" s="293">
        <f t="shared" ref="BY69" si="1498">BX69</f>
        <v>365811</v>
      </c>
      <c r="BZ69" s="293">
        <f>ROUND(BY69*(1+取值表!$D$8),0)</f>
        <v>399831</v>
      </c>
      <c r="CA69" s="293">
        <f t="shared" ref="CA69" si="1499">BZ69</f>
        <v>399831</v>
      </c>
      <c r="CB69" s="293">
        <f t="shared" ref="CB69" si="1500">CA69</f>
        <v>399831</v>
      </c>
      <c r="CC69" s="293">
        <f t="shared" ref="CC69" si="1501">CB69</f>
        <v>399831</v>
      </c>
      <c r="CD69" s="293">
        <f>ROUND(CC69*(1+取值表!$D$8),0)</f>
        <v>437015</v>
      </c>
      <c r="CE69" s="293">
        <f t="shared" ref="CE69" si="1502">CD69</f>
        <v>437015</v>
      </c>
      <c r="CF69" s="293">
        <f t="shared" ref="CF69" si="1503">CE69</f>
        <v>437015</v>
      </c>
      <c r="CG69" s="293">
        <f t="shared" ref="CG69" si="1504">CF69</f>
        <v>437015</v>
      </c>
      <c r="CH69" s="293">
        <f>ROUND(CG69*(1+取值表!$D$8),0)</f>
        <v>477657</v>
      </c>
      <c r="CI69" s="293">
        <f>CH69</f>
        <v>477657</v>
      </c>
      <c r="CJ69" s="293">
        <f t="shared" ref="CJ69" si="1505">CI69</f>
        <v>477657</v>
      </c>
      <c r="CK69" s="293">
        <f t="shared" ref="CK69" si="1506">CJ69</f>
        <v>477657</v>
      </c>
      <c r="CL69" s="293">
        <f>ROUND(CK69*(1+取值表!$D$8),0)</f>
        <v>522079</v>
      </c>
      <c r="CM69" s="293">
        <f>CL69</f>
        <v>522079</v>
      </c>
      <c r="CN69" s="293">
        <f t="shared" ref="CN69" si="1507">CM69</f>
        <v>522079</v>
      </c>
      <c r="CO69" s="293">
        <f t="shared" ref="CO69" si="1508">CN69</f>
        <v>522079</v>
      </c>
      <c r="CP69" s="293">
        <f t="shared" si="1468"/>
        <v>20773164</v>
      </c>
    </row>
    <row r="70" spans="1:212">
      <c r="A70" s="644"/>
      <c r="B70" s="645"/>
      <c r="C70" s="646"/>
      <c r="D70" s="647"/>
      <c r="E70" s="648"/>
      <c r="F70" s="642"/>
      <c r="G70" s="642"/>
      <c r="H70" s="643"/>
      <c r="I70" s="291"/>
      <c r="J70" s="295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293"/>
      <c r="AL70" s="293"/>
      <c r="AM70" s="293"/>
      <c r="AN70" s="293"/>
      <c r="AO70" s="293"/>
      <c r="AP70" s="293"/>
      <c r="AQ70" s="293"/>
      <c r="AR70" s="293"/>
      <c r="AS70" s="293"/>
      <c r="AT70" s="293"/>
      <c r="AU70" s="293"/>
      <c r="AV70" s="293"/>
      <c r="AW70" s="293"/>
      <c r="AX70" s="293"/>
      <c r="AY70" s="293"/>
      <c r="AZ70" s="293"/>
      <c r="BA70" s="293"/>
      <c r="BB70" s="293"/>
      <c r="BC70" s="293"/>
      <c r="BD70" s="293"/>
      <c r="BE70" s="293"/>
      <c r="BF70" s="293"/>
      <c r="BG70" s="293"/>
      <c r="BH70" s="293"/>
      <c r="BI70" s="293"/>
      <c r="BJ70" s="293"/>
      <c r="BK70" s="293"/>
      <c r="BL70" s="293"/>
      <c r="BM70" s="293"/>
      <c r="BN70" s="293"/>
      <c r="BO70" s="293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  <c r="CA70" s="293"/>
      <c r="CB70" s="293"/>
      <c r="CC70" s="293"/>
      <c r="CD70" s="293"/>
      <c r="CE70" s="293"/>
      <c r="CF70" s="293"/>
      <c r="CG70" s="293"/>
      <c r="CH70" s="293"/>
      <c r="CI70" s="293"/>
      <c r="CJ70" s="293"/>
      <c r="CK70" s="293"/>
      <c r="CL70" s="293"/>
      <c r="CM70" s="293"/>
      <c r="CN70" s="293"/>
      <c r="CO70" s="293"/>
      <c r="CP70" s="293">
        <f t="shared" si="1468"/>
        <v>0</v>
      </c>
    </row>
    <row r="71" spans="1:212" ht="19.5" customHeight="1">
      <c r="A71" s="290">
        <v>35</v>
      </c>
      <c r="B71" s="301" t="s">
        <v>340</v>
      </c>
      <c r="C71" s="301" t="s">
        <v>1162</v>
      </c>
      <c r="D71" s="309" t="s">
        <v>1163</v>
      </c>
      <c r="E71" s="310" t="s">
        <v>1164</v>
      </c>
      <c r="F71" s="302">
        <v>20.3</v>
      </c>
      <c r="G71" s="303">
        <v>44</v>
      </c>
      <c r="H71" s="290">
        <f>G71*F71*365</f>
        <v>326018</v>
      </c>
      <c r="I71" s="291">
        <v>81504.5</v>
      </c>
      <c r="J71" s="304">
        <f>ROUND(G71*F71*365/4,0)</f>
        <v>81505</v>
      </c>
      <c r="K71" s="305">
        <f t="shared" ref="K71:M72" si="1509">J71</f>
        <v>81505</v>
      </c>
      <c r="L71" s="306">
        <f t="shared" si="1509"/>
        <v>81505</v>
      </c>
      <c r="M71" s="305">
        <f t="shared" si="1509"/>
        <v>81505</v>
      </c>
      <c r="N71" s="293">
        <f>ROUND(M71*(1+取值表!$D$8)*取值表!$I$8,0)</f>
        <v>83829</v>
      </c>
      <c r="O71" s="305">
        <f>N71</f>
        <v>83829</v>
      </c>
      <c r="P71" s="305">
        <f t="shared" ref="P71:P72" si="1510">O71</f>
        <v>83829</v>
      </c>
      <c r="Q71" s="305">
        <f>P71</f>
        <v>83829</v>
      </c>
      <c r="R71" s="294">
        <f>ROUND(Q71*(1+取值表!$D$8),0)</f>
        <v>91625</v>
      </c>
      <c r="S71" s="293">
        <f>R71</f>
        <v>91625</v>
      </c>
      <c r="T71" s="305">
        <f>S71</f>
        <v>91625</v>
      </c>
      <c r="U71" s="305">
        <f>T71</f>
        <v>91625</v>
      </c>
      <c r="V71" s="293">
        <f>ROUND(U71*(1+取值表!$D$8),0)</f>
        <v>100146</v>
      </c>
      <c r="W71" s="305">
        <f t="shared" ref="W71" si="1511">V71</f>
        <v>100146</v>
      </c>
      <c r="X71" s="293">
        <f>W71</f>
        <v>100146</v>
      </c>
      <c r="Y71" s="305">
        <f t="shared" ref="Y71" si="1512">X71</f>
        <v>100146</v>
      </c>
      <c r="Z71" s="293">
        <f>ROUND(Y71*(1+取值表!$D$8),0)</f>
        <v>109460</v>
      </c>
      <c r="AA71" s="305">
        <f t="shared" ref="AA71:AB72" si="1513">Z71</f>
        <v>109460</v>
      </c>
      <c r="AB71" s="293">
        <f t="shared" si="1513"/>
        <v>109460</v>
      </c>
      <c r="AC71" s="305">
        <f>AB71</f>
        <v>109460</v>
      </c>
      <c r="AD71" s="293">
        <f>ROUND(AC71*(1+取值表!$D$8),0)</f>
        <v>119640</v>
      </c>
      <c r="AE71" s="305">
        <f t="shared" ref="AE71:AF72" si="1514">AD71</f>
        <v>119640</v>
      </c>
      <c r="AF71" s="293">
        <f t="shared" si="1514"/>
        <v>119640</v>
      </c>
      <c r="AG71" s="305">
        <f t="shared" ref="AG71:AG72" si="1515">AF71</f>
        <v>119640</v>
      </c>
      <c r="AH71" s="293">
        <f>ROUND(AG71*(1+取值表!$D$8),0)</f>
        <v>130767</v>
      </c>
      <c r="AI71" s="305">
        <f t="shared" ref="AI71:AJ72" si="1516">AH71</f>
        <v>130767</v>
      </c>
      <c r="AJ71" s="293">
        <f t="shared" si="1516"/>
        <v>130767</v>
      </c>
      <c r="AK71" s="305">
        <f t="shared" ref="AK71:AK72" si="1517">AJ71</f>
        <v>130767</v>
      </c>
      <c r="AL71" s="293">
        <f>ROUND(AK71*(1+取值表!$D$8),0)</f>
        <v>142928</v>
      </c>
      <c r="AM71" s="305">
        <f t="shared" ref="AM71:AN72" si="1518">AL71</f>
        <v>142928</v>
      </c>
      <c r="AN71" s="293">
        <f t="shared" si="1518"/>
        <v>142928</v>
      </c>
      <c r="AO71" s="305">
        <f t="shared" ref="AO71:AO72" si="1519">AN71</f>
        <v>142928</v>
      </c>
      <c r="AP71" s="293">
        <f>ROUND(AO71*(1+取值表!$D$8),0)</f>
        <v>156220</v>
      </c>
      <c r="AQ71" s="305">
        <f t="shared" ref="AQ71:AR72" si="1520">AP71</f>
        <v>156220</v>
      </c>
      <c r="AR71" s="293">
        <f t="shared" si="1520"/>
        <v>156220</v>
      </c>
      <c r="AS71" s="305">
        <f t="shared" ref="AS71:AS72" si="1521">AR71</f>
        <v>156220</v>
      </c>
      <c r="AT71" s="293">
        <f>ROUND(AS71*(1+取值表!$D$8),0)</f>
        <v>170748</v>
      </c>
      <c r="AU71" s="305">
        <f t="shared" ref="AU71:AV72" si="1522">AT71</f>
        <v>170748</v>
      </c>
      <c r="AV71" s="293">
        <f t="shared" si="1522"/>
        <v>170748</v>
      </c>
      <c r="AW71" s="305">
        <f t="shared" ref="AW71:AW72" si="1523">AV71</f>
        <v>170748</v>
      </c>
      <c r="AX71" s="293">
        <f>ROUND(AW71*(1+取值表!$D$8),0)</f>
        <v>186628</v>
      </c>
      <c r="AY71" s="305">
        <f t="shared" ref="AY71:AZ72" si="1524">AX71</f>
        <v>186628</v>
      </c>
      <c r="AZ71" s="293">
        <f t="shared" si="1524"/>
        <v>186628</v>
      </c>
      <c r="BA71" s="305">
        <f t="shared" ref="BA71:BA72" si="1525">AZ71</f>
        <v>186628</v>
      </c>
      <c r="BB71" s="293">
        <f>ROUND(BA71*(1+取值表!$D$8),0)</f>
        <v>203984</v>
      </c>
      <c r="BC71" s="305">
        <f>BB71</f>
        <v>203984</v>
      </c>
      <c r="BD71" s="293">
        <f t="shared" ref="BD71:BD72" si="1526">BC71</f>
        <v>203984</v>
      </c>
      <c r="BE71" s="305">
        <f>BD71</f>
        <v>203984</v>
      </c>
      <c r="BF71" s="293">
        <f>ROUND(BE71*(1+取值表!$D$8),0)</f>
        <v>222955</v>
      </c>
      <c r="BG71" s="305">
        <f>BF71</f>
        <v>222955</v>
      </c>
      <c r="BH71" s="293">
        <f t="shared" ref="BH71:BH72" si="1527">BG71</f>
        <v>222955</v>
      </c>
      <c r="BI71" s="305">
        <f t="shared" ref="BI71:BI72" si="1528">BH71</f>
        <v>222955</v>
      </c>
      <c r="BJ71" s="293">
        <f>ROUND(BI71*(1+取值表!$D$8),0)</f>
        <v>243690</v>
      </c>
      <c r="BK71" s="305">
        <f t="shared" ref="BK71:BK72" si="1529">BJ71</f>
        <v>243690</v>
      </c>
      <c r="BL71" s="293">
        <f t="shared" ref="BL71:BL72" si="1530">BK71</f>
        <v>243690</v>
      </c>
      <c r="BM71" s="305">
        <f t="shared" ref="BM71:BM72" si="1531">BL71</f>
        <v>243690</v>
      </c>
      <c r="BN71" s="293">
        <f>ROUND(BM71*(1+取值表!$D$8),0)</f>
        <v>266353</v>
      </c>
      <c r="BO71" s="305">
        <f t="shared" ref="BO71:BO72" si="1532">BN71</f>
        <v>266353</v>
      </c>
      <c r="BP71" s="293">
        <f t="shared" ref="BP71:BP72" si="1533">BO71</f>
        <v>266353</v>
      </c>
      <c r="BQ71" s="305">
        <f t="shared" ref="BQ71:BQ72" si="1534">BP71</f>
        <v>266353</v>
      </c>
      <c r="BR71" s="293">
        <f>ROUND(BQ71*(1+取值表!$D$8),0)</f>
        <v>291124</v>
      </c>
      <c r="BS71" s="305">
        <f t="shared" ref="BS71:BS72" si="1535">BR71</f>
        <v>291124</v>
      </c>
      <c r="BT71" s="293">
        <f t="shared" ref="BT71:BT72" si="1536">BS71</f>
        <v>291124</v>
      </c>
      <c r="BU71" s="305">
        <f t="shared" ref="BU71:BU72" si="1537">BT71</f>
        <v>291124</v>
      </c>
      <c r="BV71" s="293">
        <f>ROUND(BU71*(1+取值表!$D$8),0)</f>
        <v>318199</v>
      </c>
      <c r="BW71" s="305">
        <f t="shared" ref="BW71:BW72" si="1538">BV71</f>
        <v>318199</v>
      </c>
      <c r="BX71" s="293">
        <f t="shared" ref="BX71:BX72" si="1539">BW71</f>
        <v>318199</v>
      </c>
      <c r="BY71" s="305">
        <f t="shared" ref="BY71:BY72" si="1540">BX71</f>
        <v>318199</v>
      </c>
      <c r="BZ71" s="293">
        <f>ROUND(BY71*(1+取值表!$D$8),0)</f>
        <v>347792</v>
      </c>
      <c r="CA71" s="305">
        <f t="shared" ref="CA71:CA72" si="1541">BZ71</f>
        <v>347792</v>
      </c>
      <c r="CB71" s="293">
        <f t="shared" ref="CB71:CB72" si="1542">CA71</f>
        <v>347792</v>
      </c>
      <c r="CC71" s="305">
        <f t="shared" ref="CC71:CC72" si="1543">CB71</f>
        <v>347792</v>
      </c>
      <c r="CD71" s="293">
        <f>ROUND(CC71*(1+取值表!$D$8),0)</f>
        <v>380137</v>
      </c>
      <c r="CE71" s="305">
        <f t="shared" ref="CE71:CE72" si="1544">CD71</f>
        <v>380137</v>
      </c>
      <c r="CF71" s="293">
        <f t="shared" ref="CF71:CF72" si="1545">CE71</f>
        <v>380137</v>
      </c>
      <c r="CG71" s="305">
        <f t="shared" ref="CG71:CG72" si="1546">CF71</f>
        <v>380137</v>
      </c>
      <c r="CH71" s="293">
        <f>ROUND(CG71*(1+取值表!$D$8),0)</f>
        <v>415490</v>
      </c>
      <c r="CI71" s="305">
        <f>CH71</f>
        <v>415490</v>
      </c>
      <c r="CJ71" s="293">
        <f t="shared" ref="CJ71:CJ72" si="1547">CI71</f>
        <v>415490</v>
      </c>
      <c r="CK71" s="305">
        <f t="shared" ref="CK71:CK72" si="1548">CJ71</f>
        <v>415490</v>
      </c>
      <c r="CL71" s="293">
        <f>ROUND(CK71*(1+取值表!$D$8),0)</f>
        <v>454131</v>
      </c>
      <c r="CM71" s="305">
        <f>CL71</f>
        <v>454131</v>
      </c>
      <c r="CN71" s="293">
        <f t="shared" ref="CN71:CN72" si="1549">CM71</f>
        <v>454131</v>
      </c>
      <c r="CO71" s="305">
        <f t="shared" ref="CO71:CO72" si="1550">CN71</f>
        <v>454131</v>
      </c>
      <c r="CP71" s="293">
        <f t="shared" si="1468"/>
        <v>18069404</v>
      </c>
    </row>
    <row r="72" spans="1:212" s="299" customFormat="1">
      <c r="A72" s="669">
        <v>36</v>
      </c>
      <c r="B72" s="683" t="s">
        <v>550</v>
      </c>
      <c r="C72" s="685" t="s">
        <v>706</v>
      </c>
      <c r="D72" s="675" t="s">
        <v>636</v>
      </c>
      <c r="E72" s="687" t="s">
        <v>439</v>
      </c>
      <c r="F72" s="654">
        <v>15.12</v>
      </c>
      <c r="G72" s="654">
        <v>47</v>
      </c>
      <c r="H72" s="656">
        <f>F72*G72*365</f>
        <v>259383.6</v>
      </c>
      <c r="I72" s="307">
        <v>62086.5</v>
      </c>
      <c r="J72" s="292">
        <f>ROUND(G72*F72*365/4,0)</f>
        <v>64846</v>
      </c>
      <c r="K72" s="295">
        <f t="shared" si="1509"/>
        <v>64846</v>
      </c>
      <c r="L72" s="295">
        <f t="shared" si="1509"/>
        <v>64846</v>
      </c>
      <c r="M72" s="295">
        <f t="shared" si="1509"/>
        <v>64846</v>
      </c>
      <c r="N72" s="293">
        <f>ROUND(M72*(1+取值表!$D$8)*取值表!$I$8,0)</f>
        <v>66695</v>
      </c>
      <c r="O72" s="295">
        <f>N72</f>
        <v>66695</v>
      </c>
      <c r="P72" s="295">
        <f t="shared" si="1510"/>
        <v>66695</v>
      </c>
      <c r="Q72" s="295">
        <f>P72</f>
        <v>66695</v>
      </c>
      <c r="R72" s="294">
        <f>ROUND(Q72*(1+取值表!$D$8),0)</f>
        <v>72898</v>
      </c>
      <c r="S72" s="295">
        <f t="shared" ref="S72:T72" si="1551">R72</f>
        <v>72898</v>
      </c>
      <c r="T72" s="295">
        <f t="shared" si="1551"/>
        <v>72898</v>
      </c>
      <c r="U72" s="295">
        <f>T72</f>
        <v>72898</v>
      </c>
      <c r="V72" s="293">
        <f>ROUND(U72*(1+取值表!$D$8),0)</f>
        <v>79678</v>
      </c>
      <c r="W72" s="295">
        <f>V72</f>
        <v>79678</v>
      </c>
      <c r="X72" s="295">
        <f t="shared" ref="X72:Y72" si="1552">W72</f>
        <v>79678</v>
      </c>
      <c r="Y72" s="295">
        <f t="shared" si="1552"/>
        <v>79678</v>
      </c>
      <c r="Z72" s="293">
        <f>ROUND(Y72*(1+取值表!$D$8),0)</f>
        <v>87088</v>
      </c>
      <c r="AA72" s="295">
        <f t="shared" si="1513"/>
        <v>87088</v>
      </c>
      <c r="AB72" s="295">
        <f t="shared" si="1513"/>
        <v>87088</v>
      </c>
      <c r="AC72" s="295">
        <f>AB72</f>
        <v>87088</v>
      </c>
      <c r="AD72" s="293">
        <f>ROUND(AC72*(1+取值表!$D$8),0)</f>
        <v>95187</v>
      </c>
      <c r="AE72" s="295">
        <f t="shared" si="1514"/>
        <v>95187</v>
      </c>
      <c r="AF72" s="295">
        <f t="shared" si="1514"/>
        <v>95187</v>
      </c>
      <c r="AG72" s="295">
        <f t="shared" si="1515"/>
        <v>95187</v>
      </c>
      <c r="AH72" s="293">
        <f>ROUND(AG72*(1+取值表!$D$8),0)</f>
        <v>104039</v>
      </c>
      <c r="AI72" s="295">
        <f t="shared" si="1516"/>
        <v>104039</v>
      </c>
      <c r="AJ72" s="295">
        <f t="shared" si="1516"/>
        <v>104039</v>
      </c>
      <c r="AK72" s="295">
        <f t="shared" si="1517"/>
        <v>104039</v>
      </c>
      <c r="AL72" s="293">
        <f>ROUND(AK72*(1+取值表!$D$8),0)</f>
        <v>113715</v>
      </c>
      <c r="AM72" s="295">
        <f t="shared" si="1518"/>
        <v>113715</v>
      </c>
      <c r="AN72" s="295">
        <f t="shared" si="1518"/>
        <v>113715</v>
      </c>
      <c r="AO72" s="295">
        <f t="shared" si="1519"/>
        <v>113715</v>
      </c>
      <c r="AP72" s="293">
        <f>ROUND(AO72*(1+取值表!$D$8),0)</f>
        <v>124290</v>
      </c>
      <c r="AQ72" s="295">
        <f t="shared" si="1520"/>
        <v>124290</v>
      </c>
      <c r="AR72" s="295">
        <f t="shared" si="1520"/>
        <v>124290</v>
      </c>
      <c r="AS72" s="295">
        <f t="shared" si="1521"/>
        <v>124290</v>
      </c>
      <c r="AT72" s="293">
        <f>ROUND(AS72*(1+取值表!$D$8),0)</f>
        <v>135849</v>
      </c>
      <c r="AU72" s="295">
        <f t="shared" si="1522"/>
        <v>135849</v>
      </c>
      <c r="AV72" s="295">
        <f t="shared" si="1522"/>
        <v>135849</v>
      </c>
      <c r="AW72" s="295">
        <f t="shared" si="1523"/>
        <v>135849</v>
      </c>
      <c r="AX72" s="293">
        <f>ROUND(AW72*(1+取值表!$D$8),0)</f>
        <v>148483</v>
      </c>
      <c r="AY72" s="295">
        <f t="shared" si="1524"/>
        <v>148483</v>
      </c>
      <c r="AZ72" s="295">
        <f t="shared" si="1524"/>
        <v>148483</v>
      </c>
      <c r="BA72" s="295">
        <f t="shared" si="1525"/>
        <v>148483</v>
      </c>
      <c r="BB72" s="293">
        <f>ROUND(BA72*(1+取值表!$D$8),0)</f>
        <v>162292</v>
      </c>
      <c r="BC72" s="295">
        <f>BB72</f>
        <v>162292</v>
      </c>
      <c r="BD72" s="295">
        <f t="shared" si="1526"/>
        <v>162292</v>
      </c>
      <c r="BE72" s="295">
        <f>BD72</f>
        <v>162292</v>
      </c>
      <c r="BF72" s="293">
        <f>ROUND(BE72*(1+取值表!$D$8),0)</f>
        <v>177385</v>
      </c>
      <c r="BG72" s="295">
        <f>BF72</f>
        <v>177385</v>
      </c>
      <c r="BH72" s="295">
        <f t="shared" si="1527"/>
        <v>177385</v>
      </c>
      <c r="BI72" s="295">
        <f t="shared" si="1528"/>
        <v>177385</v>
      </c>
      <c r="BJ72" s="293">
        <f>ROUND(BI72*(1+取值表!$D$8),0)</f>
        <v>193882</v>
      </c>
      <c r="BK72" s="295">
        <f t="shared" si="1529"/>
        <v>193882</v>
      </c>
      <c r="BL72" s="295">
        <f t="shared" si="1530"/>
        <v>193882</v>
      </c>
      <c r="BM72" s="295">
        <f t="shared" si="1531"/>
        <v>193882</v>
      </c>
      <c r="BN72" s="293">
        <f>ROUND(BM72*(1+取值表!$D$8),0)</f>
        <v>211913</v>
      </c>
      <c r="BO72" s="295">
        <f t="shared" si="1532"/>
        <v>211913</v>
      </c>
      <c r="BP72" s="295">
        <f t="shared" si="1533"/>
        <v>211913</v>
      </c>
      <c r="BQ72" s="295">
        <f t="shared" si="1534"/>
        <v>211913</v>
      </c>
      <c r="BR72" s="293">
        <f>ROUND(BQ72*(1+取值表!$D$8),0)</f>
        <v>231621</v>
      </c>
      <c r="BS72" s="295">
        <f t="shared" si="1535"/>
        <v>231621</v>
      </c>
      <c r="BT72" s="295">
        <f t="shared" si="1536"/>
        <v>231621</v>
      </c>
      <c r="BU72" s="295">
        <f t="shared" si="1537"/>
        <v>231621</v>
      </c>
      <c r="BV72" s="293">
        <f>ROUND(BU72*(1+取值表!$D$8),0)</f>
        <v>253162</v>
      </c>
      <c r="BW72" s="295">
        <f t="shared" si="1538"/>
        <v>253162</v>
      </c>
      <c r="BX72" s="295">
        <f t="shared" si="1539"/>
        <v>253162</v>
      </c>
      <c r="BY72" s="295">
        <f t="shared" si="1540"/>
        <v>253162</v>
      </c>
      <c r="BZ72" s="293">
        <f>ROUND(BY72*(1+取值表!$D$8),0)</f>
        <v>276706</v>
      </c>
      <c r="CA72" s="295">
        <f t="shared" si="1541"/>
        <v>276706</v>
      </c>
      <c r="CB72" s="295">
        <f t="shared" si="1542"/>
        <v>276706</v>
      </c>
      <c r="CC72" s="295">
        <f t="shared" si="1543"/>
        <v>276706</v>
      </c>
      <c r="CD72" s="293">
        <f>ROUND(CC72*(1+取值表!$D$8),0)</f>
        <v>302440</v>
      </c>
      <c r="CE72" s="295">
        <f t="shared" si="1544"/>
        <v>302440</v>
      </c>
      <c r="CF72" s="295">
        <f t="shared" si="1545"/>
        <v>302440</v>
      </c>
      <c r="CG72" s="295">
        <f t="shared" si="1546"/>
        <v>302440</v>
      </c>
      <c r="CH72" s="293">
        <f>ROUND(CG72*(1+取值表!$D$8),0)</f>
        <v>330567</v>
      </c>
      <c r="CI72" s="295">
        <f>CH72</f>
        <v>330567</v>
      </c>
      <c r="CJ72" s="295">
        <f t="shared" si="1547"/>
        <v>330567</v>
      </c>
      <c r="CK72" s="295">
        <f t="shared" si="1548"/>
        <v>330567</v>
      </c>
      <c r="CL72" s="293">
        <f>ROUND(CK72*(1+取值表!$D$8),0)</f>
        <v>361310</v>
      </c>
      <c r="CM72" s="295">
        <f>CL72</f>
        <v>361310</v>
      </c>
      <c r="CN72" s="295">
        <f t="shared" si="1549"/>
        <v>361310</v>
      </c>
      <c r="CO72" s="295">
        <f t="shared" si="1550"/>
        <v>361310</v>
      </c>
      <c r="CP72" s="293">
        <f t="shared" si="1468"/>
        <v>14376184</v>
      </c>
      <c r="CQ72" s="308"/>
      <c r="CR72" s="308"/>
      <c r="CS72" s="308"/>
      <c r="CT72" s="308"/>
      <c r="CU72" s="308"/>
      <c r="CV72" s="308"/>
      <c r="CW72" s="308"/>
      <c r="CX72" s="308"/>
      <c r="CY72" s="308"/>
      <c r="CZ72" s="308"/>
      <c r="DA72" s="308"/>
      <c r="DB72" s="308"/>
      <c r="DC72" s="308"/>
      <c r="DD72" s="308"/>
      <c r="DE72" s="308"/>
      <c r="DF72" s="308"/>
      <c r="DG72" s="308"/>
      <c r="DH72" s="308"/>
      <c r="DI72" s="308"/>
      <c r="DJ72" s="308"/>
      <c r="DK72" s="308"/>
      <c r="DL72" s="308"/>
      <c r="DM72" s="308"/>
      <c r="DN72" s="308"/>
      <c r="DO72" s="308"/>
      <c r="DP72" s="308"/>
      <c r="DQ72" s="308"/>
      <c r="DR72" s="308"/>
      <c r="DS72" s="308"/>
      <c r="DT72" s="308"/>
      <c r="DU72" s="308"/>
      <c r="DV72" s="308"/>
      <c r="DW72" s="308"/>
      <c r="DX72" s="308"/>
      <c r="DY72" s="308"/>
      <c r="DZ72" s="308"/>
      <c r="EA72" s="308"/>
      <c r="EB72" s="308"/>
      <c r="EC72" s="308"/>
      <c r="ED72" s="308"/>
      <c r="EE72" s="308"/>
      <c r="EF72" s="308"/>
      <c r="EG72" s="308"/>
      <c r="EH72" s="308"/>
      <c r="EI72" s="308"/>
      <c r="EJ72" s="308"/>
      <c r="EK72" s="308"/>
      <c r="EL72" s="308"/>
      <c r="EM72" s="308"/>
      <c r="EN72" s="308"/>
      <c r="EO72" s="308"/>
      <c r="EP72" s="308"/>
      <c r="EQ72" s="308"/>
      <c r="ER72" s="308"/>
      <c r="ES72" s="308"/>
      <c r="ET72" s="308"/>
      <c r="EU72" s="308"/>
      <c r="EV72" s="308"/>
      <c r="EW72" s="308"/>
      <c r="EX72" s="308"/>
      <c r="EY72" s="308"/>
      <c r="EZ72" s="308"/>
      <c r="FA72" s="308"/>
      <c r="FB72" s="308"/>
      <c r="FC72" s="308"/>
      <c r="FD72" s="308"/>
      <c r="FE72" s="308"/>
      <c r="FF72" s="308"/>
      <c r="FG72" s="308"/>
      <c r="FH72" s="308"/>
      <c r="FI72" s="308"/>
      <c r="FJ72" s="308"/>
      <c r="FK72" s="308"/>
      <c r="FL72" s="308"/>
      <c r="FM72" s="308"/>
      <c r="FN72" s="308"/>
      <c r="FO72" s="308"/>
      <c r="FP72" s="308"/>
      <c r="FQ72" s="308"/>
      <c r="FR72" s="308"/>
      <c r="FS72" s="308"/>
      <c r="FT72" s="308"/>
      <c r="FU72" s="308"/>
      <c r="FV72" s="308"/>
      <c r="FW72" s="308"/>
      <c r="FX72" s="308"/>
      <c r="FY72" s="308"/>
      <c r="FZ72" s="308"/>
      <c r="GA72" s="308"/>
      <c r="GB72" s="308"/>
      <c r="GC72" s="308"/>
      <c r="GD72" s="308"/>
      <c r="GE72" s="308"/>
      <c r="GF72" s="308"/>
      <c r="GG72" s="308"/>
      <c r="GH72" s="308"/>
      <c r="GI72" s="308"/>
      <c r="GJ72" s="308"/>
      <c r="GK72" s="308"/>
      <c r="GL72" s="308"/>
      <c r="GM72" s="308"/>
      <c r="GN72" s="308"/>
      <c r="GO72" s="308"/>
      <c r="GP72" s="308"/>
      <c r="GQ72" s="308"/>
      <c r="GR72" s="308"/>
      <c r="GS72" s="308"/>
      <c r="GT72" s="308"/>
      <c r="GU72" s="308"/>
      <c r="GV72" s="308"/>
      <c r="GW72" s="308"/>
      <c r="GX72" s="308"/>
      <c r="GY72" s="308"/>
      <c r="GZ72" s="308"/>
      <c r="HA72" s="380">
        <f t="shared" ref="HA72:HA81" si="1553">SUM(J72:GZ72)</f>
        <v>28752368</v>
      </c>
      <c r="HB72" s="308"/>
      <c r="HC72" s="380"/>
      <c r="HD72" s="360">
        <v>229214.16</v>
      </c>
    </row>
    <row r="73" spans="1:212" s="299" customFormat="1" ht="12" customHeight="1">
      <c r="A73" s="670"/>
      <c r="B73" s="684"/>
      <c r="C73" s="686"/>
      <c r="D73" s="676"/>
      <c r="E73" s="688"/>
      <c r="F73" s="655"/>
      <c r="G73" s="655"/>
      <c r="H73" s="657"/>
      <c r="I73" s="311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5"/>
      <c r="BQ73" s="295"/>
      <c r="BR73" s="295"/>
      <c r="BS73" s="295"/>
      <c r="BT73" s="295"/>
      <c r="BU73" s="295"/>
      <c r="BV73" s="295"/>
      <c r="BW73" s="295"/>
      <c r="BX73" s="295"/>
      <c r="BY73" s="295"/>
      <c r="BZ73" s="295"/>
      <c r="CA73" s="295"/>
      <c r="CB73" s="295"/>
      <c r="CC73" s="295"/>
      <c r="CD73" s="295"/>
      <c r="CE73" s="295"/>
      <c r="CF73" s="295"/>
      <c r="CG73" s="295"/>
      <c r="CH73" s="295"/>
      <c r="CI73" s="295"/>
      <c r="CJ73" s="295"/>
      <c r="CK73" s="295"/>
      <c r="CL73" s="295"/>
      <c r="CM73" s="295"/>
      <c r="CN73" s="295"/>
      <c r="CO73" s="295"/>
      <c r="CP73" s="293">
        <f t="shared" si="1468"/>
        <v>0</v>
      </c>
      <c r="CQ73" s="312"/>
      <c r="CR73" s="312"/>
      <c r="CS73" s="312"/>
      <c r="CT73" s="312"/>
      <c r="CU73" s="312"/>
      <c r="CV73" s="312"/>
      <c r="CW73" s="312"/>
      <c r="CX73" s="312"/>
      <c r="CY73" s="312"/>
      <c r="CZ73" s="312"/>
      <c r="DA73" s="312"/>
      <c r="DB73" s="312"/>
      <c r="DC73" s="312"/>
      <c r="DD73" s="312"/>
      <c r="DE73" s="312"/>
      <c r="DF73" s="312"/>
      <c r="DG73" s="312"/>
      <c r="DH73" s="312"/>
      <c r="DI73" s="312"/>
      <c r="DJ73" s="312"/>
      <c r="DK73" s="312"/>
      <c r="DL73" s="312"/>
      <c r="DM73" s="312"/>
      <c r="DN73" s="312"/>
      <c r="DO73" s="312"/>
      <c r="DP73" s="312"/>
      <c r="DQ73" s="312"/>
      <c r="DR73" s="312"/>
      <c r="DS73" s="312"/>
      <c r="DT73" s="312"/>
      <c r="DU73" s="312"/>
      <c r="DV73" s="312"/>
      <c r="DW73" s="312"/>
      <c r="DX73" s="312"/>
      <c r="DY73" s="312"/>
      <c r="DZ73" s="312"/>
      <c r="EA73" s="312"/>
      <c r="EB73" s="312"/>
      <c r="EC73" s="312"/>
      <c r="ED73" s="312"/>
      <c r="EE73" s="312"/>
      <c r="EF73" s="312"/>
      <c r="EG73" s="312"/>
      <c r="EH73" s="312"/>
      <c r="EI73" s="312"/>
      <c r="EJ73" s="312"/>
      <c r="EK73" s="312"/>
      <c r="EL73" s="312"/>
      <c r="EM73" s="312"/>
      <c r="EN73" s="312"/>
      <c r="EO73" s="312"/>
      <c r="EP73" s="312"/>
      <c r="EQ73" s="312"/>
      <c r="ER73" s="312"/>
      <c r="ES73" s="312"/>
      <c r="ET73" s="312"/>
      <c r="EU73" s="312"/>
      <c r="EV73" s="312"/>
      <c r="EW73" s="312"/>
      <c r="EX73" s="312"/>
      <c r="EY73" s="312"/>
      <c r="EZ73" s="312"/>
      <c r="FA73" s="312"/>
      <c r="FB73" s="312"/>
      <c r="FC73" s="312"/>
      <c r="FD73" s="312"/>
      <c r="FE73" s="312"/>
      <c r="FF73" s="312"/>
      <c r="FG73" s="312"/>
      <c r="FH73" s="312"/>
      <c r="FI73" s="312"/>
      <c r="FJ73" s="312"/>
      <c r="FK73" s="312"/>
      <c r="FL73" s="312"/>
      <c r="FM73" s="312"/>
      <c r="FN73" s="312"/>
      <c r="FO73" s="312"/>
      <c r="FP73" s="312"/>
      <c r="FQ73" s="312"/>
      <c r="FR73" s="312"/>
      <c r="FS73" s="312"/>
      <c r="FT73" s="312"/>
      <c r="FU73" s="312"/>
      <c r="FV73" s="312"/>
      <c r="FW73" s="312"/>
      <c r="FX73" s="312"/>
      <c r="FY73" s="312"/>
      <c r="FZ73" s="312"/>
      <c r="GA73" s="312"/>
      <c r="GB73" s="312"/>
      <c r="GC73" s="312"/>
      <c r="GD73" s="312"/>
      <c r="GE73" s="312"/>
      <c r="GF73" s="312"/>
      <c r="GG73" s="312"/>
      <c r="GH73" s="312"/>
      <c r="GI73" s="312"/>
      <c r="GJ73" s="312"/>
      <c r="GK73" s="312"/>
      <c r="GL73" s="312"/>
      <c r="GM73" s="312"/>
      <c r="GN73" s="312"/>
      <c r="GO73" s="312"/>
      <c r="GP73" s="312"/>
      <c r="GQ73" s="312"/>
      <c r="GR73" s="312"/>
      <c r="GS73" s="312"/>
      <c r="GT73" s="312"/>
      <c r="GU73" s="312"/>
      <c r="GV73" s="312"/>
      <c r="GW73" s="312"/>
      <c r="GX73" s="312"/>
      <c r="GY73" s="312"/>
      <c r="GZ73" s="312"/>
      <c r="HA73" s="381">
        <f t="shared" si="1553"/>
        <v>0</v>
      </c>
      <c r="HB73" s="312"/>
      <c r="HC73" s="381"/>
      <c r="HD73" s="360">
        <v>0</v>
      </c>
    </row>
    <row r="74" spans="1:212" s="299" customFormat="1" ht="12" customHeight="1">
      <c r="A74" s="669">
        <v>37</v>
      </c>
      <c r="B74" s="683" t="s">
        <v>551</v>
      </c>
      <c r="C74" s="685" t="s">
        <v>761</v>
      </c>
      <c r="D74" s="675" t="s">
        <v>637</v>
      </c>
      <c r="E74" s="687" t="s">
        <v>439</v>
      </c>
      <c r="F74" s="654">
        <v>15.75</v>
      </c>
      <c r="G74" s="654">
        <v>46</v>
      </c>
      <c r="H74" s="656">
        <f>F74*G74*365</f>
        <v>264442.5</v>
      </c>
      <c r="I74" s="307">
        <v>66110.63</v>
      </c>
      <c r="J74" s="292">
        <f>ROUND(G74*F74*365/4,0)</f>
        <v>66111</v>
      </c>
      <c r="K74" s="295">
        <f>J74</f>
        <v>66111</v>
      </c>
      <c r="L74" s="295">
        <f>K74</f>
        <v>66111</v>
      </c>
      <c r="M74" s="295">
        <f>L74</f>
        <v>66111</v>
      </c>
      <c r="N74" s="293">
        <f>ROUND(M74*(1+取值表!$D$8)*取值表!$I$8,0)</f>
        <v>67996</v>
      </c>
      <c r="O74" s="295">
        <f>N74</f>
        <v>67996</v>
      </c>
      <c r="P74" s="295">
        <f>O74</f>
        <v>67996</v>
      </c>
      <c r="Q74" s="295">
        <f>P74</f>
        <v>67996</v>
      </c>
      <c r="R74" s="294">
        <f>ROUND(Q74*(1+取值表!$D$8),0)</f>
        <v>74320</v>
      </c>
      <c r="S74" s="295">
        <f t="shared" ref="S74:T74" si="1554">R74</f>
        <v>74320</v>
      </c>
      <c r="T74" s="295">
        <f t="shared" si="1554"/>
        <v>74320</v>
      </c>
      <c r="U74" s="295">
        <f>T74</f>
        <v>74320</v>
      </c>
      <c r="V74" s="293">
        <f>ROUND(U74*(1+取值表!$D$8),0)</f>
        <v>81232</v>
      </c>
      <c r="W74" s="295">
        <f t="shared" ref="W74:Y74" si="1555">V74</f>
        <v>81232</v>
      </c>
      <c r="X74" s="295">
        <f t="shared" si="1555"/>
        <v>81232</v>
      </c>
      <c r="Y74" s="295">
        <f t="shared" si="1555"/>
        <v>81232</v>
      </c>
      <c r="Z74" s="293">
        <f>ROUND(Y74*(1+取值表!$D$8),0)</f>
        <v>88787</v>
      </c>
      <c r="AA74" s="295">
        <f t="shared" ref="AA74" si="1556">Z74</f>
        <v>88787</v>
      </c>
      <c r="AB74" s="295">
        <f t="shared" ref="AB74" si="1557">AA74</f>
        <v>88787</v>
      </c>
      <c r="AC74" s="295">
        <f>AB74</f>
        <v>88787</v>
      </c>
      <c r="AD74" s="293">
        <f>ROUND(AC74*(1+取值表!$D$8),0)</f>
        <v>97044</v>
      </c>
      <c r="AE74" s="295">
        <f t="shared" ref="AE74" si="1558">AD74</f>
        <v>97044</v>
      </c>
      <c r="AF74" s="295">
        <f t="shared" ref="AF74" si="1559">AE74</f>
        <v>97044</v>
      </c>
      <c r="AG74" s="295">
        <f t="shared" ref="AG74" si="1560">AF74</f>
        <v>97044</v>
      </c>
      <c r="AH74" s="293">
        <f>ROUND(AG74*(1+取值表!$D$8),0)</f>
        <v>106069</v>
      </c>
      <c r="AI74" s="295">
        <f t="shared" ref="AI74" si="1561">AH74</f>
        <v>106069</v>
      </c>
      <c r="AJ74" s="295">
        <f t="shared" ref="AJ74" si="1562">AI74</f>
        <v>106069</v>
      </c>
      <c r="AK74" s="295">
        <f t="shared" ref="AK74" si="1563">AJ74</f>
        <v>106069</v>
      </c>
      <c r="AL74" s="293">
        <f>ROUND(AK74*(1+取值表!$D$8),0)</f>
        <v>115933</v>
      </c>
      <c r="AM74" s="295">
        <f t="shared" ref="AM74" si="1564">AL74</f>
        <v>115933</v>
      </c>
      <c r="AN74" s="295">
        <f t="shared" ref="AN74" si="1565">AM74</f>
        <v>115933</v>
      </c>
      <c r="AO74" s="295">
        <f t="shared" ref="AO74" si="1566">AN74</f>
        <v>115933</v>
      </c>
      <c r="AP74" s="293">
        <f>ROUND(AO74*(1+取值表!$D$8),0)</f>
        <v>126715</v>
      </c>
      <c r="AQ74" s="295">
        <f t="shared" ref="AQ74" si="1567">AP74</f>
        <v>126715</v>
      </c>
      <c r="AR74" s="295">
        <f t="shared" ref="AR74" si="1568">AQ74</f>
        <v>126715</v>
      </c>
      <c r="AS74" s="295">
        <f t="shared" ref="AS74" si="1569">AR74</f>
        <v>126715</v>
      </c>
      <c r="AT74" s="293">
        <f>ROUND(AS74*(1+取值表!$D$8),0)</f>
        <v>138499</v>
      </c>
      <c r="AU74" s="295">
        <f t="shared" ref="AU74" si="1570">AT74</f>
        <v>138499</v>
      </c>
      <c r="AV74" s="295">
        <f t="shared" ref="AV74" si="1571">AU74</f>
        <v>138499</v>
      </c>
      <c r="AW74" s="295">
        <f t="shared" ref="AW74" si="1572">AV74</f>
        <v>138499</v>
      </c>
      <c r="AX74" s="293">
        <f>ROUND(AW74*(1+取值表!$D$8),0)</f>
        <v>151379</v>
      </c>
      <c r="AY74" s="295">
        <f t="shared" ref="AY74" si="1573">AX74</f>
        <v>151379</v>
      </c>
      <c r="AZ74" s="295">
        <f t="shared" ref="AZ74" si="1574">AY74</f>
        <v>151379</v>
      </c>
      <c r="BA74" s="295">
        <f t="shared" ref="BA74" si="1575">AZ74</f>
        <v>151379</v>
      </c>
      <c r="BB74" s="293">
        <f>ROUND(BA74*(1+取值表!$D$8),0)</f>
        <v>165457</v>
      </c>
      <c r="BC74" s="295">
        <f>BB74</f>
        <v>165457</v>
      </c>
      <c r="BD74" s="295">
        <f t="shared" ref="BD74" si="1576">BC74</f>
        <v>165457</v>
      </c>
      <c r="BE74" s="295">
        <f>BD74</f>
        <v>165457</v>
      </c>
      <c r="BF74" s="293">
        <f>ROUND(BE74*(1+取值表!$D$8),0)</f>
        <v>180845</v>
      </c>
      <c r="BG74" s="295">
        <f>BF74</f>
        <v>180845</v>
      </c>
      <c r="BH74" s="295">
        <f t="shared" ref="BH74" si="1577">BG74</f>
        <v>180845</v>
      </c>
      <c r="BI74" s="295">
        <f t="shared" ref="BI74" si="1578">BH74</f>
        <v>180845</v>
      </c>
      <c r="BJ74" s="293">
        <f>ROUND(BI74*(1+取值表!$D$8),0)</f>
        <v>197664</v>
      </c>
      <c r="BK74" s="295">
        <f t="shared" ref="BK74" si="1579">BJ74</f>
        <v>197664</v>
      </c>
      <c r="BL74" s="295">
        <f t="shared" ref="BL74" si="1580">BK74</f>
        <v>197664</v>
      </c>
      <c r="BM74" s="295">
        <f t="shared" ref="BM74" si="1581">BL74</f>
        <v>197664</v>
      </c>
      <c r="BN74" s="293">
        <f>ROUND(BM74*(1+取值表!$D$8),0)</f>
        <v>216047</v>
      </c>
      <c r="BO74" s="295">
        <f t="shared" ref="BO74" si="1582">BN74</f>
        <v>216047</v>
      </c>
      <c r="BP74" s="295">
        <f t="shared" ref="BP74" si="1583">BO74</f>
        <v>216047</v>
      </c>
      <c r="BQ74" s="295">
        <f t="shared" ref="BQ74" si="1584">BP74</f>
        <v>216047</v>
      </c>
      <c r="BR74" s="293">
        <f>ROUND(BQ74*(1+取值表!$D$8),0)</f>
        <v>236139</v>
      </c>
      <c r="BS74" s="295">
        <f t="shared" ref="BS74" si="1585">BR74</f>
        <v>236139</v>
      </c>
      <c r="BT74" s="295">
        <f t="shared" ref="BT74" si="1586">BS74</f>
        <v>236139</v>
      </c>
      <c r="BU74" s="295">
        <f t="shared" ref="BU74" si="1587">BT74</f>
        <v>236139</v>
      </c>
      <c r="BV74" s="293">
        <f>ROUND(BU74*(1+取值表!$D$8),0)</f>
        <v>258100</v>
      </c>
      <c r="BW74" s="295">
        <f t="shared" ref="BW74" si="1588">BV74</f>
        <v>258100</v>
      </c>
      <c r="BX74" s="295">
        <f t="shared" ref="BX74" si="1589">BW74</f>
        <v>258100</v>
      </c>
      <c r="BY74" s="295">
        <f t="shared" ref="BY74" si="1590">BX74</f>
        <v>258100</v>
      </c>
      <c r="BZ74" s="293">
        <f>ROUND(BY74*(1+取值表!$D$8),0)</f>
        <v>282103</v>
      </c>
      <c r="CA74" s="295">
        <f t="shared" ref="CA74" si="1591">BZ74</f>
        <v>282103</v>
      </c>
      <c r="CB74" s="295">
        <f t="shared" ref="CB74" si="1592">CA74</f>
        <v>282103</v>
      </c>
      <c r="CC74" s="295">
        <f t="shared" ref="CC74" si="1593">CB74</f>
        <v>282103</v>
      </c>
      <c r="CD74" s="293">
        <f>ROUND(CC74*(1+取值表!$D$8),0)</f>
        <v>308339</v>
      </c>
      <c r="CE74" s="295">
        <f t="shared" ref="CE74" si="1594">CD74</f>
        <v>308339</v>
      </c>
      <c r="CF74" s="295">
        <f t="shared" ref="CF74" si="1595">CE74</f>
        <v>308339</v>
      </c>
      <c r="CG74" s="295">
        <f t="shared" ref="CG74" si="1596">CF74</f>
        <v>308339</v>
      </c>
      <c r="CH74" s="293">
        <f>ROUND(CG74*(1+取值表!$D$8),0)</f>
        <v>337015</v>
      </c>
      <c r="CI74" s="295">
        <f>CH74</f>
        <v>337015</v>
      </c>
      <c r="CJ74" s="295">
        <f t="shared" ref="CJ74" si="1597">CI74</f>
        <v>337015</v>
      </c>
      <c r="CK74" s="295">
        <f t="shared" ref="CK74" si="1598">CJ74</f>
        <v>337015</v>
      </c>
      <c r="CL74" s="293">
        <f>ROUND(CK74*(1+取值表!$D$8),0)</f>
        <v>368357</v>
      </c>
      <c r="CM74" s="295">
        <f>CL74</f>
        <v>368357</v>
      </c>
      <c r="CN74" s="295">
        <f t="shared" ref="CN74" si="1599">CM74</f>
        <v>368357</v>
      </c>
      <c r="CO74" s="295">
        <f t="shared" ref="CO74" si="1600">CN74</f>
        <v>368357</v>
      </c>
      <c r="CP74" s="293">
        <f t="shared" si="1468"/>
        <v>14656604</v>
      </c>
      <c r="CQ74" s="308"/>
      <c r="CR74" s="308"/>
      <c r="CS74" s="308"/>
      <c r="CT74" s="308"/>
      <c r="CU74" s="308"/>
      <c r="CV74" s="308"/>
      <c r="CW74" s="308"/>
      <c r="CX74" s="308"/>
      <c r="CY74" s="308"/>
      <c r="CZ74" s="308"/>
      <c r="DA74" s="308"/>
      <c r="DB74" s="308"/>
      <c r="DC74" s="308"/>
      <c r="DD74" s="308"/>
      <c r="DE74" s="308"/>
      <c r="DF74" s="308"/>
      <c r="DG74" s="308"/>
      <c r="DH74" s="308"/>
      <c r="DI74" s="308"/>
      <c r="DJ74" s="308"/>
      <c r="DK74" s="308"/>
      <c r="DL74" s="308"/>
      <c r="DM74" s="308"/>
      <c r="DN74" s="308"/>
      <c r="DO74" s="308"/>
      <c r="DP74" s="308"/>
      <c r="DQ74" s="308"/>
      <c r="DR74" s="308"/>
      <c r="DS74" s="308"/>
      <c r="DT74" s="308"/>
      <c r="DU74" s="308"/>
      <c r="DV74" s="308"/>
      <c r="DW74" s="308"/>
      <c r="DX74" s="308"/>
      <c r="DY74" s="308"/>
      <c r="DZ74" s="308"/>
      <c r="EA74" s="308"/>
      <c r="EB74" s="308"/>
      <c r="EC74" s="308"/>
      <c r="ED74" s="308"/>
      <c r="EE74" s="308"/>
      <c r="EF74" s="308"/>
      <c r="EG74" s="308"/>
      <c r="EH74" s="308"/>
      <c r="EI74" s="308"/>
      <c r="EJ74" s="308"/>
      <c r="EK74" s="308"/>
      <c r="EL74" s="308"/>
      <c r="EM74" s="308"/>
      <c r="EN74" s="308"/>
      <c r="EO74" s="308"/>
      <c r="EP74" s="308"/>
      <c r="EQ74" s="308"/>
      <c r="ER74" s="308"/>
      <c r="ES74" s="308"/>
      <c r="ET74" s="308"/>
      <c r="EU74" s="308"/>
      <c r="EV74" s="308"/>
      <c r="EW74" s="308"/>
      <c r="EX74" s="308"/>
      <c r="EY74" s="308"/>
      <c r="EZ74" s="308"/>
      <c r="FA74" s="308"/>
      <c r="FB74" s="308"/>
      <c r="FC74" s="308"/>
      <c r="FD74" s="308"/>
      <c r="FE74" s="308"/>
      <c r="FF74" s="308"/>
      <c r="FG74" s="308"/>
      <c r="FH74" s="308"/>
      <c r="FI74" s="308"/>
      <c r="FJ74" s="308"/>
      <c r="FK74" s="308"/>
      <c r="FL74" s="308"/>
      <c r="FM74" s="308"/>
      <c r="FN74" s="308"/>
      <c r="FO74" s="308"/>
      <c r="FP74" s="308"/>
      <c r="FQ74" s="308"/>
      <c r="FR74" s="308"/>
      <c r="FS74" s="308"/>
      <c r="FT74" s="308"/>
      <c r="FU74" s="308"/>
      <c r="FV74" s="308"/>
      <c r="FW74" s="308"/>
      <c r="FX74" s="308"/>
      <c r="FY74" s="308"/>
      <c r="FZ74" s="308"/>
      <c r="GA74" s="308"/>
      <c r="GB74" s="308"/>
      <c r="GC74" s="308"/>
      <c r="GD74" s="308"/>
      <c r="GE74" s="308"/>
      <c r="GF74" s="308"/>
      <c r="GG74" s="308"/>
      <c r="GH74" s="308"/>
      <c r="GI74" s="308"/>
      <c r="GJ74" s="308"/>
      <c r="GK74" s="308"/>
      <c r="GL74" s="308"/>
      <c r="GM74" s="308"/>
      <c r="GN74" s="308"/>
      <c r="GO74" s="308"/>
      <c r="GP74" s="308"/>
      <c r="GQ74" s="308"/>
      <c r="GR74" s="308"/>
      <c r="GS74" s="308"/>
      <c r="GT74" s="308"/>
      <c r="GU74" s="308"/>
      <c r="GV74" s="308"/>
      <c r="GW74" s="308"/>
      <c r="GX74" s="308"/>
      <c r="GY74" s="308"/>
      <c r="GZ74" s="308"/>
      <c r="HA74" s="380">
        <f t="shared" si="1553"/>
        <v>29313208</v>
      </c>
      <c r="HB74" s="308">
        <v>19584</v>
      </c>
      <c r="HC74" s="380">
        <v>9792</v>
      </c>
      <c r="HD74" s="360">
        <v>353867.56</v>
      </c>
    </row>
    <row r="75" spans="1:212" s="299" customFormat="1" ht="12" customHeight="1">
      <c r="A75" s="670"/>
      <c r="B75" s="684"/>
      <c r="C75" s="686"/>
      <c r="D75" s="676"/>
      <c r="E75" s="688"/>
      <c r="F75" s="655"/>
      <c r="G75" s="655"/>
      <c r="H75" s="657"/>
      <c r="I75" s="313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5"/>
      <c r="BN75" s="295"/>
      <c r="BO75" s="295"/>
      <c r="BP75" s="295"/>
      <c r="BQ75" s="295"/>
      <c r="BR75" s="295"/>
      <c r="BS75" s="295"/>
      <c r="BT75" s="295"/>
      <c r="BU75" s="295"/>
      <c r="BV75" s="295"/>
      <c r="BW75" s="295"/>
      <c r="BX75" s="295"/>
      <c r="BY75" s="295"/>
      <c r="BZ75" s="295"/>
      <c r="CA75" s="295"/>
      <c r="CB75" s="295"/>
      <c r="CC75" s="295"/>
      <c r="CD75" s="295"/>
      <c r="CE75" s="295"/>
      <c r="CF75" s="295"/>
      <c r="CG75" s="295"/>
      <c r="CH75" s="295"/>
      <c r="CI75" s="295"/>
      <c r="CJ75" s="295"/>
      <c r="CK75" s="295"/>
      <c r="CL75" s="295"/>
      <c r="CM75" s="295"/>
      <c r="CN75" s="295"/>
      <c r="CO75" s="295"/>
      <c r="CP75" s="293">
        <f t="shared" si="1468"/>
        <v>0</v>
      </c>
      <c r="CQ75" s="312"/>
      <c r="CR75" s="312"/>
      <c r="CS75" s="312"/>
      <c r="CT75" s="312"/>
      <c r="CU75" s="312"/>
      <c r="CV75" s="312"/>
      <c r="CW75" s="312"/>
      <c r="CX75" s="312"/>
      <c r="CY75" s="312"/>
      <c r="CZ75" s="312"/>
      <c r="DA75" s="312"/>
      <c r="DB75" s="312"/>
      <c r="DC75" s="312"/>
      <c r="DD75" s="312"/>
      <c r="DE75" s="312"/>
      <c r="DF75" s="312"/>
      <c r="DG75" s="312"/>
      <c r="DH75" s="312"/>
      <c r="DI75" s="312"/>
      <c r="DJ75" s="312"/>
      <c r="DK75" s="312"/>
      <c r="DL75" s="312"/>
      <c r="DM75" s="312"/>
      <c r="DN75" s="312"/>
      <c r="DO75" s="312"/>
      <c r="DP75" s="312"/>
      <c r="DQ75" s="312"/>
      <c r="DR75" s="312"/>
      <c r="DS75" s="312"/>
      <c r="DT75" s="312"/>
      <c r="DU75" s="312"/>
      <c r="DV75" s="312"/>
      <c r="DW75" s="312"/>
      <c r="DX75" s="312"/>
      <c r="DY75" s="312"/>
      <c r="DZ75" s="312"/>
      <c r="EA75" s="312"/>
      <c r="EB75" s="312"/>
      <c r="EC75" s="312"/>
      <c r="ED75" s="312"/>
      <c r="EE75" s="312"/>
      <c r="EF75" s="312"/>
      <c r="EG75" s="312"/>
      <c r="EH75" s="312"/>
      <c r="EI75" s="312"/>
      <c r="EJ75" s="312"/>
      <c r="EK75" s="312"/>
      <c r="EL75" s="312"/>
      <c r="EM75" s="312"/>
      <c r="EN75" s="312"/>
      <c r="EO75" s="312"/>
      <c r="EP75" s="312"/>
      <c r="EQ75" s="312"/>
      <c r="ER75" s="312"/>
      <c r="ES75" s="312"/>
      <c r="ET75" s="312"/>
      <c r="EU75" s="312"/>
      <c r="EV75" s="312"/>
      <c r="EW75" s="312"/>
      <c r="EX75" s="312"/>
      <c r="EY75" s="312"/>
      <c r="EZ75" s="312"/>
      <c r="FA75" s="312"/>
      <c r="FB75" s="312"/>
      <c r="FC75" s="312"/>
      <c r="FD75" s="312"/>
      <c r="FE75" s="312"/>
      <c r="FF75" s="312"/>
      <c r="FG75" s="312"/>
      <c r="FH75" s="312"/>
      <c r="FI75" s="312"/>
      <c r="FJ75" s="312"/>
      <c r="FK75" s="312"/>
      <c r="FL75" s="312"/>
      <c r="FM75" s="312"/>
      <c r="FN75" s="312"/>
      <c r="FO75" s="312"/>
      <c r="FP75" s="312"/>
      <c r="FQ75" s="312"/>
      <c r="FR75" s="312"/>
      <c r="FS75" s="312"/>
      <c r="FT75" s="312"/>
      <c r="FU75" s="312"/>
      <c r="FV75" s="312"/>
      <c r="FW75" s="312"/>
      <c r="FX75" s="312"/>
      <c r="FY75" s="312"/>
      <c r="FZ75" s="312"/>
      <c r="GA75" s="312"/>
      <c r="GB75" s="312"/>
      <c r="GC75" s="312"/>
      <c r="GD75" s="312"/>
      <c r="GE75" s="312"/>
      <c r="GF75" s="312"/>
      <c r="GG75" s="312"/>
      <c r="GH75" s="312"/>
      <c r="GI75" s="312"/>
      <c r="GJ75" s="312"/>
      <c r="GK75" s="312"/>
      <c r="GL75" s="312"/>
      <c r="GM75" s="312"/>
      <c r="GN75" s="312"/>
      <c r="GO75" s="312"/>
      <c r="GP75" s="312"/>
      <c r="GQ75" s="312"/>
      <c r="GR75" s="312"/>
      <c r="GS75" s="312"/>
      <c r="GT75" s="312"/>
      <c r="GU75" s="312"/>
      <c r="GV75" s="312"/>
      <c r="GW75" s="312"/>
      <c r="GX75" s="312"/>
      <c r="GY75" s="312"/>
      <c r="GZ75" s="312"/>
      <c r="HA75" s="381">
        <f t="shared" si="1553"/>
        <v>0</v>
      </c>
      <c r="HB75" s="312">
        <v>19584</v>
      </c>
      <c r="HC75" s="381">
        <v>9792</v>
      </c>
      <c r="HD75" s="360">
        <v>282774.67</v>
      </c>
    </row>
    <row r="76" spans="1:212" s="299" customFormat="1" ht="12" customHeight="1">
      <c r="A76" s="669">
        <v>38</v>
      </c>
      <c r="B76" s="683" t="s">
        <v>552</v>
      </c>
      <c r="C76" s="685" t="s">
        <v>707</v>
      </c>
      <c r="D76" s="675" t="s">
        <v>638</v>
      </c>
      <c r="E76" s="687" t="s">
        <v>439</v>
      </c>
      <c r="F76" s="654">
        <v>7.2</v>
      </c>
      <c r="G76" s="654">
        <v>37</v>
      </c>
      <c r="H76" s="656">
        <f>F76*G76*365</f>
        <v>97236.000000000015</v>
      </c>
      <c r="I76" s="307">
        <v>203520.35</v>
      </c>
      <c r="J76" s="292">
        <f>ROUND(G76*F76*365/4,0)</f>
        <v>24309</v>
      </c>
      <c r="K76" s="295">
        <f>J76</f>
        <v>24309</v>
      </c>
      <c r="L76" s="295">
        <f>K76</f>
        <v>24309</v>
      </c>
      <c r="M76" s="295">
        <f>L76</f>
        <v>24309</v>
      </c>
      <c r="N76" s="293">
        <f>ROUND(M76*(1+取值表!$D$8)*取值表!$I$8,0)</f>
        <v>25002</v>
      </c>
      <c r="O76" s="295">
        <f>N76</f>
        <v>25002</v>
      </c>
      <c r="P76" s="295">
        <f>O76</f>
        <v>25002</v>
      </c>
      <c r="Q76" s="295">
        <f>P76</f>
        <v>25002</v>
      </c>
      <c r="R76" s="294">
        <f>ROUND(Q76*(1+取值表!$D$8),0)</f>
        <v>27327</v>
      </c>
      <c r="S76" s="295">
        <f t="shared" ref="S76:T76" si="1601">R76</f>
        <v>27327</v>
      </c>
      <c r="T76" s="295">
        <f t="shared" si="1601"/>
        <v>27327</v>
      </c>
      <c r="U76" s="295">
        <f>T76</f>
        <v>27327</v>
      </c>
      <c r="V76" s="293">
        <f>ROUND(U76*(1+取值表!$D$8),0)</f>
        <v>29868</v>
      </c>
      <c r="W76" s="295">
        <f t="shared" ref="W76:Y76" si="1602">V76</f>
        <v>29868</v>
      </c>
      <c r="X76" s="295">
        <f t="shared" si="1602"/>
        <v>29868</v>
      </c>
      <c r="Y76" s="295">
        <f t="shared" si="1602"/>
        <v>29868</v>
      </c>
      <c r="Z76" s="293">
        <f>ROUND(Y76*(1+取值表!$D$8),0)</f>
        <v>32646</v>
      </c>
      <c r="AA76" s="295">
        <f t="shared" ref="AA76" si="1603">Z76</f>
        <v>32646</v>
      </c>
      <c r="AB76" s="295">
        <f t="shared" ref="AB76" si="1604">AA76</f>
        <v>32646</v>
      </c>
      <c r="AC76" s="295">
        <f>AB76</f>
        <v>32646</v>
      </c>
      <c r="AD76" s="293">
        <f>ROUND(AC76*(1+取值表!$D$8),0)</f>
        <v>35682</v>
      </c>
      <c r="AE76" s="295">
        <f t="shared" ref="AE76" si="1605">AD76</f>
        <v>35682</v>
      </c>
      <c r="AF76" s="295">
        <f t="shared" ref="AF76" si="1606">AE76</f>
        <v>35682</v>
      </c>
      <c r="AG76" s="295">
        <f t="shared" ref="AG76" si="1607">AF76</f>
        <v>35682</v>
      </c>
      <c r="AH76" s="293">
        <f>ROUND(AG76*(1+取值表!$D$8),0)</f>
        <v>39000</v>
      </c>
      <c r="AI76" s="295">
        <f t="shared" ref="AI76" si="1608">AH76</f>
        <v>39000</v>
      </c>
      <c r="AJ76" s="295">
        <f t="shared" ref="AJ76" si="1609">AI76</f>
        <v>39000</v>
      </c>
      <c r="AK76" s="295">
        <f t="shared" ref="AK76" si="1610">AJ76</f>
        <v>39000</v>
      </c>
      <c r="AL76" s="293">
        <f>ROUND(AK76*(1+取值表!$D$8),0)</f>
        <v>42627</v>
      </c>
      <c r="AM76" s="295">
        <f t="shared" ref="AM76" si="1611">AL76</f>
        <v>42627</v>
      </c>
      <c r="AN76" s="295">
        <f t="shared" ref="AN76" si="1612">AM76</f>
        <v>42627</v>
      </c>
      <c r="AO76" s="295">
        <f t="shared" ref="AO76" si="1613">AN76</f>
        <v>42627</v>
      </c>
      <c r="AP76" s="293">
        <f>ROUND(AO76*(1+取值表!$D$8),0)</f>
        <v>46591</v>
      </c>
      <c r="AQ76" s="295">
        <f t="shared" ref="AQ76" si="1614">AP76</f>
        <v>46591</v>
      </c>
      <c r="AR76" s="295">
        <f t="shared" ref="AR76" si="1615">AQ76</f>
        <v>46591</v>
      </c>
      <c r="AS76" s="295">
        <f t="shared" ref="AS76" si="1616">AR76</f>
        <v>46591</v>
      </c>
      <c r="AT76" s="293">
        <f>ROUND(AS76*(1+取值表!$D$8),0)</f>
        <v>50924</v>
      </c>
      <c r="AU76" s="295">
        <f t="shared" ref="AU76" si="1617">AT76</f>
        <v>50924</v>
      </c>
      <c r="AV76" s="295">
        <f t="shared" ref="AV76" si="1618">AU76</f>
        <v>50924</v>
      </c>
      <c r="AW76" s="295">
        <f t="shared" ref="AW76" si="1619">AV76</f>
        <v>50924</v>
      </c>
      <c r="AX76" s="293">
        <f>ROUND(AW76*(1+取值表!$D$8),0)</f>
        <v>55660</v>
      </c>
      <c r="AY76" s="295">
        <f t="shared" ref="AY76" si="1620">AX76</f>
        <v>55660</v>
      </c>
      <c r="AZ76" s="295">
        <f t="shared" ref="AZ76" si="1621">AY76</f>
        <v>55660</v>
      </c>
      <c r="BA76" s="295">
        <f t="shared" ref="BA76" si="1622">AZ76</f>
        <v>55660</v>
      </c>
      <c r="BB76" s="293">
        <f>ROUND(BA76*(1+取值表!$D$8),0)</f>
        <v>60836</v>
      </c>
      <c r="BC76" s="295">
        <f>BB76</f>
        <v>60836</v>
      </c>
      <c r="BD76" s="295">
        <f t="shared" ref="BD76" si="1623">BC76</f>
        <v>60836</v>
      </c>
      <c r="BE76" s="295">
        <f>BD76</f>
        <v>60836</v>
      </c>
      <c r="BF76" s="293">
        <f>ROUND(BE76*(1+取值表!$D$8),0)</f>
        <v>66494</v>
      </c>
      <c r="BG76" s="295">
        <f>BF76</f>
        <v>66494</v>
      </c>
      <c r="BH76" s="295">
        <f t="shared" ref="BH76" si="1624">BG76</f>
        <v>66494</v>
      </c>
      <c r="BI76" s="295">
        <f t="shared" ref="BI76" si="1625">BH76</f>
        <v>66494</v>
      </c>
      <c r="BJ76" s="293">
        <f>ROUND(BI76*(1+取值表!$D$8),0)</f>
        <v>72678</v>
      </c>
      <c r="BK76" s="295">
        <f t="shared" ref="BK76" si="1626">BJ76</f>
        <v>72678</v>
      </c>
      <c r="BL76" s="295">
        <f t="shared" ref="BL76" si="1627">BK76</f>
        <v>72678</v>
      </c>
      <c r="BM76" s="295">
        <f t="shared" ref="BM76" si="1628">BL76</f>
        <v>72678</v>
      </c>
      <c r="BN76" s="293">
        <f>ROUND(BM76*(1+取值表!$D$8),0)</f>
        <v>79437</v>
      </c>
      <c r="BO76" s="295">
        <f t="shared" ref="BO76" si="1629">BN76</f>
        <v>79437</v>
      </c>
      <c r="BP76" s="295">
        <f t="shared" ref="BP76" si="1630">BO76</f>
        <v>79437</v>
      </c>
      <c r="BQ76" s="295">
        <f t="shared" ref="BQ76" si="1631">BP76</f>
        <v>79437</v>
      </c>
      <c r="BR76" s="293">
        <f>ROUND(BQ76*(1+取值表!$D$8),0)</f>
        <v>86825</v>
      </c>
      <c r="BS76" s="295">
        <f t="shared" ref="BS76" si="1632">BR76</f>
        <v>86825</v>
      </c>
      <c r="BT76" s="295">
        <f t="shared" ref="BT76" si="1633">BS76</f>
        <v>86825</v>
      </c>
      <c r="BU76" s="295">
        <f t="shared" ref="BU76" si="1634">BT76</f>
        <v>86825</v>
      </c>
      <c r="BV76" s="293">
        <f>ROUND(BU76*(1+取值表!$D$8),0)</f>
        <v>94900</v>
      </c>
      <c r="BW76" s="295">
        <f t="shared" ref="BW76" si="1635">BV76</f>
        <v>94900</v>
      </c>
      <c r="BX76" s="295">
        <f t="shared" ref="BX76" si="1636">BW76</f>
        <v>94900</v>
      </c>
      <c r="BY76" s="295">
        <f t="shared" ref="BY76" si="1637">BX76</f>
        <v>94900</v>
      </c>
      <c r="BZ76" s="293">
        <f>ROUND(BY76*(1+取值表!$D$8),0)</f>
        <v>103726</v>
      </c>
      <c r="CA76" s="295">
        <f t="shared" ref="CA76" si="1638">BZ76</f>
        <v>103726</v>
      </c>
      <c r="CB76" s="295">
        <f t="shared" ref="CB76" si="1639">CA76</f>
        <v>103726</v>
      </c>
      <c r="CC76" s="295">
        <f t="shared" ref="CC76" si="1640">CB76</f>
        <v>103726</v>
      </c>
      <c r="CD76" s="293">
        <f>ROUND(CC76*(1+取值表!$D$8),0)</f>
        <v>113373</v>
      </c>
      <c r="CE76" s="295">
        <f t="shared" ref="CE76" si="1641">CD76</f>
        <v>113373</v>
      </c>
      <c r="CF76" s="295">
        <f t="shared" ref="CF76" si="1642">CE76</f>
        <v>113373</v>
      </c>
      <c r="CG76" s="295">
        <f t="shared" ref="CG76" si="1643">CF76</f>
        <v>113373</v>
      </c>
      <c r="CH76" s="293">
        <f>ROUND(CG76*(1+取值表!$D$8),0)</f>
        <v>123917</v>
      </c>
      <c r="CI76" s="295">
        <f>CH76</f>
        <v>123917</v>
      </c>
      <c r="CJ76" s="295">
        <f t="shared" ref="CJ76" si="1644">CI76</f>
        <v>123917</v>
      </c>
      <c r="CK76" s="295">
        <f t="shared" ref="CK76" si="1645">CJ76</f>
        <v>123917</v>
      </c>
      <c r="CL76" s="293">
        <f>ROUND(CK76*(1+取值表!$D$8),0)</f>
        <v>135441</v>
      </c>
      <c r="CM76" s="295">
        <f>CL76</f>
        <v>135441</v>
      </c>
      <c r="CN76" s="295">
        <f t="shared" ref="CN76" si="1646">CM76</f>
        <v>135441</v>
      </c>
      <c r="CO76" s="295">
        <f t="shared" ref="CO76" si="1647">CN76</f>
        <v>135441</v>
      </c>
      <c r="CP76" s="293">
        <f t="shared" si="1468"/>
        <v>5389052</v>
      </c>
      <c r="CQ76" s="308"/>
      <c r="CR76" s="308"/>
      <c r="CS76" s="308"/>
      <c r="CT76" s="308"/>
      <c r="CU76" s="308"/>
      <c r="CV76" s="308"/>
      <c r="CW76" s="308"/>
      <c r="CX76" s="308"/>
      <c r="CY76" s="308"/>
      <c r="CZ76" s="308"/>
      <c r="DA76" s="308"/>
      <c r="DB76" s="308"/>
      <c r="DC76" s="308"/>
      <c r="DD76" s="308"/>
      <c r="DE76" s="308"/>
      <c r="DF76" s="308"/>
      <c r="DG76" s="308"/>
      <c r="DH76" s="308"/>
      <c r="DI76" s="308"/>
      <c r="DJ76" s="308"/>
      <c r="DK76" s="308"/>
      <c r="DL76" s="308"/>
      <c r="DM76" s="308"/>
      <c r="DN76" s="308"/>
      <c r="DO76" s="308"/>
      <c r="DP76" s="308"/>
      <c r="DQ76" s="308"/>
      <c r="DR76" s="308"/>
      <c r="DS76" s="308"/>
      <c r="DT76" s="308"/>
      <c r="DU76" s="308"/>
      <c r="DV76" s="308"/>
      <c r="DW76" s="308"/>
      <c r="DX76" s="308"/>
      <c r="DY76" s="308"/>
      <c r="DZ76" s="308"/>
      <c r="EA76" s="308"/>
      <c r="EB76" s="308"/>
      <c r="EC76" s="308"/>
      <c r="ED76" s="308"/>
      <c r="EE76" s="308"/>
      <c r="EF76" s="308"/>
      <c r="EG76" s="308"/>
      <c r="EH76" s="308"/>
      <c r="EI76" s="308"/>
      <c r="EJ76" s="308"/>
      <c r="EK76" s="308"/>
      <c r="EL76" s="308"/>
      <c r="EM76" s="308"/>
      <c r="EN76" s="308"/>
      <c r="EO76" s="308"/>
      <c r="EP76" s="308"/>
      <c r="EQ76" s="308"/>
      <c r="ER76" s="308"/>
      <c r="ES76" s="308"/>
      <c r="ET76" s="308"/>
      <c r="EU76" s="308"/>
      <c r="EV76" s="308"/>
      <c r="EW76" s="308"/>
      <c r="EX76" s="308"/>
      <c r="EY76" s="308"/>
      <c r="EZ76" s="308"/>
      <c r="FA76" s="308"/>
      <c r="FB76" s="308"/>
      <c r="FC76" s="308"/>
      <c r="FD76" s="308"/>
      <c r="FE76" s="308"/>
      <c r="FF76" s="308"/>
      <c r="FG76" s="308"/>
      <c r="FH76" s="308"/>
      <c r="FI76" s="308"/>
      <c r="FJ76" s="308"/>
      <c r="FK76" s="308"/>
      <c r="FL76" s="308"/>
      <c r="FM76" s="308"/>
      <c r="FN76" s="308"/>
      <c r="FO76" s="308"/>
      <c r="FP76" s="308"/>
      <c r="FQ76" s="308"/>
      <c r="FR76" s="308"/>
      <c r="FS76" s="308"/>
      <c r="FT76" s="308"/>
      <c r="FU76" s="308"/>
      <c r="FV76" s="308"/>
      <c r="FW76" s="308"/>
      <c r="FX76" s="308"/>
      <c r="FY76" s="308"/>
      <c r="FZ76" s="308"/>
      <c r="GA76" s="308"/>
      <c r="GB76" s="308"/>
      <c r="GC76" s="308"/>
      <c r="GD76" s="308"/>
      <c r="GE76" s="308"/>
      <c r="GF76" s="308"/>
      <c r="GG76" s="308"/>
      <c r="GH76" s="308"/>
      <c r="GI76" s="308"/>
      <c r="GJ76" s="308"/>
      <c r="GK76" s="308"/>
      <c r="GL76" s="308"/>
      <c r="GM76" s="308"/>
      <c r="GN76" s="308"/>
      <c r="GO76" s="308"/>
      <c r="GP76" s="308"/>
      <c r="GQ76" s="308"/>
      <c r="GR76" s="308"/>
      <c r="GS76" s="308"/>
      <c r="GT76" s="308"/>
      <c r="GU76" s="308"/>
      <c r="GV76" s="308"/>
      <c r="GW76" s="308"/>
      <c r="GX76" s="308"/>
      <c r="GY76" s="308"/>
      <c r="GZ76" s="308"/>
      <c r="HA76" s="380">
        <f t="shared" si="1553"/>
        <v>10778104</v>
      </c>
      <c r="HB76" s="308">
        <v>19584</v>
      </c>
      <c r="HC76" s="380">
        <v>9792</v>
      </c>
      <c r="HD76" s="360">
        <v>722401.8</v>
      </c>
    </row>
    <row r="77" spans="1:212" s="299" customFormat="1" ht="12" customHeight="1">
      <c r="A77" s="670"/>
      <c r="B77" s="684"/>
      <c r="C77" s="686"/>
      <c r="D77" s="676"/>
      <c r="E77" s="688"/>
      <c r="F77" s="655"/>
      <c r="G77" s="655"/>
      <c r="H77" s="657"/>
      <c r="I77" s="313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5"/>
      <c r="BN77" s="295"/>
      <c r="BO77" s="295"/>
      <c r="BP77" s="295"/>
      <c r="BQ77" s="295"/>
      <c r="BR77" s="295"/>
      <c r="BS77" s="295"/>
      <c r="BT77" s="295"/>
      <c r="BU77" s="295"/>
      <c r="BV77" s="295"/>
      <c r="BW77" s="295"/>
      <c r="BX77" s="295"/>
      <c r="BY77" s="295"/>
      <c r="BZ77" s="295"/>
      <c r="CA77" s="295"/>
      <c r="CB77" s="295"/>
      <c r="CC77" s="295"/>
      <c r="CD77" s="295"/>
      <c r="CE77" s="295"/>
      <c r="CF77" s="295"/>
      <c r="CG77" s="295"/>
      <c r="CH77" s="295"/>
      <c r="CI77" s="295"/>
      <c r="CJ77" s="295"/>
      <c r="CK77" s="295"/>
      <c r="CL77" s="295"/>
      <c r="CM77" s="295"/>
      <c r="CN77" s="295"/>
      <c r="CO77" s="295"/>
      <c r="CP77" s="293">
        <f t="shared" si="1468"/>
        <v>0</v>
      </c>
      <c r="CQ77" s="312"/>
      <c r="CR77" s="312"/>
      <c r="CS77" s="312"/>
      <c r="CT77" s="312"/>
      <c r="CU77" s="312"/>
      <c r="CV77" s="312"/>
      <c r="CW77" s="312"/>
      <c r="CX77" s="312"/>
      <c r="CY77" s="312"/>
      <c r="CZ77" s="312"/>
      <c r="DA77" s="312"/>
      <c r="DB77" s="312"/>
      <c r="DC77" s="312"/>
      <c r="DD77" s="312"/>
      <c r="DE77" s="312"/>
      <c r="DF77" s="312"/>
      <c r="DG77" s="312"/>
      <c r="DH77" s="312"/>
      <c r="DI77" s="312"/>
      <c r="DJ77" s="312"/>
      <c r="DK77" s="312"/>
      <c r="DL77" s="312"/>
      <c r="DM77" s="312"/>
      <c r="DN77" s="312"/>
      <c r="DO77" s="312"/>
      <c r="DP77" s="312"/>
      <c r="DQ77" s="312"/>
      <c r="DR77" s="312"/>
      <c r="DS77" s="312"/>
      <c r="DT77" s="312"/>
      <c r="DU77" s="312"/>
      <c r="DV77" s="312"/>
      <c r="DW77" s="312"/>
      <c r="DX77" s="312"/>
      <c r="DY77" s="312"/>
      <c r="DZ77" s="312"/>
      <c r="EA77" s="312"/>
      <c r="EB77" s="312"/>
      <c r="EC77" s="312"/>
      <c r="ED77" s="312"/>
      <c r="EE77" s="312"/>
      <c r="EF77" s="312"/>
      <c r="EG77" s="312"/>
      <c r="EH77" s="312"/>
      <c r="EI77" s="312"/>
      <c r="EJ77" s="312"/>
      <c r="EK77" s="312"/>
      <c r="EL77" s="312"/>
      <c r="EM77" s="312"/>
      <c r="EN77" s="312"/>
      <c r="EO77" s="312"/>
      <c r="EP77" s="312"/>
      <c r="EQ77" s="312"/>
      <c r="ER77" s="312"/>
      <c r="ES77" s="312"/>
      <c r="ET77" s="312"/>
      <c r="EU77" s="312"/>
      <c r="EV77" s="312"/>
      <c r="EW77" s="312"/>
      <c r="EX77" s="312"/>
      <c r="EY77" s="312"/>
      <c r="EZ77" s="312"/>
      <c r="FA77" s="312"/>
      <c r="FB77" s="312"/>
      <c r="FC77" s="312"/>
      <c r="FD77" s="312"/>
      <c r="FE77" s="312"/>
      <c r="FF77" s="312"/>
      <c r="FG77" s="312"/>
      <c r="FH77" s="312"/>
      <c r="FI77" s="312"/>
      <c r="FJ77" s="312"/>
      <c r="FK77" s="312"/>
      <c r="FL77" s="312"/>
      <c r="FM77" s="312"/>
      <c r="FN77" s="312"/>
      <c r="FO77" s="312"/>
      <c r="FP77" s="312"/>
      <c r="FQ77" s="312"/>
      <c r="FR77" s="312"/>
      <c r="FS77" s="312"/>
      <c r="FT77" s="312"/>
      <c r="FU77" s="312"/>
      <c r="FV77" s="312"/>
      <c r="FW77" s="312"/>
      <c r="FX77" s="312"/>
      <c r="FY77" s="312"/>
      <c r="FZ77" s="312"/>
      <c r="GA77" s="312"/>
      <c r="GB77" s="312"/>
      <c r="GC77" s="312"/>
      <c r="GD77" s="312"/>
      <c r="GE77" s="312"/>
      <c r="GF77" s="312"/>
      <c r="GG77" s="312"/>
      <c r="GH77" s="312"/>
      <c r="GI77" s="312"/>
      <c r="GJ77" s="312"/>
      <c r="GK77" s="312"/>
      <c r="GL77" s="312"/>
      <c r="GM77" s="312"/>
      <c r="GN77" s="312"/>
      <c r="GO77" s="312"/>
      <c r="GP77" s="312"/>
      <c r="GQ77" s="312"/>
      <c r="GR77" s="312"/>
      <c r="GS77" s="312"/>
      <c r="GT77" s="312"/>
      <c r="GU77" s="312"/>
      <c r="GV77" s="312"/>
      <c r="GW77" s="312"/>
      <c r="GX77" s="312"/>
      <c r="GY77" s="312"/>
      <c r="GZ77" s="312"/>
      <c r="HA77" s="381">
        <f t="shared" si="1553"/>
        <v>0</v>
      </c>
      <c r="HB77" s="312">
        <v>19584</v>
      </c>
      <c r="HC77" s="381">
        <v>9792</v>
      </c>
      <c r="HD77" s="360">
        <v>433794.39</v>
      </c>
    </row>
    <row r="78" spans="1:212" s="299" customFormat="1" ht="12" customHeight="1">
      <c r="A78" s="669">
        <v>39</v>
      </c>
      <c r="B78" s="683" t="s">
        <v>553</v>
      </c>
      <c r="C78" s="685" t="s">
        <v>41</v>
      </c>
      <c r="D78" s="675" t="s">
        <v>638</v>
      </c>
      <c r="E78" s="687" t="s">
        <v>439</v>
      </c>
      <c r="F78" s="654">
        <v>29.07</v>
      </c>
      <c r="G78" s="654">
        <v>37</v>
      </c>
      <c r="H78" s="656">
        <f>F78*G78*365</f>
        <v>392590.35</v>
      </c>
      <c r="I78" s="307">
        <v>74095</v>
      </c>
      <c r="J78" s="292">
        <f>ROUND(G78*F78*365/4,0)</f>
        <v>98148</v>
      </c>
      <c r="K78" s="295">
        <f>J78</f>
        <v>98148</v>
      </c>
      <c r="L78" s="295">
        <f>K78</f>
        <v>98148</v>
      </c>
      <c r="M78" s="295">
        <f>L78</f>
        <v>98148</v>
      </c>
      <c r="N78" s="293">
        <f>ROUND(M78*(1+取值表!$D$8)*取值表!$I$8,0)</f>
        <v>100946</v>
      </c>
      <c r="O78" s="295">
        <f>N78</f>
        <v>100946</v>
      </c>
      <c r="P78" s="295">
        <f>O78</f>
        <v>100946</v>
      </c>
      <c r="Q78" s="295">
        <f>P78</f>
        <v>100946</v>
      </c>
      <c r="R78" s="294">
        <f>ROUND(Q78*(1+取值表!$D$8),0)</f>
        <v>110334</v>
      </c>
      <c r="S78" s="295">
        <f t="shared" ref="S78:T78" si="1648">R78</f>
        <v>110334</v>
      </c>
      <c r="T78" s="295">
        <f t="shared" si="1648"/>
        <v>110334</v>
      </c>
      <c r="U78" s="295">
        <f>T78</f>
        <v>110334</v>
      </c>
      <c r="V78" s="293">
        <f>ROUND(U78*(1+取值表!$D$8),0)</f>
        <v>120595</v>
      </c>
      <c r="W78" s="295">
        <f t="shared" ref="W78:Y78" si="1649">V78</f>
        <v>120595</v>
      </c>
      <c r="X78" s="295">
        <f t="shared" si="1649"/>
        <v>120595</v>
      </c>
      <c r="Y78" s="295">
        <f t="shared" si="1649"/>
        <v>120595</v>
      </c>
      <c r="Z78" s="293">
        <f>ROUND(Y78*(1+取值表!$D$8),0)</f>
        <v>131810</v>
      </c>
      <c r="AA78" s="295">
        <f t="shared" ref="AA78" si="1650">Z78</f>
        <v>131810</v>
      </c>
      <c r="AB78" s="295">
        <f t="shared" ref="AB78" si="1651">AA78</f>
        <v>131810</v>
      </c>
      <c r="AC78" s="295">
        <f>AB78</f>
        <v>131810</v>
      </c>
      <c r="AD78" s="293">
        <f>ROUND(AC78*(1+取值表!$D$8),0)</f>
        <v>144068</v>
      </c>
      <c r="AE78" s="295">
        <f t="shared" ref="AE78" si="1652">AD78</f>
        <v>144068</v>
      </c>
      <c r="AF78" s="295">
        <f t="shared" ref="AF78" si="1653">AE78</f>
        <v>144068</v>
      </c>
      <c r="AG78" s="295">
        <f t="shared" ref="AG78" si="1654">AF78</f>
        <v>144068</v>
      </c>
      <c r="AH78" s="293">
        <f>ROUND(AG78*(1+取值表!$D$8),0)</f>
        <v>157466</v>
      </c>
      <c r="AI78" s="295">
        <f t="shared" ref="AI78" si="1655">AH78</f>
        <v>157466</v>
      </c>
      <c r="AJ78" s="295">
        <f t="shared" ref="AJ78" si="1656">AI78</f>
        <v>157466</v>
      </c>
      <c r="AK78" s="295">
        <f t="shared" ref="AK78" si="1657">AJ78</f>
        <v>157466</v>
      </c>
      <c r="AL78" s="293">
        <f>ROUND(AK78*(1+取值表!$D$8),0)</f>
        <v>172110</v>
      </c>
      <c r="AM78" s="295">
        <f t="shared" ref="AM78" si="1658">AL78</f>
        <v>172110</v>
      </c>
      <c r="AN78" s="295">
        <f t="shared" ref="AN78" si="1659">AM78</f>
        <v>172110</v>
      </c>
      <c r="AO78" s="295">
        <f t="shared" ref="AO78" si="1660">AN78</f>
        <v>172110</v>
      </c>
      <c r="AP78" s="293">
        <f>ROUND(AO78*(1+取值表!$D$8),0)</f>
        <v>188116</v>
      </c>
      <c r="AQ78" s="295">
        <f t="shared" ref="AQ78" si="1661">AP78</f>
        <v>188116</v>
      </c>
      <c r="AR78" s="295">
        <f t="shared" ref="AR78" si="1662">AQ78</f>
        <v>188116</v>
      </c>
      <c r="AS78" s="295">
        <f t="shared" ref="AS78" si="1663">AR78</f>
        <v>188116</v>
      </c>
      <c r="AT78" s="293">
        <f>ROUND(AS78*(1+取值表!$D$8),0)</f>
        <v>205611</v>
      </c>
      <c r="AU78" s="295">
        <f t="shared" ref="AU78" si="1664">AT78</f>
        <v>205611</v>
      </c>
      <c r="AV78" s="295">
        <f t="shared" ref="AV78" si="1665">AU78</f>
        <v>205611</v>
      </c>
      <c r="AW78" s="295">
        <f t="shared" ref="AW78" si="1666">AV78</f>
        <v>205611</v>
      </c>
      <c r="AX78" s="293">
        <f>ROUND(AW78*(1+取值表!$D$8),0)</f>
        <v>224733</v>
      </c>
      <c r="AY78" s="295">
        <f t="shared" ref="AY78" si="1667">AX78</f>
        <v>224733</v>
      </c>
      <c r="AZ78" s="295">
        <f t="shared" ref="AZ78" si="1668">AY78</f>
        <v>224733</v>
      </c>
      <c r="BA78" s="295">
        <f t="shared" ref="BA78" si="1669">AZ78</f>
        <v>224733</v>
      </c>
      <c r="BB78" s="293">
        <f>ROUND(BA78*(1+取值表!$D$8),0)</f>
        <v>245633</v>
      </c>
      <c r="BC78" s="295">
        <f>BB78</f>
        <v>245633</v>
      </c>
      <c r="BD78" s="295">
        <f t="shared" ref="BD78" si="1670">BC78</f>
        <v>245633</v>
      </c>
      <c r="BE78" s="295">
        <f>BD78</f>
        <v>245633</v>
      </c>
      <c r="BF78" s="293">
        <f>ROUND(BE78*(1+取值表!$D$8),0)</f>
        <v>268477</v>
      </c>
      <c r="BG78" s="295">
        <f>BF78</f>
        <v>268477</v>
      </c>
      <c r="BH78" s="295">
        <f t="shared" ref="BH78" si="1671">BG78</f>
        <v>268477</v>
      </c>
      <c r="BI78" s="295">
        <f t="shared" ref="BI78" si="1672">BH78</f>
        <v>268477</v>
      </c>
      <c r="BJ78" s="293">
        <f>ROUND(BI78*(1+取值表!$D$8),0)</f>
        <v>293445</v>
      </c>
      <c r="BK78" s="295">
        <f t="shared" ref="BK78" si="1673">BJ78</f>
        <v>293445</v>
      </c>
      <c r="BL78" s="295">
        <f t="shared" ref="BL78" si="1674">BK78</f>
        <v>293445</v>
      </c>
      <c r="BM78" s="295">
        <f t="shared" ref="BM78" si="1675">BL78</f>
        <v>293445</v>
      </c>
      <c r="BN78" s="293">
        <f>ROUND(BM78*(1+取值表!$D$8),0)</f>
        <v>320735</v>
      </c>
      <c r="BO78" s="295">
        <f t="shared" ref="BO78" si="1676">BN78</f>
        <v>320735</v>
      </c>
      <c r="BP78" s="295">
        <f t="shared" ref="BP78" si="1677">BO78</f>
        <v>320735</v>
      </c>
      <c r="BQ78" s="295">
        <f t="shared" ref="BQ78" si="1678">BP78</f>
        <v>320735</v>
      </c>
      <c r="BR78" s="293">
        <f>ROUND(BQ78*(1+取值表!$D$8),0)</f>
        <v>350563</v>
      </c>
      <c r="BS78" s="295">
        <f t="shared" ref="BS78" si="1679">BR78</f>
        <v>350563</v>
      </c>
      <c r="BT78" s="295">
        <f t="shared" ref="BT78" si="1680">BS78</f>
        <v>350563</v>
      </c>
      <c r="BU78" s="295">
        <f t="shared" ref="BU78" si="1681">BT78</f>
        <v>350563</v>
      </c>
      <c r="BV78" s="293">
        <f>ROUND(BU78*(1+取值表!$D$8),0)</f>
        <v>383165</v>
      </c>
      <c r="BW78" s="295">
        <f t="shared" ref="BW78" si="1682">BV78</f>
        <v>383165</v>
      </c>
      <c r="BX78" s="295">
        <f t="shared" ref="BX78" si="1683">BW78</f>
        <v>383165</v>
      </c>
      <c r="BY78" s="295">
        <f t="shared" ref="BY78" si="1684">BX78</f>
        <v>383165</v>
      </c>
      <c r="BZ78" s="293">
        <f>ROUND(BY78*(1+取值表!$D$8),0)</f>
        <v>418799</v>
      </c>
      <c r="CA78" s="295">
        <f t="shared" ref="CA78" si="1685">BZ78</f>
        <v>418799</v>
      </c>
      <c r="CB78" s="295">
        <f t="shared" ref="CB78" si="1686">CA78</f>
        <v>418799</v>
      </c>
      <c r="CC78" s="295">
        <f t="shared" ref="CC78" si="1687">CB78</f>
        <v>418799</v>
      </c>
      <c r="CD78" s="293">
        <f>ROUND(CC78*(1+取值表!$D$8),0)</f>
        <v>457747</v>
      </c>
      <c r="CE78" s="295">
        <f t="shared" ref="CE78" si="1688">CD78</f>
        <v>457747</v>
      </c>
      <c r="CF78" s="295">
        <f t="shared" ref="CF78" si="1689">CE78</f>
        <v>457747</v>
      </c>
      <c r="CG78" s="295">
        <f t="shared" ref="CG78" si="1690">CF78</f>
        <v>457747</v>
      </c>
      <c r="CH78" s="293">
        <f>ROUND(CG78*(1+取值表!$D$8),0)</f>
        <v>500317</v>
      </c>
      <c r="CI78" s="295">
        <f>CH78</f>
        <v>500317</v>
      </c>
      <c r="CJ78" s="295">
        <f t="shared" ref="CJ78" si="1691">CI78</f>
        <v>500317</v>
      </c>
      <c r="CK78" s="295">
        <f t="shared" ref="CK78" si="1692">CJ78</f>
        <v>500317</v>
      </c>
      <c r="CL78" s="293">
        <f>ROUND(CK78*(1+取值表!$D$8),0)</f>
        <v>546846</v>
      </c>
      <c r="CM78" s="295">
        <f>CL78</f>
        <v>546846</v>
      </c>
      <c r="CN78" s="295">
        <f t="shared" ref="CN78" si="1693">CM78</f>
        <v>546846</v>
      </c>
      <c r="CO78" s="295">
        <f t="shared" ref="CO78" si="1694">CN78</f>
        <v>546846</v>
      </c>
      <c r="CP78" s="293">
        <f t="shared" si="1468"/>
        <v>21758656</v>
      </c>
      <c r="CQ78" s="308"/>
      <c r="CR78" s="308"/>
      <c r="CS78" s="308"/>
      <c r="CT78" s="308"/>
      <c r="CU78" s="308"/>
      <c r="CV78" s="308"/>
      <c r="CW78" s="308"/>
      <c r="CX78" s="308"/>
      <c r="CY78" s="308"/>
      <c r="CZ78" s="308"/>
      <c r="DA78" s="308"/>
      <c r="DB78" s="308"/>
      <c r="DC78" s="308"/>
      <c r="DD78" s="308"/>
      <c r="DE78" s="308"/>
      <c r="DF78" s="308"/>
      <c r="DG78" s="308"/>
      <c r="DH78" s="308"/>
      <c r="DI78" s="308"/>
      <c r="DJ78" s="308"/>
      <c r="DK78" s="308"/>
      <c r="DL78" s="308"/>
      <c r="DM78" s="308"/>
      <c r="DN78" s="308"/>
      <c r="DO78" s="308"/>
      <c r="DP78" s="308"/>
      <c r="DQ78" s="308"/>
      <c r="DR78" s="308"/>
      <c r="DS78" s="308"/>
      <c r="DT78" s="308"/>
      <c r="DU78" s="308"/>
      <c r="DV78" s="308"/>
      <c r="DW78" s="308"/>
      <c r="DX78" s="308"/>
      <c r="DY78" s="308"/>
      <c r="DZ78" s="308"/>
      <c r="EA78" s="308"/>
      <c r="EB78" s="308"/>
      <c r="EC78" s="308"/>
      <c r="ED78" s="308"/>
      <c r="EE78" s="308"/>
      <c r="EF78" s="308"/>
      <c r="EG78" s="308"/>
      <c r="EH78" s="308"/>
      <c r="EI78" s="308"/>
      <c r="EJ78" s="308"/>
      <c r="EK78" s="308"/>
      <c r="EL78" s="308"/>
      <c r="EM78" s="308"/>
      <c r="EN78" s="308"/>
      <c r="EO78" s="308"/>
      <c r="EP78" s="308"/>
      <c r="EQ78" s="308"/>
      <c r="ER78" s="308"/>
      <c r="ES78" s="308"/>
      <c r="ET78" s="308"/>
      <c r="EU78" s="308"/>
      <c r="EV78" s="308"/>
      <c r="EW78" s="308"/>
      <c r="EX78" s="308"/>
      <c r="EY78" s="308"/>
      <c r="EZ78" s="308"/>
      <c r="FA78" s="308"/>
      <c r="FB78" s="308"/>
      <c r="FC78" s="308"/>
      <c r="FD78" s="308"/>
      <c r="FE78" s="308"/>
      <c r="FF78" s="308"/>
      <c r="FG78" s="308"/>
      <c r="FH78" s="308"/>
      <c r="FI78" s="308"/>
      <c r="FJ78" s="308"/>
      <c r="FK78" s="308"/>
      <c r="FL78" s="308"/>
      <c r="FM78" s="308"/>
      <c r="FN78" s="308"/>
      <c r="FO78" s="308"/>
      <c r="FP78" s="308"/>
      <c r="FQ78" s="308"/>
      <c r="FR78" s="308"/>
      <c r="FS78" s="308"/>
      <c r="FT78" s="308"/>
      <c r="FU78" s="308"/>
      <c r="FV78" s="308"/>
      <c r="FW78" s="308"/>
      <c r="FX78" s="308"/>
      <c r="FY78" s="308"/>
      <c r="FZ78" s="308"/>
      <c r="GA78" s="308"/>
      <c r="GB78" s="308"/>
      <c r="GC78" s="308"/>
      <c r="GD78" s="308"/>
      <c r="GE78" s="308"/>
      <c r="GF78" s="308"/>
      <c r="GG78" s="308"/>
      <c r="GH78" s="308"/>
      <c r="GI78" s="308"/>
      <c r="GJ78" s="308"/>
      <c r="GK78" s="308"/>
      <c r="GL78" s="308"/>
      <c r="GM78" s="308"/>
      <c r="GN78" s="308"/>
      <c r="GO78" s="308"/>
      <c r="GP78" s="308"/>
      <c r="GQ78" s="308"/>
      <c r="GR78" s="308"/>
      <c r="GS78" s="308"/>
      <c r="GT78" s="308"/>
      <c r="GU78" s="308"/>
      <c r="GV78" s="308"/>
      <c r="GW78" s="308"/>
      <c r="GX78" s="308"/>
      <c r="GY78" s="308"/>
      <c r="GZ78" s="308"/>
      <c r="HA78" s="380">
        <f t="shared" si="1553"/>
        <v>43517312</v>
      </c>
      <c r="HB78" s="308">
        <v>19584</v>
      </c>
      <c r="HC78" s="380">
        <v>9792</v>
      </c>
      <c r="HD78" s="360">
        <v>722401.8</v>
      </c>
    </row>
    <row r="79" spans="1:212" s="299" customFormat="1" ht="12" customHeight="1">
      <c r="A79" s="670"/>
      <c r="B79" s="684"/>
      <c r="C79" s="686"/>
      <c r="D79" s="676"/>
      <c r="E79" s="688"/>
      <c r="F79" s="655"/>
      <c r="G79" s="655"/>
      <c r="H79" s="657"/>
      <c r="I79" s="313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5"/>
      <c r="BL79" s="295"/>
      <c r="BM79" s="295"/>
      <c r="BN79" s="295"/>
      <c r="BO79" s="295"/>
      <c r="BP79" s="295"/>
      <c r="BQ79" s="295"/>
      <c r="BR79" s="295"/>
      <c r="BS79" s="295"/>
      <c r="BT79" s="295"/>
      <c r="BU79" s="295"/>
      <c r="BV79" s="295"/>
      <c r="BW79" s="295"/>
      <c r="BX79" s="295"/>
      <c r="BY79" s="295"/>
      <c r="BZ79" s="295"/>
      <c r="CA79" s="295"/>
      <c r="CB79" s="295"/>
      <c r="CC79" s="295"/>
      <c r="CD79" s="295"/>
      <c r="CE79" s="295"/>
      <c r="CF79" s="295"/>
      <c r="CG79" s="295"/>
      <c r="CH79" s="295"/>
      <c r="CI79" s="295"/>
      <c r="CJ79" s="295"/>
      <c r="CK79" s="295"/>
      <c r="CL79" s="295"/>
      <c r="CM79" s="295"/>
      <c r="CN79" s="295"/>
      <c r="CO79" s="295"/>
      <c r="CP79" s="293">
        <f t="shared" si="1468"/>
        <v>0</v>
      </c>
      <c r="CQ79" s="312"/>
      <c r="CR79" s="312"/>
      <c r="CS79" s="312"/>
      <c r="CT79" s="312"/>
      <c r="CU79" s="312"/>
      <c r="CV79" s="312"/>
      <c r="CW79" s="312"/>
      <c r="CX79" s="312"/>
      <c r="CY79" s="312"/>
      <c r="CZ79" s="312"/>
      <c r="DA79" s="312"/>
      <c r="DB79" s="312"/>
      <c r="DC79" s="312"/>
      <c r="DD79" s="312"/>
      <c r="DE79" s="312"/>
      <c r="DF79" s="312"/>
      <c r="DG79" s="312"/>
      <c r="DH79" s="312"/>
      <c r="DI79" s="312"/>
      <c r="DJ79" s="312"/>
      <c r="DK79" s="312"/>
      <c r="DL79" s="312"/>
      <c r="DM79" s="312"/>
      <c r="DN79" s="312"/>
      <c r="DO79" s="312"/>
      <c r="DP79" s="312"/>
      <c r="DQ79" s="312"/>
      <c r="DR79" s="312"/>
      <c r="DS79" s="312"/>
      <c r="DT79" s="312"/>
      <c r="DU79" s="312"/>
      <c r="DV79" s="312"/>
      <c r="DW79" s="312"/>
      <c r="DX79" s="312"/>
      <c r="DY79" s="312"/>
      <c r="DZ79" s="312"/>
      <c r="EA79" s="312"/>
      <c r="EB79" s="312"/>
      <c r="EC79" s="312"/>
      <c r="ED79" s="312"/>
      <c r="EE79" s="312"/>
      <c r="EF79" s="312"/>
      <c r="EG79" s="312"/>
      <c r="EH79" s="312"/>
      <c r="EI79" s="312"/>
      <c r="EJ79" s="312"/>
      <c r="EK79" s="312"/>
      <c r="EL79" s="312"/>
      <c r="EM79" s="312"/>
      <c r="EN79" s="312"/>
      <c r="EO79" s="312"/>
      <c r="EP79" s="312"/>
      <c r="EQ79" s="312"/>
      <c r="ER79" s="312"/>
      <c r="ES79" s="312"/>
      <c r="ET79" s="312"/>
      <c r="EU79" s="312"/>
      <c r="EV79" s="312"/>
      <c r="EW79" s="312"/>
      <c r="EX79" s="312"/>
      <c r="EY79" s="312"/>
      <c r="EZ79" s="312"/>
      <c r="FA79" s="312"/>
      <c r="FB79" s="312"/>
      <c r="FC79" s="312"/>
      <c r="FD79" s="312"/>
      <c r="FE79" s="312"/>
      <c r="FF79" s="312"/>
      <c r="FG79" s="312"/>
      <c r="FH79" s="312"/>
      <c r="FI79" s="312"/>
      <c r="FJ79" s="312"/>
      <c r="FK79" s="312"/>
      <c r="FL79" s="312"/>
      <c r="FM79" s="312"/>
      <c r="FN79" s="312"/>
      <c r="FO79" s="312"/>
      <c r="FP79" s="312"/>
      <c r="FQ79" s="312"/>
      <c r="FR79" s="312"/>
      <c r="FS79" s="312"/>
      <c r="FT79" s="312"/>
      <c r="FU79" s="312"/>
      <c r="FV79" s="312"/>
      <c r="FW79" s="312"/>
      <c r="FX79" s="312"/>
      <c r="FY79" s="312"/>
      <c r="FZ79" s="312"/>
      <c r="GA79" s="312"/>
      <c r="GB79" s="312"/>
      <c r="GC79" s="312"/>
      <c r="GD79" s="312"/>
      <c r="GE79" s="312"/>
      <c r="GF79" s="312"/>
      <c r="GG79" s="312"/>
      <c r="GH79" s="312"/>
      <c r="GI79" s="312"/>
      <c r="GJ79" s="312"/>
      <c r="GK79" s="312"/>
      <c r="GL79" s="312"/>
      <c r="GM79" s="312"/>
      <c r="GN79" s="312"/>
      <c r="GO79" s="312"/>
      <c r="GP79" s="312"/>
      <c r="GQ79" s="312"/>
      <c r="GR79" s="312"/>
      <c r="GS79" s="312"/>
      <c r="GT79" s="312"/>
      <c r="GU79" s="312"/>
      <c r="GV79" s="312"/>
      <c r="GW79" s="312"/>
      <c r="GX79" s="312"/>
      <c r="GY79" s="312"/>
      <c r="GZ79" s="312"/>
      <c r="HA79" s="381">
        <f t="shared" si="1553"/>
        <v>0</v>
      </c>
      <c r="HB79" s="312">
        <v>19584</v>
      </c>
      <c r="HC79" s="381">
        <v>9792</v>
      </c>
      <c r="HD79" s="360">
        <v>433794.39</v>
      </c>
    </row>
    <row r="80" spans="1:212" s="299" customFormat="1" ht="12" customHeight="1">
      <c r="A80" s="669">
        <v>40</v>
      </c>
      <c r="B80" s="683" t="s">
        <v>554</v>
      </c>
      <c r="C80" s="685" t="s">
        <v>760</v>
      </c>
      <c r="D80" s="675" t="s">
        <v>639</v>
      </c>
      <c r="E80" s="687" t="s">
        <v>439</v>
      </c>
      <c r="F80" s="654">
        <v>43.95</v>
      </c>
      <c r="G80" s="654">
        <v>39</v>
      </c>
      <c r="H80" s="656">
        <f>F80*G80*365</f>
        <v>625628.25000000012</v>
      </c>
      <c r="I80" s="307">
        <v>154401.84</v>
      </c>
      <c r="J80" s="292">
        <f>ROUND(G80*F80*365/4,0)</f>
        <v>156407</v>
      </c>
      <c r="K80" s="295">
        <f>J80</f>
        <v>156407</v>
      </c>
      <c r="L80" s="295">
        <f>K80</f>
        <v>156407</v>
      </c>
      <c r="M80" s="295">
        <f>L80</f>
        <v>156407</v>
      </c>
      <c r="N80" s="293">
        <f>ROUND(M80*(1+取值表!$D$8)*取值表!$I$8,0)</f>
        <v>160867</v>
      </c>
      <c r="O80" s="295">
        <f>N80</f>
        <v>160867</v>
      </c>
      <c r="P80" s="295">
        <f>O80</f>
        <v>160867</v>
      </c>
      <c r="Q80" s="295">
        <f>P80</f>
        <v>160867</v>
      </c>
      <c r="R80" s="294">
        <f>ROUND(Q80*(1+取值表!$D$8),0)</f>
        <v>175828</v>
      </c>
      <c r="S80" s="295">
        <f t="shared" ref="S80:T80" si="1695">R80</f>
        <v>175828</v>
      </c>
      <c r="T80" s="295">
        <f t="shared" si="1695"/>
        <v>175828</v>
      </c>
      <c r="U80" s="295">
        <f>T80</f>
        <v>175828</v>
      </c>
      <c r="V80" s="293">
        <f>ROUND(U80*(1+取值表!$D$8),0)</f>
        <v>192180</v>
      </c>
      <c r="W80" s="295">
        <f t="shared" ref="W80:Y80" si="1696">V80</f>
        <v>192180</v>
      </c>
      <c r="X80" s="295">
        <f t="shared" si="1696"/>
        <v>192180</v>
      </c>
      <c r="Y80" s="295">
        <f t="shared" si="1696"/>
        <v>192180</v>
      </c>
      <c r="Z80" s="293">
        <f>ROUND(Y80*(1+取值表!$D$8),0)</f>
        <v>210053</v>
      </c>
      <c r="AA80" s="295">
        <f t="shared" ref="AA80" si="1697">Z80</f>
        <v>210053</v>
      </c>
      <c r="AB80" s="295">
        <f t="shared" ref="AB80" si="1698">AA80</f>
        <v>210053</v>
      </c>
      <c r="AC80" s="295">
        <f>AB80</f>
        <v>210053</v>
      </c>
      <c r="AD80" s="293">
        <f>ROUND(AC80*(1+取值表!$D$8),0)</f>
        <v>229588</v>
      </c>
      <c r="AE80" s="295">
        <f t="shared" ref="AE80" si="1699">AD80</f>
        <v>229588</v>
      </c>
      <c r="AF80" s="295">
        <f t="shared" ref="AF80" si="1700">AE80</f>
        <v>229588</v>
      </c>
      <c r="AG80" s="295">
        <f t="shared" ref="AG80" si="1701">AF80</f>
        <v>229588</v>
      </c>
      <c r="AH80" s="293">
        <f>ROUND(AG80*(1+取值表!$D$8),0)</f>
        <v>250940</v>
      </c>
      <c r="AI80" s="295">
        <f t="shared" ref="AI80" si="1702">AH80</f>
        <v>250940</v>
      </c>
      <c r="AJ80" s="295">
        <f t="shared" ref="AJ80" si="1703">AI80</f>
        <v>250940</v>
      </c>
      <c r="AK80" s="295">
        <f t="shared" ref="AK80" si="1704">AJ80</f>
        <v>250940</v>
      </c>
      <c r="AL80" s="293">
        <f>ROUND(AK80*(1+取值表!$D$8),0)</f>
        <v>274277</v>
      </c>
      <c r="AM80" s="295">
        <f t="shared" ref="AM80" si="1705">AL80</f>
        <v>274277</v>
      </c>
      <c r="AN80" s="295">
        <f t="shared" ref="AN80" si="1706">AM80</f>
        <v>274277</v>
      </c>
      <c r="AO80" s="295">
        <f t="shared" ref="AO80" si="1707">AN80</f>
        <v>274277</v>
      </c>
      <c r="AP80" s="293">
        <f>ROUND(AO80*(1+取值表!$D$8),0)</f>
        <v>299785</v>
      </c>
      <c r="AQ80" s="295">
        <f t="shared" ref="AQ80" si="1708">AP80</f>
        <v>299785</v>
      </c>
      <c r="AR80" s="295">
        <f t="shared" ref="AR80" si="1709">AQ80</f>
        <v>299785</v>
      </c>
      <c r="AS80" s="295">
        <f t="shared" ref="AS80" si="1710">AR80</f>
        <v>299785</v>
      </c>
      <c r="AT80" s="293">
        <f>ROUND(AS80*(1+取值表!$D$8),0)</f>
        <v>327665</v>
      </c>
      <c r="AU80" s="295">
        <f t="shared" ref="AU80" si="1711">AT80</f>
        <v>327665</v>
      </c>
      <c r="AV80" s="295">
        <f t="shared" ref="AV80" si="1712">AU80</f>
        <v>327665</v>
      </c>
      <c r="AW80" s="295">
        <f t="shared" ref="AW80" si="1713">AV80</f>
        <v>327665</v>
      </c>
      <c r="AX80" s="293">
        <f>ROUND(AW80*(1+取值表!$D$8),0)</f>
        <v>358138</v>
      </c>
      <c r="AY80" s="295">
        <f t="shared" ref="AY80" si="1714">AX80</f>
        <v>358138</v>
      </c>
      <c r="AZ80" s="295">
        <f t="shared" ref="AZ80" si="1715">AY80</f>
        <v>358138</v>
      </c>
      <c r="BA80" s="295">
        <f t="shared" ref="BA80" si="1716">AZ80</f>
        <v>358138</v>
      </c>
      <c r="BB80" s="293">
        <f>ROUND(BA80*(1+取值表!$D$8),0)</f>
        <v>391445</v>
      </c>
      <c r="BC80" s="295">
        <f>BB80</f>
        <v>391445</v>
      </c>
      <c r="BD80" s="295">
        <f t="shared" ref="BD80" si="1717">BC80</f>
        <v>391445</v>
      </c>
      <c r="BE80" s="295">
        <f>BD80</f>
        <v>391445</v>
      </c>
      <c r="BF80" s="293">
        <f>ROUND(BE80*(1+取值表!$D$8),0)</f>
        <v>427849</v>
      </c>
      <c r="BG80" s="295">
        <f>BF80</f>
        <v>427849</v>
      </c>
      <c r="BH80" s="295">
        <f t="shared" ref="BH80" si="1718">BG80</f>
        <v>427849</v>
      </c>
      <c r="BI80" s="295">
        <f t="shared" ref="BI80" si="1719">BH80</f>
        <v>427849</v>
      </c>
      <c r="BJ80" s="293">
        <f>ROUND(BI80*(1+取值表!$D$8),0)</f>
        <v>467639</v>
      </c>
      <c r="BK80" s="295">
        <f t="shared" ref="BK80" si="1720">BJ80</f>
        <v>467639</v>
      </c>
      <c r="BL80" s="295">
        <f t="shared" ref="BL80" si="1721">BK80</f>
        <v>467639</v>
      </c>
      <c r="BM80" s="295">
        <f t="shared" ref="BM80" si="1722">BL80</f>
        <v>467639</v>
      </c>
      <c r="BN80" s="293">
        <f>ROUND(BM80*(1+取值表!$D$8),0)</f>
        <v>511129</v>
      </c>
      <c r="BO80" s="295">
        <f t="shared" ref="BO80" si="1723">BN80</f>
        <v>511129</v>
      </c>
      <c r="BP80" s="295">
        <f t="shared" ref="BP80" si="1724">BO80</f>
        <v>511129</v>
      </c>
      <c r="BQ80" s="295">
        <f t="shared" ref="BQ80" si="1725">BP80</f>
        <v>511129</v>
      </c>
      <c r="BR80" s="293">
        <f>ROUND(BQ80*(1+取值表!$D$8),0)</f>
        <v>558664</v>
      </c>
      <c r="BS80" s="295">
        <f t="shared" ref="BS80" si="1726">BR80</f>
        <v>558664</v>
      </c>
      <c r="BT80" s="295">
        <f t="shared" ref="BT80" si="1727">BS80</f>
        <v>558664</v>
      </c>
      <c r="BU80" s="295">
        <f t="shared" ref="BU80" si="1728">BT80</f>
        <v>558664</v>
      </c>
      <c r="BV80" s="293">
        <f>ROUND(BU80*(1+取值表!$D$8),0)</f>
        <v>610620</v>
      </c>
      <c r="BW80" s="295">
        <f t="shared" ref="BW80" si="1729">BV80</f>
        <v>610620</v>
      </c>
      <c r="BX80" s="295">
        <f t="shared" ref="BX80" si="1730">BW80</f>
        <v>610620</v>
      </c>
      <c r="BY80" s="295">
        <f t="shared" ref="BY80" si="1731">BX80</f>
        <v>610620</v>
      </c>
      <c r="BZ80" s="293">
        <f>ROUND(BY80*(1+取值表!$D$8),0)</f>
        <v>667408</v>
      </c>
      <c r="CA80" s="295">
        <f t="shared" ref="CA80" si="1732">BZ80</f>
        <v>667408</v>
      </c>
      <c r="CB80" s="295">
        <f t="shared" ref="CB80" si="1733">CA80</f>
        <v>667408</v>
      </c>
      <c r="CC80" s="295">
        <f t="shared" ref="CC80" si="1734">CB80</f>
        <v>667408</v>
      </c>
      <c r="CD80" s="293">
        <f>ROUND(CC80*(1+取值表!$D$8),0)</f>
        <v>729477</v>
      </c>
      <c r="CE80" s="295">
        <f t="shared" ref="CE80" si="1735">CD80</f>
        <v>729477</v>
      </c>
      <c r="CF80" s="295">
        <f t="shared" ref="CF80" si="1736">CE80</f>
        <v>729477</v>
      </c>
      <c r="CG80" s="295">
        <f t="shared" ref="CG80" si="1737">CF80</f>
        <v>729477</v>
      </c>
      <c r="CH80" s="293">
        <f>ROUND(CG80*(1+取值表!$D$8),0)</f>
        <v>797318</v>
      </c>
      <c r="CI80" s="295">
        <f>CH80</f>
        <v>797318</v>
      </c>
      <c r="CJ80" s="295">
        <f t="shared" ref="CJ80" si="1738">CI80</f>
        <v>797318</v>
      </c>
      <c r="CK80" s="295">
        <f t="shared" ref="CK80" si="1739">CJ80</f>
        <v>797318</v>
      </c>
      <c r="CL80" s="293">
        <f>ROUND(CK80*(1+取值表!$D$8),0)</f>
        <v>871469</v>
      </c>
      <c r="CM80" s="295">
        <f>CL80</f>
        <v>871469</v>
      </c>
      <c r="CN80" s="295">
        <f t="shared" ref="CN80" si="1740">CM80</f>
        <v>871469</v>
      </c>
      <c r="CO80" s="295">
        <f t="shared" ref="CO80" si="1741">CN80</f>
        <v>871469</v>
      </c>
      <c r="CP80" s="293">
        <f t="shared" si="1468"/>
        <v>34674984</v>
      </c>
      <c r="CQ80" s="308"/>
      <c r="CR80" s="308"/>
      <c r="CS80" s="308"/>
      <c r="CT80" s="308"/>
      <c r="CU80" s="308"/>
      <c r="CV80" s="308"/>
      <c r="CW80" s="308"/>
      <c r="CX80" s="308"/>
      <c r="CY80" s="308"/>
      <c r="CZ80" s="308"/>
      <c r="DA80" s="308"/>
      <c r="DB80" s="308"/>
      <c r="DC80" s="308"/>
      <c r="DD80" s="308"/>
      <c r="DE80" s="308"/>
      <c r="DF80" s="308"/>
      <c r="DG80" s="308"/>
      <c r="DH80" s="308"/>
      <c r="DI80" s="308"/>
      <c r="DJ80" s="308"/>
      <c r="DK80" s="308"/>
      <c r="DL80" s="308"/>
      <c r="DM80" s="308"/>
      <c r="DN80" s="308"/>
      <c r="DO80" s="308"/>
      <c r="DP80" s="308"/>
      <c r="DQ80" s="308"/>
      <c r="DR80" s="308"/>
      <c r="DS80" s="308"/>
      <c r="DT80" s="308"/>
      <c r="DU80" s="308"/>
      <c r="DV80" s="308"/>
      <c r="DW80" s="308"/>
      <c r="DX80" s="308"/>
      <c r="DY80" s="308"/>
      <c r="DZ80" s="308"/>
      <c r="EA80" s="308"/>
      <c r="EB80" s="308"/>
      <c r="EC80" s="308"/>
      <c r="ED80" s="308"/>
      <c r="EE80" s="308"/>
      <c r="EF80" s="308"/>
      <c r="EG80" s="308"/>
      <c r="EH80" s="308"/>
      <c r="EI80" s="308"/>
      <c r="EJ80" s="308"/>
      <c r="EK80" s="308"/>
      <c r="EL80" s="308"/>
      <c r="EM80" s="308"/>
      <c r="EN80" s="308"/>
      <c r="EO80" s="308"/>
      <c r="EP80" s="308"/>
      <c r="EQ80" s="308"/>
      <c r="ER80" s="308"/>
      <c r="ES80" s="308"/>
      <c r="ET80" s="308"/>
      <c r="EU80" s="308"/>
      <c r="EV80" s="308"/>
      <c r="EW80" s="308"/>
      <c r="EX80" s="308"/>
      <c r="EY80" s="308"/>
      <c r="EZ80" s="308"/>
      <c r="FA80" s="308"/>
      <c r="FB80" s="308"/>
      <c r="FC80" s="308"/>
      <c r="FD80" s="308"/>
      <c r="FE80" s="308"/>
      <c r="FF80" s="308"/>
      <c r="FG80" s="308"/>
      <c r="FH80" s="308"/>
      <c r="FI80" s="308"/>
      <c r="FJ80" s="308"/>
      <c r="FK80" s="308"/>
      <c r="FL80" s="308"/>
      <c r="FM80" s="308"/>
      <c r="FN80" s="308"/>
      <c r="FO80" s="308"/>
      <c r="FP80" s="308"/>
      <c r="FQ80" s="308"/>
      <c r="FR80" s="308"/>
      <c r="FS80" s="308"/>
      <c r="FT80" s="308"/>
      <c r="FU80" s="308"/>
      <c r="FV80" s="308"/>
      <c r="FW80" s="308"/>
      <c r="FX80" s="308"/>
      <c r="FY80" s="308"/>
      <c r="FZ80" s="308"/>
      <c r="GA80" s="308"/>
      <c r="GB80" s="308"/>
      <c r="GC80" s="308"/>
      <c r="GD80" s="308"/>
      <c r="GE80" s="308"/>
      <c r="GF80" s="308"/>
      <c r="GG80" s="308"/>
      <c r="GH80" s="308"/>
      <c r="GI80" s="308"/>
      <c r="GJ80" s="308"/>
      <c r="GK80" s="308"/>
      <c r="GL80" s="308"/>
      <c r="GM80" s="308"/>
      <c r="GN80" s="308"/>
      <c r="GO80" s="308"/>
      <c r="GP80" s="308"/>
      <c r="GQ80" s="308"/>
      <c r="GR80" s="308"/>
      <c r="GS80" s="308"/>
      <c r="GT80" s="308"/>
      <c r="GU80" s="308"/>
      <c r="GV80" s="308"/>
      <c r="GW80" s="308"/>
      <c r="GX80" s="308"/>
      <c r="GY80" s="308"/>
      <c r="GZ80" s="308"/>
      <c r="HA80" s="380">
        <f t="shared" si="1553"/>
        <v>69349968</v>
      </c>
      <c r="HB80" s="308"/>
      <c r="HC80" s="380"/>
      <c r="HD80" s="360">
        <v>1079743.483</v>
      </c>
    </row>
    <row r="81" spans="1:212" s="299" customFormat="1">
      <c r="A81" s="670"/>
      <c r="B81" s="684"/>
      <c r="C81" s="686"/>
      <c r="D81" s="676"/>
      <c r="E81" s="688"/>
      <c r="F81" s="655"/>
      <c r="G81" s="655"/>
      <c r="H81" s="657"/>
      <c r="I81" s="313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3"/>
      <c r="AE81" s="295"/>
      <c r="AF81" s="295"/>
      <c r="AG81" s="295"/>
      <c r="AH81" s="293"/>
      <c r="AI81" s="295"/>
      <c r="AJ81" s="295"/>
      <c r="AK81" s="295"/>
      <c r="AL81" s="293"/>
      <c r="AM81" s="295"/>
      <c r="AN81" s="295"/>
      <c r="AO81" s="295"/>
      <c r="AP81" s="293"/>
      <c r="AQ81" s="295"/>
      <c r="AR81" s="295"/>
      <c r="AS81" s="295"/>
      <c r="AT81" s="293"/>
      <c r="AU81" s="295"/>
      <c r="AV81" s="295"/>
      <c r="AW81" s="295"/>
      <c r="AX81" s="293"/>
      <c r="AY81" s="295"/>
      <c r="AZ81" s="295"/>
      <c r="BA81" s="295"/>
      <c r="BB81" s="293"/>
      <c r="BC81" s="295"/>
      <c r="BD81" s="295"/>
      <c r="BE81" s="295"/>
      <c r="BF81" s="293"/>
      <c r="BG81" s="295"/>
      <c r="BH81" s="295"/>
      <c r="BI81" s="295"/>
      <c r="BJ81" s="293"/>
      <c r="BK81" s="295"/>
      <c r="BL81" s="295"/>
      <c r="BM81" s="295"/>
      <c r="BN81" s="293"/>
      <c r="BO81" s="295"/>
      <c r="BP81" s="295"/>
      <c r="BQ81" s="295"/>
      <c r="BR81" s="293"/>
      <c r="BS81" s="295"/>
      <c r="BT81" s="295"/>
      <c r="BU81" s="295"/>
      <c r="BV81" s="293"/>
      <c r="BW81" s="295"/>
      <c r="BX81" s="295"/>
      <c r="BY81" s="295"/>
      <c r="BZ81" s="293"/>
      <c r="CA81" s="295"/>
      <c r="CB81" s="295"/>
      <c r="CC81" s="295"/>
      <c r="CD81" s="293"/>
      <c r="CE81" s="295"/>
      <c r="CF81" s="295"/>
      <c r="CG81" s="295"/>
      <c r="CH81" s="293"/>
      <c r="CI81" s="295"/>
      <c r="CJ81" s="295"/>
      <c r="CK81" s="295"/>
      <c r="CL81" s="293"/>
      <c r="CM81" s="295"/>
      <c r="CN81" s="295"/>
      <c r="CO81" s="295"/>
      <c r="CP81" s="293">
        <f t="shared" si="1468"/>
        <v>0</v>
      </c>
      <c r="CQ81" s="312"/>
      <c r="CR81" s="312"/>
      <c r="CS81" s="312"/>
      <c r="CT81" s="312"/>
      <c r="CU81" s="312"/>
      <c r="CV81" s="312"/>
      <c r="CW81" s="312"/>
      <c r="CX81" s="312"/>
      <c r="CY81" s="312"/>
      <c r="CZ81" s="312"/>
      <c r="DA81" s="312"/>
      <c r="DB81" s="312"/>
      <c r="DC81" s="312"/>
      <c r="DD81" s="312"/>
      <c r="DE81" s="312"/>
      <c r="DF81" s="312"/>
      <c r="DG81" s="312"/>
      <c r="DH81" s="312"/>
      <c r="DI81" s="312"/>
      <c r="DJ81" s="312"/>
      <c r="DK81" s="312"/>
      <c r="DL81" s="312"/>
      <c r="DM81" s="312"/>
      <c r="DN81" s="312"/>
      <c r="DO81" s="312"/>
      <c r="DP81" s="312"/>
      <c r="DQ81" s="312"/>
      <c r="DR81" s="312"/>
      <c r="DS81" s="312"/>
      <c r="DT81" s="312"/>
      <c r="DU81" s="312"/>
      <c r="DV81" s="312"/>
      <c r="DW81" s="312"/>
      <c r="DX81" s="312"/>
      <c r="DY81" s="312"/>
      <c r="DZ81" s="312"/>
      <c r="EA81" s="312"/>
      <c r="EB81" s="312"/>
      <c r="EC81" s="312"/>
      <c r="ED81" s="312"/>
      <c r="EE81" s="312"/>
      <c r="EF81" s="312"/>
      <c r="EG81" s="312"/>
      <c r="EH81" s="312"/>
      <c r="EI81" s="312"/>
      <c r="EJ81" s="312"/>
      <c r="EK81" s="312"/>
      <c r="EL81" s="312"/>
      <c r="EM81" s="312"/>
      <c r="EN81" s="312"/>
      <c r="EO81" s="312"/>
      <c r="EP81" s="312"/>
      <c r="EQ81" s="312"/>
      <c r="ER81" s="312"/>
      <c r="ES81" s="312"/>
      <c r="ET81" s="312"/>
      <c r="EU81" s="312"/>
      <c r="EV81" s="312"/>
      <c r="EW81" s="312"/>
      <c r="EX81" s="312"/>
      <c r="EY81" s="312"/>
      <c r="EZ81" s="312"/>
      <c r="FA81" s="312"/>
      <c r="FB81" s="312"/>
      <c r="FC81" s="312"/>
      <c r="FD81" s="312"/>
      <c r="FE81" s="312"/>
      <c r="FF81" s="312"/>
      <c r="FG81" s="312"/>
      <c r="FH81" s="312"/>
      <c r="FI81" s="312"/>
      <c r="FJ81" s="312"/>
      <c r="FK81" s="312"/>
      <c r="FL81" s="312"/>
      <c r="FM81" s="312"/>
      <c r="FN81" s="312"/>
      <c r="FO81" s="312"/>
      <c r="FP81" s="312"/>
      <c r="FQ81" s="312"/>
      <c r="FR81" s="312"/>
      <c r="FS81" s="312"/>
      <c r="FT81" s="312"/>
      <c r="FU81" s="312"/>
      <c r="FV81" s="312"/>
      <c r="FW81" s="312"/>
      <c r="FX81" s="312"/>
      <c r="FY81" s="312"/>
      <c r="FZ81" s="312"/>
      <c r="GA81" s="312"/>
      <c r="GB81" s="312"/>
      <c r="GC81" s="312"/>
      <c r="GD81" s="312"/>
      <c r="GE81" s="312"/>
      <c r="GF81" s="312"/>
      <c r="GG81" s="312"/>
      <c r="GH81" s="312"/>
      <c r="GI81" s="312"/>
      <c r="GJ81" s="312"/>
      <c r="GK81" s="312"/>
      <c r="GL81" s="312"/>
      <c r="GM81" s="312"/>
      <c r="GN81" s="312"/>
      <c r="GO81" s="312"/>
      <c r="GP81" s="312"/>
      <c r="GQ81" s="312"/>
      <c r="GR81" s="312"/>
      <c r="GS81" s="312"/>
      <c r="GT81" s="312"/>
      <c r="GU81" s="312"/>
      <c r="GV81" s="312"/>
      <c r="GW81" s="312"/>
      <c r="GX81" s="312"/>
      <c r="GY81" s="312"/>
      <c r="GZ81" s="312"/>
      <c r="HA81" s="381">
        <f t="shared" si="1553"/>
        <v>0</v>
      </c>
      <c r="HB81" s="312"/>
      <c r="HC81" s="381"/>
      <c r="HD81" s="360">
        <v>321280.62</v>
      </c>
    </row>
    <row r="82" spans="1:212">
      <c r="A82" s="669">
        <v>41</v>
      </c>
      <c r="B82" s="671" t="s">
        <v>104</v>
      </c>
      <c r="C82" s="673" t="s">
        <v>105</v>
      </c>
      <c r="D82" s="675" t="s">
        <v>106</v>
      </c>
      <c r="E82" s="677" t="s">
        <v>455</v>
      </c>
      <c r="F82" s="665">
        <v>298.69</v>
      </c>
      <c r="G82" s="665">
        <f>AVERAGE(10,11,12,12.5,13,13.5)</f>
        <v>12</v>
      </c>
      <c r="H82" s="667">
        <f>F82*G82*365</f>
        <v>1308262.2</v>
      </c>
      <c r="I82" s="291">
        <v>327065.55</v>
      </c>
      <c r="J82" s="295">
        <f>K82</f>
        <v>340693</v>
      </c>
      <c r="K82" s="293">
        <f>L82</f>
        <v>340693</v>
      </c>
      <c r="L82" s="293">
        <f>M82</f>
        <v>340693</v>
      </c>
      <c r="M82" s="293">
        <f>ROUND(12.5*365*F82/4,0)</f>
        <v>340693</v>
      </c>
      <c r="N82" s="293">
        <f>O82</f>
        <v>354321</v>
      </c>
      <c r="O82" s="293">
        <f>P82</f>
        <v>354321</v>
      </c>
      <c r="P82" s="293">
        <f>Q82</f>
        <v>354321</v>
      </c>
      <c r="Q82" s="293">
        <f>ROUND(13*365*F82/4,0)</f>
        <v>354321</v>
      </c>
      <c r="R82" s="293">
        <f>S82</f>
        <v>367949</v>
      </c>
      <c r="S82" s="293">
        <f>T82</f>
        <v>367949</v>
      </c>
      <c r="T82" s="293">
        <f>U82</f>
        <v>367949</v>
      </c>
      <c r="U82" s="292">
        <f>ROUND(13.5*F82*365/4,0)</f>
        <v>367949</v>
      </c>
      <c r="V82" s="293">
        <f>ROUND(U82*(1+取值表!$D$10)*取值表!$I$10,0)</f>
        <v>378440</v>
      </c>
      <c r="W82" s="293">
        <f>V82</f>
        <v>378440</v>
      </c>
      <c r="X82" s="293">
        <f>W82</f>
        <v>378440</v>
      </c>
      <c r="Y82" s="293">
        <f>X82</f>
        <v>378440</v>
      </c>
      <c r="Z82" s="294">
        <f>ROUND(Y82*(1+取值表!$D$10),0)</f>
        <v>413635</v>
      </c>
      <c r="AA82" s="293">
        <f t="shared" ref="AA82:AB82" si="1742">Z82</f>
        <v>413635</v>
      </c>
      <c r="AB82" s="293">
        <f t="shared" si="1742"/>
        <v>413635</v>
      </c>
      <c r="AC82" s="293">
        <f>AB82</f>
        <v>413635</v>
      </c>
      <c r="AD82" s="293">
        <f>ROUND(AC82*(1+取值表!$D$8),0)</f>
        <v>452103</v>
      </c>
      <c r="AE82" s="293">
        <f t="shared" ref="AE82:AG82" si="1743">AD82</f>
        <v>452103</v>
      </c>
      <c r="AF82" s="293">
        <f t="shared" si="1743"/>
        <v>452103</v>
      </c>
      <c r="AG82" s="293">
        <f t="shared" si="1743"/>
        <v>452103</v>
      </c>
      <c r="AH82" s="293">
        <f>ROUND(AG82*(1+取值表!$D$8),0)</f>
        <v>494149</v>
      </c>
      <c r="AI82" s="293">
        <f t="shared" ref="AI82" si="1744">AH82</f>
        <v>494149</v>
      </c>
      <c r="AJ82" s="293">
        <f t="shared" ref="AJ82" si="1745">AI82</f>
        <v>494149</v>
      </c>
      <c r="AK82" s="293">
        <f t="shared" ref="AK82" si="1746">AJ82</f>
        <v>494149</v>
      </c>
      <c r="AL82" s="293">
        <f>ROUND(AK82*(1+取值表!$D$8),0)</f>
        <v>540105</v>
      </c>
      <c r="AM82" s="293">
        <f t="shared" ref="AM82" si="1747">AL82</f>
        <v>540105</v>
      </c>
      <c r="AN82" s="293">
        <f t="shared" ref="AN82" si="1748">AM82</f>
        <v>540105</v>
      </c>
      <c r="AO82" s="293">
        <f t="shared" ref="AO82" si="1749">AN82</f>
        <v>540105</v>
      </c>
      <c r="AP82" s="293">
        <f>ROUND(AO82*(1+取值表!$D$8),0)</f>
        <v>590335</v>
      </c>
      <c r="AQ82" s="293">
        <f t="shared" ref="AQ82" si="1750">AP82</f>
        <v>590335</v>
      </c>
      <c r="AR82" s="293">
        <f t="shared" ref="AR82" si="1751">AQ82</f>
        <v>590335</v>
      </c>
      <c r="AS82" s="293">
        <f t="shared" ref="AS82" si="1752">AR82</f>
        <v>590335</v>
      </c>
      <c r="AT82" s="293">
        <f>ROUND(AS82*(1+取值表!$D$8),0)</f>
        <v>645236</v>
      </c>
      <c r="AU82" s="293">
        <f t="shared" ref="AU82" si="1753">AT82</f>
        <v>645236</v>
      </c>
      <c r="AV82" s="293">
        <f t="shared" ref="AV82" si="1754">AU82</f>
        <v>645236</v>
      </c>
      <c r="AW82" s="293">
        <f t="shared" ref="AW82" si="1755">AV82</f>
        <v>645236</v>
      </c>
      <c r="AX82" s="293">
        <f>ROUND(AW82*(1+取值表!$D$8),0)</f>
        <v>705243</v>
      </c>
      <c r="AY82" s="293">
        <f t="shared" ref="AY82" si="1756">AX82</f>
        <v>705243</v>
      </c>
      <c r="AZ82" s="293">
        <f t="shared" ref="AZ82" si="1757">AY82</f>
        <v>705243</v>
      </c>
      <c r="BA82" s="293">
        <f t="shared" ref="BA82" si="1758">AZ82</f>
        <v>705243</v>
      </c>
      <c r="BB82" s="293">
        <f>ROUND(BA82*(1+取值表!$D$8),0)</f>
        <v>770831</v>
      </c>
      <c r="BC82" s="293">
        <f>BB82</f>
        <v>770831</v>
      </c>
      <c r="BD82" s="293">
        <f t="shared" ref="BD82" si="1759">BC82</f>
        <v>770831</v>
      </c>
      <c r="BE82" s="293">
        <f>BD82</f>
        <v>770831</v>
      </c>
      <c r="BF82" s="293">
        <f>ROUND(BE82*(1+取值表!$D$8),0)</f>
        <v>842518</v>
      </c>
      <c r="BG82" s="293">
        <f>BF82</f>
        <v>842518</v>
      </c>
      <c r="BH82" s="293">
        <f t="shared" ref="BH82" si="1760">BG82</f>
        <v>842518</v>
      </c>
      <c r="BI82" s="293">
        <f t="shared" ref="BI82" si="1761">BH82</f>
        <v>842518</v>
      </c>
      <c r="BJ82" s="293">
        <f>ROUND(BI82*(1+取值表!$D$8),0)</f>
        <v>920872</v>
      </c>
      <c r="BK82" s="293">
        <f t="shared" ref="BK82" si="1762">BJ82</f>
        <v>920872</v>
      </c>
      <c r="BL82" s="293">
        <f t="shared" ref="BL82" si="1763">BK82</f>
        <v>920872</v>
      </c>
      <c r="BM82" s="293">
        <f t="shared" ref="BM82" si="1764">BL82</f>
        <v>920872</v>
      </c>
      <c r="BN82" s="293">
        <f>ROUND(BM82*(1+取值表!$D$8),0)</f>
        <v>1006513</v>
      </c>
      <c r="BO82" s="293">
        <f t="shared" ref="BO82" si="1765">BN82</f>
        <v>1006513</v>
      </c>
      <c r="BP82" s="293">
        <f t="shared" ref="BP82" si="1766">BO82</f>
        <v>1006513</v>
      </c>
      <c r="BQ82" s="293">
        <f t="shared" ref="BQ82" si="1767">BP82</f>
        <v>1006513</v>
      </c>
      <c r="BR82" s="293">
        <f>ROUND(BQ82*(1+取值表!$D$8),0)</f>
        <v>1100119</v>
      </c>
      <c r="BS82" s="293">
        <f t="shared" ref="BS82" si="1768">BR82</f>
        <v>1100119</v>
      </c>
      <c r="BT82" s="293">
        <f t="shared" ref="BT82" si="1769">BS82</f>
        <v>1100119</v>
      </c>
      <c r="BU82" s="293">
        <f t="shared" ref="BU82" si="1770">BT82</f>
        <v>1100119</v>
      </c>
      <c r="BV82" s="293">
        <f>ROUND(BU82*(1+取值表!$D$8),0)</f>
        <v>1202430</v>
      </c>
      <c r="BW82" s="293">
        <f t="shared" ref="BW82" si="1771">BV82</f>
        <v>1202430</v>
      </c>
      <c r="BX82" s="293">
        <f t="shared" ref="BX82" si="1772">BW82</f>
        <v>1202430</v>
      </c>
      <c r="BY82" s="293">
        <f t="shared" ref="BY82" si="1773">BX82</f>
        <v>1202430</v>
      </c>
      <c r="BZ82" s="293">
        <f>ROUND(BY82*(1+取值表!$D$8),0)</f>
        <v>1314256</v>
      </c>
      <c r="CA82" s="293">
        <f t="shared" ref="CA82" si="1774">BZ82</f>
        <v>1314256</v>
      </c>
      <c r="CB82" s="293">
        <f t="shared" ref="CB82" si="1775">CA82</f>
        <v>1314256</v>
      </c>
      <c r="CC82" s="293">
        <f t="shared" ref="CC82" si="1776">CB82</f>
        <v>1314256</v>
      </c>
      <c r="CD82" s="293">
        <f>ROUND(CC82*(1+取值表!$D$8),0)</f>
        <v>1436482</v>
      </c>
      <c r="CE82" s="293">
        <f t="shared" ref="CE82" si="1777">CD82</f>
        <v>1436482</v>
      </c>
      <c r="CF82" s="293">
        <f t="shared" ref="CF82" si="1778">CE82</f>
        <v>1436482</v>
      </c>
      <c r="CG82" s="293">
        <f t="shared" ref="CG82" si="1779">CF82</f>
        <v>1436482</v>
      </c>
      <c r="CH82" s="293">
        <f>ROUND(CG82*(1+取值表!$D$8),0)</f>
        <v>1570075</v>
      </c>
      <c r="CI82" s="293">
        <f>CH82</f>
        <v>1570075</v>
      </c>
      <c r="CJ82" s="293">
        <f t="shared" ref="CJ82" si="1780">CI82</f>
        <v>1570075</v>
      </c>
      <c r="CK82" s="293">
        <f t="shared" ref="CK82" si="1781">CJ82</f>
        <v>1570075</v>
      </c>
      <c r="CL82" s="293">
        <f>ROUND(CK82*(1+取值表!$D$8),0)</f>
        <v>1716092</v>
      </c>
      <c r="CM82" s="293">
        <f>CL82</f>
        <v>1716092</v>
      </c>
      <c r="CN82" s="293">
        <f t="shared" ref="CN82" si="1782">CM82</f>
        <v>1716092</v>
      </c>
      <c r="CO82" s="293">
        <f t="shared" ref="CO82" si="1783">CN82</f>
        <v>1716092</v>
      </c>
      <c r="CP82" s="293">
        <f t="shared" si="1468"/>
        <v>68649588</v>
      </c>
    </row>
    <row r="83" spans="1:212">
      <c r="A83" s="670"/>
      <c r="B83" s="672"/>
      <c r="C83" s="674"/>
      <c r="D83" s="676"/>
      <c r="E83" s="678"/>
      <c r="F83" s="666"/>
      <c r="G83" s="666"/>
      <c r="H83" s="668"/>
      <c r="I83" s="291"/>
      <c r="J83" s="295"/>
      <c r="K83" s="293"/>
      <c r="L83" s="293"/>
      <c r="M83" s="293"/>
      <c r="N83" s="293"/>
      <c r="O83" s="293"/>
      <c r="P83" s="293"/>
      <c r="Q83" s="293"/>
      <c r="R83" s="293"/>
      <c r="S83" s="293"/>
      <c r="T83" s="293"/>
      <c r="U83" s="293"/>
      <c r="V83" s="293"/>
      <c r="W83" s="293"/>
      <c r="X83" s="293"/>
      <c r="Y83" s="293"/>
      <c r="Z83" s="293"/>
      <c r="AA83" s="293"/>
      <c r="AB83" s="293"/>
      <c r="AC83" s="293"/>
      <c r="AD83" s="293"/>
      <c r="AE83" s="293"/>
      <c r="AF83" s="293"/>
      <c r="AG83" s="293"/>
      <c r="AH83" s="293"/>
      <c r="AI83" s="293"/>
      <c r="AJ83" s="293"/>
      <c r="AK83" s="293"/>
      <c r="AL83" s="293"/>
      <c r="AM83" s="293"/>
      <c r="AN83" s="293"/>
      <c r="AO83" s="293"/>
      <c r="AP83" s="293"/>
      <c r="AQ83" s="293"/>
      <c r="AR83" s="293"/>
      <c r="AS83" s="293"/>
      <c r="AT83" s="293"/>
      <c r="AU83" s="293"/>
      <c r="AV83" s="293"/>
      <c r="AW83" s="293"/>
      <c r="AX83" s="293"/>
      <c r="AY83" s="293"/>
      <c r="AZ83" s="293"/>
      <c r="BA83" s="293"/>
      <c r="BB83" s="293"/>
      <c r="BC83" s="293"/>
      <c r="BD83" s="293"/>
      <c r="BE83" s="293"/>
      <c r="BF83" s="293"/>
      <c r="BG83" s="293"/>
      <c r="BH83" s="293"/>
      <c r="BI83" s="293"/>
      <c r="BJ83" s="293"/>
      <c r="BK83" s="293"/>
      <c r="BL83" s="293"/>
      <c r="BM83" s="293"/>
      <c r="BN83" s="293"/>
      <c r="BO83" s="293"/>
      <c r="BP83" s="293"/>
      <c r="BQ83" s="293"/>
      <c r="BR83" s="293"/>
      <c r="BS83" s="293"/>
      <c r="BT83" s="293"/>
      <c r="BU83" s="293"/>
      <c r="BV83" s="293"/>
      <c r="BW83" s="293"/>
      <c r="BX83" s="293"/>
      <c r="BY83" s="293"/>
      <c r="BZ83" s="293"/>
      <c r="CA83" s="293"/>
      <c r="CB83" s="293"/>
      <c r="CC83" s="293"/>
      <c r="CD83" s="293"/>
      <c r="CE83" s="293"/>
      <c r="CF83" s="293"/>
      <c r="CG83" s="293"/>
      <c r="CH83" s="293"/>
      <c r="CI83" s="293"/>
      <c r="CJ83" s="293"/>
      <c r="CK83" s="293"/>
      <c r="CL83" s="293"/>
      <c r="CM83" s="293"/>
      <c r="CN83" s="293"/>
      <c r="CO83" s="293"/>
      <c r="CP83" s="293">
        <f t="shared" si="1468"/>
        <v>0</v>
      </c>
    </row>
    <row r="84" spans="1:212" ht="12" customHeight="1">
      <c r="A84" s="669">
        <v>42</v>
      </c>
      <c r="B84" s="671" t="s">
        <v>107</v>
      </c>
      <c r="C84" s="673" t="s">
        <v>30</v>
      </c>
      <c r="D84" s="675" t="s">
        <v>456</v>
      </c>
      <c r="E84" s="677" t="s">
        <v>455</v>
      </c>
      <c r="F84" s="665">
        <v>140.59</v>
      </c>
      <c r="G84" s="665">
        <v>22</v>
      </c>
      <c r="H84" s="667">
        <f>F84*G84*365</f>
        <v>1128937.7</v>
      </c>
      <c r="I84" s="291">
        <v>282234.42</v>
      </c>
      <c r="J84" s="295">
        <f>ROUND(G84*F84*365/4,0)</f>
        <v>282234</v>
      </c>
      <c r="K84" s="293">
        <f t="shared" ref="K84:N84" si="1784">J84</f>
        <v>282234</v>
      </c>
      <c r="L84" s="293">
        <f t="shared" si="1784"/>
        <v>282234</v>
      </c>
      <c r="M84" s="293">
        <f t="shared" si="1784"/>
        <v>282234</v>
      </c>
      <c r="N84" s="293">
        <f t="shared" si="1784"/>
        <v>282234</v>
      </c>
      <c r="O84" s="293">
        <f>N84</f>
        <v>282234</v>
      </c>
      <c r="P84" s="292">
        <f>O84</f>
        <v>282234</v>
      </c>
      <c r="Q84" s="293">
        <f>P84</f>
        <v>282234</v>
      </c>
      <c r="R84" s="293">
        <f>ROUND(Q84*(1+取值表!$D$10)*取值表!$I$10,0)</f>
        <v>290281</v>
      </c>
      <c r="S84" s="293">
        <f>R84</f>
        <v>290281</v>
      </c>
      <c r="T84" s="293">
        <f>S84</f>
        <v>290281</v>
      </c>
      <c r="U84" s="293">
        <f>T84</f>
        <v>290281</v>
      </c>
      <c r="V84" s="294">
        <f>ROUND(U84*(1+取值表!$D$8),0)</f>
        <v>317277</v>
      </c>
      <c r="W84" s="293">
        <f t="shared" ref="W84:Y84" si="1785">V84</f>
        <v>317277</v>
      </c>
      <c r="X84" s="293">
        <f t="shared" si="1785"/>
        <v>317277</v>
      </c>
      <c r="Y84" s="293">
        <f t="shared" si="1785"/>
        <v>317277</v>
      </c>
      <c r="Z84" s="293">
        <f>ROUND(Y84*(1+取值表!$D$8),0)</f>
        <v>346784</v>
      </c>
      <c r="AA84" s="293">
        <f t="shared" ref="AA84:AB84" si="1786">Z84</f>
        <v>346784</v>
      </c>
      <c r="AB84" s="293">
        <f t="shared" si="1786"/>
        <v>346784</v>
      </c>
      <c r="AC84" s="293">
        <f>AB84</f>
        <v>346784</v>
      </c>
      <c r="AD84" s="293">
        <f>ROUND(AC84*(1+取值表!$D$8),0)</f>
        <v>379035</v>
      </c>
      <c r="AE84" s="293">
        <f t="shared" ref="AE84" si="1787">AD84</f>
        <v>379035</v>
      </c>
      <c r="AF84" s="293">
        <f t="shared" ref="AF84" si="1788">AE84</f>
        <v>379035</v>
      </c>
      <c r="AG84" s="293">
        <f t="shared" ref="AG84" si="1789">AF84</f>
        <v>379035</v>
      </c>
      <c r="AH84" s="293">
        <f>ROUND(AG84*(1+取值表!$D$8),0)</f>
        <v>414285</v>
      </c>
      <c r="AI84" s="293">
        <f t="shared" ref="AI84" si="1790">AH84</f>
        <v>414285</v>
      </c>
      <c r="AJ84" s="293">
        <f t="shared" ref="AJ84" si="1791">AI84</f>
        <v>414285</v>
      </c>
      <c r="AK84" s="293">
        <f t="shared" ref="AK84" si="1792">AJ84</f>
        <v>414285</v>
      </c>
      <c r="AL84" s="293">
        <f>ROUND(AK84*(1+取值表!$D$8),0)</f>
        <v>452814</v>
      </c>
      <c r="AM84" s="293">
        <f t="shared" ref="AM84" si="1793">AL84</f>
        <v>452814</v>
      </c>
      <c r="AN84" s="293">
        <f t="shared" ref="AN84" si="1794">AM84</f>
        <v>452814</v>
      </c>
      <c r="AO84" s="293">
        <f t="shared" ref="AO84" si="1795">AN84</f>
        <v>452814</v>
      </c>
      <c r="AP84" s="293">
        <f>ROUND(AO84*(1+取值表!$D$8),0)</f>
        <v>494926</v>
      </c>
      <c r="AQ84" s="293">
        <f t="shared" ref="AQ84" si="1796">AP84</f>
        <v>494926</v>
      </c>
      <c r="AR84" s="293">
        <f t="shared" ref="AR84" si="1797">AQ84</f>
        <v>494926</v>
      </c>
      <c r="AS84" s="293">
        <f t="shared" ref="AS84" si="1798">AR84</f>
        <v>494926</v>
      </c>
      <c r="AT84" s="293">
        <f>ROUND(AS84*(1+取值表!$D$8),0)</f>
        <v>540954</v>
      </c>
      <c r="AU84" s="293">
        <f t="shared" ref="AU84" si="1799">AT84</f>
        <v>540954</v>
      </c>
      <c r="AV84" s="293">
        <f t="shared" ref="AV84" si="1800">AU84</f>
        <v>540954</v>
      </c>
      <c r="AW84" s="293">
        <f t="shared" ref="AW84" si="1801">AV84</f>
        <v>540954</v>
      </c>
      <c r="AX84" s="293">
        <f>ROUND(AW84*(1+取值表!$D$8),0)</f>
        <v>591263</v>
      </c>
      <c r="AY84" s="293">
        <f t="shared" ref="AY84" si="1802">AX84</f>
        <v>591263</v>
      </c>
      <c r="AZ84" s="293">
        <f t="shared" ref="AZ84" si="1803">AY84</f>
        <v>591263</v>
      </c>
      <c r="BA84" s="293">
        <f t="shared" ref="BA84" si="1804">AZ84</f>
        <v>591263</v>
      </c>
      <c r="BB84" s="293">
        <f>ROUND(BA84*(1+取值表!$D$8),0)</f>
        <v>646250</v>
      </c>
      <c r="BC84" s="293">
        <f>BB84</f>
        <v>646250</v>
      </c>
      <c r="BD84" s="293">
        <f t="shared" ref="BD84" si="1805">BC84</f>
        <v>646250</v>
      </c>
      <c r="BE84" s="293">
        <f>BD84</f>
        <v>646250</v>
      </c>
      <c r="BF84" s="293">
        <f>ROUND(BE84*(1+取值表!$D$8),0)</f>
        <v>706351</v>
      </c>
      <c r="BG84" s="293">
        <f>BF84</f>
        <v>706351</v>
      </c>
      <c r="BH84" s="293">
        <f t="shared" ref="BH84" si="1806">BG84</f>
        <v>706351</v>
      </c>
      <c r="BI84" s="293">
        <f t="shared" ref="BI84" si="1807">BH84</f>
        <v>706351</v>
      </c>
      <c r="BJ84" s="293">
        <f>ROUND(BI84*(1+取值表!$D$8),0)</f>
        <v>772042</v>
      </c>
      <c r="BK84" s="293">
        <f t="shared" ref="BK84" si="1808">BJ84</f>
        <v>772042</v>
      </c>
      <c r="BL84" s="293">
        <f t="shared" ref="BL84" si="1809">BK84</f>
        <v>772042</v>
      </c>
      <c r="BM84" s="293">
        <f t="shared" ref="BM84" si="1810">BL84</f>
        <v>772042</v>
      </c>
      <c r="BN84" s="293">
        <f>ROUND(BM84*(1+取值表!$D$8),0)</f>
        <v>843842</v>
      </c>
      <c r="BO84" s="293">
        <f t="shared" ref="BO84" si="1811">BN84</f>
        <v>843842</v>
      </c>
      <c r="BP84" s="293">
        <f t="shared" ref="BP84" si="1812">BO84</f>
        <v>843842</v>
      </c>
      <c r="BQ84" s="293">
        <f t="shared" ref="BQ84" si="1813">BP84</f>
        <v>843842</v>
      </c>
      <c r="BR84" s="293">
        <f>ROUND(BQ84*(1+取值表!$D$8),0)</f>
        <v>922319</v>
      </c>
      <c r="BS84" s="293">
        <f t="shared" ref="BS84" si="1814">BR84</f>
        <v>922319</v>
      </c>
      <c r="BT84" s="293">
        <f t="shared" ref="BT84" si="1815">BS84</f>
        <v>922319</v>
      </c>
      <c r="BU84" s="293">
        <f t="shared" ref="BU84" si="1816">BT84</f>
        <v>922319</v>
      </c>
      <c r="BV84" s="293">
        <f>ROUND(BU84*(1+取值表!$D$8),0)</f>
        <v>1008095</v>
      </c>
      <c r="BW84" s="293">
        <f t="shared" ref="BW84" si="1817">BV84</f>
        <v>1008095</v>
      </c>
      <c r="BX84" s="293">
        <f t="shared" ref="BX84" si="1818">BW84</f>
        <v>1008095</v>
      </c>
      <c r="BY84" s="293">
        <f t="shared" ref="BY84" si="1819">BX84</f>
        <v>1008095</v>
      </c>
      <c r="BZ84" s="293">
        <f>ROUND(BY84*(1+取值表!$D$8),0)</f>
        <v>1101848</v>
      </c>
      <c r="CA84" s="293">
        <f t="shared" ref="CA84" si="1820">BZ84</f>
        <v>1101848</v>
      </c>
      <c r="CB84" s="293">
        <f t="shared" ref="CB84" si="1821">CA84</f>
        <v>1101848</v>
      </c>
      <c r="CC84" s="293">
        <f t="shared" ref="CC84" si="1822">CB84</f>
        <v>1101848</v>
      </c>
      <c r="CD84" s="293">
        <f>ROUND(CC84*(1+取值表!$D$8),0)</f>
        <v>1204320</v>
      </c>
      <c r="CE84" s="293">
        <f t="shared" ref="CE84" si="1823">CD84</f>
        <v>1204320</v>
      </c>
      <c r="CF84" s="293">
        <f t="shared" ref="CF84" si="1824">CE84</f>
        <v>1204320</v>
      </c>
      <c r="CG84" s="293">
        <f t="shared" ref="CG84" si="1825">CF84</f>
        <v>1204320</v>
      </c>
      <c r="CH84" s="293">
        <f>ROUND(CG84*(1+取值表!$D$8),0)</f>
        <v>1316322</v>
      </c>
      <c r="CI84" s="293">
        <f>CH84</f>
        <v>1316322</v>
      </c>
      <c r="CJ84" s="293">
        <f t="shared" ref="CJ84" si="1826">CI84</f>
        <v>1316322</v>
      </c>
      <c r="CK84" s="293">
        <f t="shared" ref="CK84" si="1827">CJ84</f>
        <v>1316322</v>
      </c>
      <c r="CL84" s="293">
        <f>ROUND(CK84*(1+取值表!$D$8),0)</f>
        <v>1438740</v>
      </c>
      <c r="CM84" s="293">
        <f>CL84</f>
        <v>1438740</v>
      </c>
      <c r="CN84" s="293">
        <f t="shared" ref="CN84" si="1828">CM84</f>
        <v>1438740</v>
      </c>
      <c r="CO84" s="293">
        <f t="shared" ref="CO84" si="1829">CN84</f>
        <v>1438740</v>
      </c>
      <c r="CP84" s="293">
        <f t="shared" si="1468"/>
        <v>57408864</v>
      </c>
    </row>
    <row r="85" spans="1:212">
      <c r="A85" s="670"/>
      <c r="B85" s="672"/>
      <c r="C85" s="674"/>
      <c r="D85" s="676"/>
      <c r="E85" s="678"/>
      <c r="F85" s="666"/>
      <c r="G85" s="666"/>
      <c r="H85" s="668"/>
      <c r="I85" s="291"/>
      <c r="J85" s="295"/>
      <c r="K85" s="293"/>
      <c r="L85" s="293"/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5"/>
      <c r="AE85" s="293"/>
      <c r="AF85" s="293"/>
      <c r="AG85" s="293"/>
      <c r="AH85" s="295"/>
      <c r="AI85" s="293"/>
      <c r="AJ85" s="293"/>
      <c r="AK85" s="293"/>
      <c r="AL85" s="295"/>
      <c r="AM85" s="293"/>
      <c r="AN85" s="293"/>
      <c r="AO85" s="293"/>
      <c r="AP85" s="295"/>
      <c r="AQ85" s="293"/>
      <c r="AR85" s="293"/>
      <c r="AS85" s="293"/>
      <c r="AT85" s="295"/>
      <c r="AU85" s="293"/>
      <c r="AV85" s="293"/>
      <c r="AW85" s="293"/>
      <c r="AX85" s="295"/>
      <c r="AY85" s="293"/>
      <c r="AZ85" s="293"/>
      <c r="BA85" s="293"/>
      <c r="BB85" s="295"/>
      <c r="BC85" s="293"/>
      <c r="BD85" s="293"/>
      <c r="BE85" s="293"/>
      <c r="BF85" s="295"/>
      <c r="BG85" s="293"/>
      <c r="BH85" s="293"/>
      <c r="BI85" s="293"/>
      <c r="BJ85" s="295"/>
      <c r="BK85" s="293"/>
      <c r="BL85" s="293"/>
      <c r="BM85" s="293"/>
      <c r="BN85" s="295"/>
      <c r="BO85" s="293"/>
      <c r="BP85" s="293"/>
      <c r="BQ85" s="293"/>
      <c r="BR85" s="295"/>
      <c r="BS85" s="293"/>
      <c r="BT85" s="293"/>
      <c r="BU85" s="293"/>
      <c r="BV85" s="295"/>
      <c r="BW85" s="293"/>
      <c r="BX85" s="293"/>
      <c r="BY85" s="293"/>
      <c r="BZ85" s="295"/>
      <c r="CA85" s="293"/>
      <c r="CB85" s="293"/>
      <c r="CC85" s="293"/>
      <c r="CD85" s="295"/>
      <c r="CE85" s="293"/>
      <c r="CF85" s="293"/>
      <c r="CG85" s="293"/>
      <c r="CH85" s="295"/>
      <c r="CI85" s="293"/>
      <c r="CJ85" s="293"/>
      <c r="CK85" s="293"/>
      <c r="CL85" s="295"/>
      <c r="CM85" s="293"/>
      <c r="CN85" s="293"/>
      <c r="CO85" s="293"/>
      <c r="CP85" s="293">
        <f t="shared" si="1468"/>
        <v>0</v>
      </c>
    </row>
    <row r="86" spans="1:212" s="299" customFormat="1" ht="12" customHeight="1">
      <c r="A86" s="669">
        <v>43</v>
      </c>
      <c r="B86" s="671" t="s">
        <v>109</v>
      </c>
      <c r="C86" s="673" t="s">
        <v>29</v>
      </c>
      <c r="D86" s="675" t="s">
        <v>457</v>
      </c>
      <c r="E86" s="677" t="s">
        <v>455</v>
      </c>
      <c r="F86" s="665">
        <v>125.62</v>
      </c>
      <c r="G86" s="665">
        <v>23</v>
      </c>
      <c r="H86" s="667">
        <f>F86*G86*365</f>
        <v>1054579.9000000001</v>
      </c>
      <c r="I86" s="398">
        <v>244502.06</v>
      </c>
      <c r="J86" s="295">
        <f>ROUND(G86*F86*365/4,0)</f>
        <v>263645</v>
      </c>
      <c r="K86" s="292">
        <f>J86</f>
        <v>263645</v>
      </c>
      <c r="L86" s="295">
        <f>K86</f>
        <v>263645</v>
      </c>
      <c r="M86" s="295">
        <f>L86</f>
        <v>263645</v>
      </c>
      <c r="N86" s="295">
        <f>ROUND(M86*(1+取值表!$D$10)*取值表!$I$10,0)</f>
        <v>271162</v>
      </c>
      <c r="O86" s="295">
        <f>N86</f>
        <v>271162</v>
      </c>
      <c r="P86" s="295">
        <f>O86</f>
        <v>271162</v>
      </c>
      <c r="Q86" s="295">
        <f>P86</f>
        <v>271162</v>
      </c>
      <c r="R86" s="294">
        <f>ROUND(Q86*(1+取值表!$D$10),0)</f>
        <v>296380</v>
      </c>
      <c r="S86" s="295">
        <f>R86</f>
        <v>296380</v>
      </c>
      <c r="T86" s="295">
        <f>S86</f>
        <v>296380</v>
      </c>
      <c r="U86" s="295">
        <f>T86</f>
        <v>296380</v>
      </c>
      <c r="V86" s="295">
        <f>ROUND(U86*(1+取值表!$D$8),0)</f>
        <v>323943</v>
      </c>
      <c r="W86" s="295">
        <f>V86</f>
        <v>323943</v>
      </c>
      <c r="X86" s="295">
        <f>W86</f>
        <v>323943</v>
      </c>
      <c r="Y86" s="295">
        <f>X86</f>
        <v>323943</v>
      </c>
      <c r="Z86" s="295">
        <f>ROUND(Y86*(1+取值表!$D$8),0)</f>
        <v>354070</v>
      </c>
      <c r="AA86" s="295">
        <f t="shared" ref="AA86:AC86" si="1830">Z86</f>
        <v>354070</v>
      </c>
      <c r="AB86" s="295">
        <f t="shared" si="1830"/>
        <v>354070</v>
      </c>
      <c r="AC86" s="295">
        <f t="shared" si="1830"/>
        <v>354070</v>
      </c>
      <c r="AD86" s="295">
        <f>ROUND(AC86*(1+取值表!$D$8),0)</f>
        <v>386999</v>
      </c>
      <c r="AE86" s="295">
        <f t="shared" ref="AE86:AG86" si="1831">AD86</f>
        <v>386999</v>
      </c>
      <c r="AF86" s="295">
        <f t="shared" si="1831"/>
        <v>386999</v>
      </c>
      <c r="AG86" s="295">
        <f t="shared" si="1831"/>
        <v>386999</v>
      </c>
      <c r="AH86" s="295">
        <f>ROUND(AG86*(1+取值表!$D$8),0)</f>
        <v>422990</v>
      </c>
      <c r="AI86" s="295">
        <f>AH86</f>
        <v>422990</v>
      </c>
      <c r="AJ86" s="295">
        <f>AI86</f>
        <v>422990</v>
      </c>
      <c r="AK86" s="295">
        <f>AJ86</f>
        <v>422990</v>
      </c>
      <c r="AL86" s="295">
        <f>ROUND(AK86*(1+取值表!$D$8),0)</f>
        <v>462328</v>
      </c>
      <c r="AM86" s="295">
        <f>AL86</f>
        <v>462328</v>
      </c>
      <c r="AN86" s="295">
        <f>AM86</f>
        <v>462328</v>
      </c>
      <c r="AO86" s="295">
        <f>AN86</f>
        <v>462328</v>
      </c>
      <c r="AP86" s="295">
        <f>ROUND(AO86*(1+取值表!$D$8),0)</f>
        <v>505325</v>
      </c>
      <c r="AQ86" s="295">
        <f>AP86</f>
        <v>505325</v>
      </c>
      <c r="AR86" s="295">
        <f t="shared" ref="AR86:AS86" si="1832">AQ86</f>
        <v>505325</v>
      </c>
      <c r="AS86" s="295">
        <f t="shared" si="1832"/>
        <v>505325</v>
      </c>
      <c r="AT86" s="295">
        <f>ROUND(AS86*(1+取值表!$D$8),0)</f>
        <v>552320</v>
      </c>
      <c r="AU86" s="295">
        <f t="shared" ref="AU86:AW86" si="1833">AT86</f>
        <v>552320</v>
      </c>
      <c r="AV86" s="295">
        <f t="shared" si="1833"/>
        <v>552320</v>
      </c>
      <c r="AW86" s="295">
        <f t="shared" si="1833"/>
        <v>552320</v>
      </c>
      <c r="AX86" s="295">
        <f>ROUND(AW86*(1+取值表!$D$8),0)</f>
        <v>603686</v>
      </c>
      <c r="AY86" s="295">
        <f t="shared" ref="AY86:BA86" si="1834">AX86</f>
        <v>603686</v>
      </c>
      <c r="AZ86" s="295">
        <f t="shared" si="1834"/>
        <v>603686</v>
      </c>
      <c r="BA86" s="295">
        <f t="shared" si="1834"/>
        <v>603686</v>
      </c>
      <c r="BB86" s="295">
        <f>ROUND(BA86*(1+取值表!$D$8),0)</f>
        <v>659829</v>
      </c>
      <c r="BC86" s="295">
        <f>BB86</f>
        <v>659829</v>
      </c>
      <c r="BD86" s="295">
        <f t="shared" ref="BD86" si="1835">BC86</f>
        <v>659829</v>
      </c>
      <c r="BE86" s="295">
        <f>BD86</f>
        <v>659829</v>
      </c>
      <c r="BF86" s="295">
        <f>ROUND(BE86*(1+取值表!$D$8),0)</f>
        <v>721193</v>
      </c>
      <c r="BG86" s="295">
        <f>BF86</f>
        <v>721193</v>
      </c>
      <c r="BH86" s="295">
        <f t="shared" ref="BH86:BI86" si="1836">BG86</f>
        <v>721193</v>
      </c>
      <c r="BI86" s="295">
        <f t="shared" si="1836"/>
        <v>721193</v>
      </c>
      <c r="BJ86" s="295">
        <f>ROUND(BI86*(1+取值表!$D$8),0)</f>
        <v>788264</v>
      </c>
      <c r="BK86" s="295">
        <f t="shared" ref="BK86:BM86" si="1837">BJ86</f>
        <v>788264</v>
      </c>
      <c r="BL86" s="295">
        <f t="shared" si="1837"/>
        <v>788264</v>
      </c>
      <c r="BM86" s="295">
        <f t="shared" si="1837"/>
        <v>788264</v>
      </c>
      <c r="BN86" s="295">
        <f>ROUND(BM86*(1+取值表!$D$8),0)</f>
        <v>861573</v>
      </c>
      <c r="BO86" s="295">
        <f t="shared" ref="BO86:BQ86" si="1838">BN86</f>
        <v>861573</v>
      </c>
      <c r="BP86" s="295">
        <f t="shared" si="1838"/>
        <v>861573</v>
      </c>
      <c r="BQ86" s="295">
        <f t="shared" si="1838"/>
        <v>861573</v>
      </c>
      <c r="BR86" s="295">
        <f>ROUND(BQ86*(1+取值表!$D$8),0)</f>
        <v>941699</v>
      </c>
      <c r="BS86" s="295">
        <f t="shared" ref="BS86:BU86" si="1839">BR86</f>
        <v>941699</v>
      </c>
      <c r="BT86" s="295">
        <f t="shared" si="1839"/>
        <v>941699</v>
      </c>
      <c r="BU86" s="295">
        <f t="shared" si="1839"/>
        <v>941699</v>
      </c>
      <c r="BV86" s="295">
        <f>ROUND(BU86*(1+取值表!$D$8),0)</f>
        <v>1029277</v>
      </c>
      <c r="BW86" s="295">
        <f t="shared" ref="BW86:BY86" si="1840">BV86</f>
        <v>1029277</v>
      </c>
      <c r="BX86" s="295">
        <f t="shared" si="1840"/>
        <v>1029277</v>
      </c>
      <c r="BY86" s="295">
        <f t="shared" si="1840"/>
        <v>1029277</v>
      </c>
      <c r="BZ86" s="295">
        <f>ROUND(BY86*(1+取值表!$D$8),0)</f>
        <v>1125000</v>
      </c>
      <c r="CA86" s="295">
        <f t="shared" ref="CA86:CC86" si="1841">BZ86</f>
        <v>1125000</v>
      </c>
      <c r="CB86" s="295">
        <f t="shared" si="1841"/>
        <v>1125000</v>
      </c>
      <c r="CC86" s="295">
        <f t="shared" si="1841"/>
        <v>1125000</v>
      </c>
      <c r="CD86" s="295">
        <f>ROUND(CC86*(1+取值表!$D$8),0)</f>
        <v>1229625</v>
      </c>
      <c r="CE86" s="295">
        <f t="shared" ref="CE86:CG86" si="1842">CD86</f>
        <v>1229625</v>
      </c>
      <c r="CF86" s="295">
        <f t="shared" si="1842"/>
        <v>1229625</v>
      </c>
      <c r="CG86" s="295">
        <f t="shared" si="1842"/>
        <v>1229625</v>
      </c>
      <c r="CH86" s="295">
        <f>ROUND(CG86*(1+取值表!$D$8),0)</f>
        <v>1343980</v>
      </c>
      <c r="CI86" s="295">
        <f>CH86</f>
        <v>1343980</v>
      </c>
      <c r="CJ86" s="295">
        <f t="shared" ref="CJ86:CK86" si="1843">CI86</f>
        <v>1343980</v>
      </c>
      <c r="CK86" s="295">
        <f t="shared" si="1843"/>
        <v>1343980</v>
      </c>
      <c r="CL86" s="295">
        <f>ROUND(CK86*(1+取值表!$D$8),0)</f>
        <v>1468970</v>
      </c>
      <c r="CM86" s="295">
        <f>CL86</f>
        <v>1468970</v>
      </c>
      <c r="CN86" s="295">
        <f t="shared" ref="CN86:CO86" si="1844">CM86</f>
        <v>1468970</v>
      </c>
      <c r="CO86" s="295">
        <f t="shared" si="1844"/>
        <v>1468970</v>
      </c>
      <c r="CP86" s="295">
        <f t="shared" si="1468"/>
        <v>58449032</v>
      </c>
    </row>
    <row r="87" spans="1:212">
      <c r="A87" s="670"/>
      <c r="B87" s="672"/>
      <c r="C87" s="674"/>
      <c r="D87" s="676"/>
      <c r="E87" s="678"/>
      <c r="F87" s="666"/>
      <c r="G87" s="666"/>
      <c r="H87" s="668"/>
      <c r="I87" s="291"/>
      <c r="J87" s="295"/>
      <c r="K87" s="293"/>
      <c r="L87" s="293"/>
      <c r="M87" s="293"/>
      <c r="N87" s="293"/>
      <c r="O87" s="293"/>
      <c r="P87" s="293"/>
      <c r="Q87" s="293"/>
      <c r="R87" s="293"/>
      <c r="S87" s="293"/>
      <c r="T87" s="293"/>
      <c r="U87" s="293"/>
      <c r="V87" s="293"/>
      <c r="W87" s="293"/>
      <c r="X87" s="293"/>
      <c r="Y87" s="293"/>
      <c r="Z87" s="293"/>
      <c r="AA87" s="293"/>
      <c r="AB87" s="293"/>
      <c r="AC87" s="293"/>
      <c r="AD87" s="293"/>
      <c r="AE87" s="293"/>
      <c r="AF87" s="293"/>
      <c r="AG87" s="293"/>
      <c r="AH87" s="293"/>
      <c r="AI87" s="293"/>
      <c r="AJ87" s="293"/>
      <c r="AK87" s="293"/>
      <c r="AL87" s="293"/>
      <c r="AM87" s="293"/>
      <c r="AN87" s="293"/>
      <c r="AO87" s="293"/>
      <c r="AP87" s="293"/>
      <c r="AQ87" s="293"/>
      <c r="AR87" s="293"/>
      <c r="AS87" s="293"/>
      <c r="AT87" s="293"/>
      <c r="AU87" s="293"/>
      <c r="AV87" s="293"/>
      <c r="AW87" s="293"/>
      <c r="AX87" s="293"/>
      <c r="AY87" s="293"/>
      <c r="AZ87" s="293"/>
      <c r="BA87" s="293"/>
      <c r="BB87" s="293"/>
      <c r="BC87" s="293"/>
      <c r="BD87" s="293"/>
      <c r="BE87" s="293"/>
      <c r="BF87" s="293"/>
      <c r="BG87" s="293"/>
      <c r="BH87" s="293"/>
      <c r="BI87" s="293"/>
      <c r="BJ87" s="293"/>
      <c r="BK87" s="293"/>
      <c r="BL87" s="293"/>
      <c r="BM87" s="293"/>
      <c r="BN87" s="293"/>
      <c r="BO87" s="293"/>
      <c r="BP87" s="293"/>
      <c r="BQ87" s="293"/>
      <c r="BR87" s="293"/>
      <c r="BS87" s="293"/>
      <c r="BT87" s="293"/>
      <c r="BU87" s="293"/>
      <c r="BV87" s="293"/>
      <c r="BW87" s="293"/>
      <c r="BX87" s="293"/>
      <c r="BY87" s="293"/>
      <c r="BZ87" s="293"/>
      <c r="CA87" s="293"/>
      <c r="CB87" s="293"/>
      <c r="CC87" s="293"/>
      <c r="CD87" s="293"/>
      <c r="CE87" s="293"/>
      <c r="CF87" s="293"/>
      <c r="CG87" s="293"/>
      <c r="CH87" s="293"/>
      <c r="CI87" s="293"/>
      <c r="CJ87" s="293"/>
      <c r="CK87" s="293"/>
      <c r="CL87" s="293"/>
      <c r="CM87" s="293"/>
      <c r="CN87" s="293"/>
      <c r="CO87" s="293"/>
      <c r="CP87" s="293">
        <f t="shared" si="1468"/>
        <v>0</v>
      </c>
    </row>
    <row r="88" spans="1:212" s="299" customFormat="1" ht="12" customHeight="1">
      <c r="A88" s="669">
        <v>44</v>
      </c>
      <c r="B88" s="671" t="s">
        <v>110</v>
      </c>
      <c r="C88" s="673" t="s">
        <v>111</v>
      </c>
      <c r="D88" s="675" t="s">
        <v>458</v>
      </c>
      <c r="E88" s="677" t="s">
        <v>455</v>
      </c>
      <c r="F88" s="665">
        <v>120.81</v>
      </c>
      <c r="G88" s="665">
        <f>AVERAGE(20,22)</f>
        <v>21</v>
      </c>
      <c r="H88" s="667">
        <f>F88*G88*365</f>
        <v>926008.65</v>
      </c>
      <c r="I88" s="398">
        <v>224116.14</v>
      </c>
      <c r="J88" s="295">
        <f>ROUND(20*365*F88/4,0)</f>
        <v>220478</v>
      </c>
      <c r="K88" s="295">
        <f>J88</f>
        <v>220478</v>
      </c>
      <c r="L88" s="295">
        <f>K88</f>
        <v>220478</v>
      </c>
      <c r="M88" s="295">
        <f>ROUND(22*365*F88/4,0)</f>
        <v>242526</v>
      </c>
      <c r="N88" s="295">
        <f>M88</f>
        <v>242526</v>
      </c>
      <c r="O88" s="295">
        <f>N88</f>
        <v>242526</v>
      </c>
      <c r="P88" s="292">
        <f>O88</f>
        <v>242526</v>
      </c>
      <c r="Q88" s="295">
        <f>P88</f>
        <v>242526</v>
      </c>
      <c r="R88" s="295">
        <f>ROUND(Q88*(1+取值表!$D$10)*取值表!$I$10,0)</f>
        <v>249441</v>
      </c>
      <c r="S88" s="295">
        <f>R88</f>
        <v>249441</v>
      </c>
      <c r="T88" s="295">
        <f>S88</f>
        <v>249441</v>
      </c>
      <c r="U88" s="295">
        <f>T88</f>
        <v>249441</v>
      </c>
      <c r="V88" s="294">
        <f>ROUND(U88*(1+取值表!$D$8),0)</f>
        <v>272639</v>
      </c>
      <c r="W88" s="295">
        <f>ROUND(V88*(1+取值表!$D$10)*取值表!$I$10,0)</f>
        <v>280413</v>
      </c>
      <c r="X88" s="295">
        <f>W88</f>
        <v>280413</v>
      </c>
      <c r="Y88" s="295">
        <f>X88</f>
        <v>280413</v>
      </c>
      <c r="Z88" s="295">
        <f>ROUND(Y88*(1+取值表!$D$8),0)</f>
        <v>306491</v>
      </c>
      <c r="AA88" s="295">
        <f t="shared" ref="AA88" si="1845">Z88</f>
        <v>306491</v>
      </c>
      <c r="AB88" s="295">
        <f>AA88</f>
        <v>306491</v>
      </c>
      <c r="AC88" s="295">
        <f>AB88</f>
        <v>306491</v>
      </c>
      <c r="AD88" s="295">
        <f>ROUND(AC88*(1+取值表!$D$8),0)</f>
        <v>334995</v>
      </c>
      <c r="AE88" s="295">
        <f t="shared" ref="AE88:AG88" si="1846">AD88</f>
        <v>334995</v>
      </c>
      <c r="AF88" s="295">
        <f t="shared" si="1846"/>
        <v>334995</v>
      </c>
      <c r="AG88" s="295">
        <f t="shared" si="1846"/>
        <v>334995</v>
      </c>
      <c r="AH88" s="295">
        <f>ROUND(AG88*(1+取值表!$D$8),0)</f>
        <v>366150</v>
      </c>
      <c r="AI88" s="295">
        <f t="shared" ref="AI88:AK88" si="1847">AH88</f>
        <v>366150</v>
      </c>
      <c r="AJ88" s="295">
        <f t="shared" si="1847"/>
        <v>366150</v>
      </c>
      <c r="AK88" s="295">
        <f t="shared" si="1847"/>
        <v>366150</v>
      </c>
      <c r="AL88" s="295">
        <f>ROUND(AK88*(1+取值表!$D$8),0)</f>
        <v>400202</v>
      </c>
      <c r="AM88" s="295">
        <f t="shared" ref="AM88:AO88" si="1848">AL88</f>
        <v>400202</v>
      </c>
      <c r="AN88" s="295">
        <f t="shared" si="1848"/>
        <v>400202</v>
      </c>
      <c r="AO88" s="295">
        <f t="shared" si="1848"/>
        <v>400202</v>
      </c>
      <c r="AP88" s="295">
        <f>ROUND(AO88*(1+取值表!$D$8),0)</f>
        <v>437421</v>
      </c>
      <c r="AQ88" s="295">
        <f t="shared" ref="AQ88:AS88" si="1849">AP88</f>
        <v>437421</v>
      </c>
      <c r="AR88" s="295">
        <f t="shared" si="1849"/>
        <v>437421</v>
      </c>
      <c r="AS88" s="295">
        <f t="shared" si="1849"/>
        <v>437421</v>
      </c>
      <c r="AT88" s="295">
        <f>ROUND(AS88*(1+取值表!$D$8),0)</f>
        <v>478101</v>
      </c>
      <c r="AU88" s="295">
        <f t="shared" ref="AU88:AW88" si="1850">AT88</f>
        <v>478101</v>
      </c>
      <c r="AV88" s="295">
        <f t="shared" si="1850"/>
        <v>478101</v>
      </c>
      <c r="AW88" s="295">
        <f t="shared" si="1850"/>
        <v>478101</v>
      </c>
      <c r="AX88" s="295">
        <f>ROUND(AW88*(1+取值表!$D$8),0)</f>
        <v>522564</v>
      </c>
      <c r="AY88" s="295">
        <f t="shared" ref="AY88:BA88" si="1851">AX88</f>
        <v>522564</v>
      </c>
      <c r="AZ88" s="295">
        <f t="shared" si="1851"/>
        <v>522564</v>
      </c>
      <c r="BA88" s="295">
        <f t="shared" si="1851"/>
        <v>522564</v>
      </c>
      <c r="BB88" s="295">
        <f>ROUND(BA88*(1+取值表!$D$8),0)</f>
        <v>571162</v>
      </c>
      <c r="BC88" s="295">
        <f>BB88</f>
        <v>571162</v>
      </c>
      <c r="BD88" s="295">
        <f t="shared" ref="BD88" si="1852">BC88</f>
        <v>571162</v>
      </c>
      <c r="BE88" s="295">
        <f>BD88</f>
        <v>571162</v>
      </c>
      <c r="BF88" s="295">
        <f>ROUND(BE88*(1+取值表!$D$8),0)</f>
        <v>624280</v>
      </c>
      <c r="BG88" s="295">
        <f>BF88</f>
        <v>624280</v>
      </c>
      <c r="BH88" s="295">
        <f t="shared" ref="BH88:BI88" si="1853">BG88</f>
        <v>624280</v>
      </c>
      <c r="BI88" s="295">
        <f t="shared" si="1853"/>
        <v>624280</v>
      </c>
      <c r="BJ88" s="295">
        <f>ROUND(BI88*(1+取值表!$D$8),0)</f>
        <v>682338</v>
      </c>
      <c r="BK88" s="295">
        <f t="shared" ref="BK88" si="1854">BJ88</f>
        <v>682338</v>
      </c>
      <c r="BL88" s="295">
        <f t="shared" ref="BL88" si="1855">BK88</f>
        <v>682338</v>
      </c>
      <c r="BM88" s="295">
        <f t="shared" ref="BM88" si="1856">BL88</f>
        <v>682338</v>
      </c>
      <c r="BN88" s="295">
        <f>ROUND(BM88*(1+取值表!$D$8),0)</f>
        <v>745795</v>
      </c>
      <c r="BO88" s="295">
        <f t="shared" ref="BO88" si="1857">BN88</f>
        <v>745795</v>
      </c>
      <c r="BP88" s="295">
        <f t="shared" ref="BP88" si="1858">BO88</f>
        <v>745795</v>
      </c>
      <c r="BQ88" s="295">
        <f t="shared" ref="BQ88" si="1859">BP88</f>
        <v>745795</v>
      </c>
      <c r="BR88" s="295">
        <f>ROUND(BQ88*(1+取值表!$D$8),0)</f>
        <v>815154</v>
      </c>
      <c r="BS88" s="295">
        <f t="shared" ref="BS88" si="1860">BR88</f>
        <v>815154</v>
      </c>
      <c r="BT88" s="295">
        <f t="shared" ref="BT88" si="1861">BS88</f>
        <v>815154</v>
      </c>
      <c r="BU88" s="295">
        <f t="shared" ref="BU88" si="1862">BT88</f>
        <v>815154</v>
      </c>
      <c r="BV88" s="295">
        <f>ROUND(BU88*(1+取值表!$D$8),0)</f>
        <v>890963</v>
      </c>
      <c r="BW88" s="295">
        <f t="shared" ref="BW88" si="1863">BV88</f>
        <v>890963</v>
      </c>
      <c r="BX88" s="295">
        <f t="shared" ref="BX88" si="1864">BW88</f>
        <v>890963</v>
      </c>
      <c r="BY88" s="295">
        <f t="shared" ref="BY88" si="1865">BX88</f>
        <v>890963</v>
      </c>
      <c r="BZ88" s="295">
        <f>ROUND(BY88*(1+取值表!$D$8),0)</f>
        <v>973823</v>
      </c>
      <c r="CA88" s="295">
        <f t="shared" ref="CA88" si="1866">BZ88</f>
        <v>973823</v>
      </c>
      <c r="CB88" s="295">
        <f t="shared" ref="CB88" si="1867">CA88</f>
        <v>973823</v>
      </c>
      <c r="CC88" s="295">
        <f t="shared" ref="CC88" si="1868">CB88</f>
        <v>973823</v>
      </c>
      <c r="CD88" s="295">
        <f>ROUND(CC88*(1+取值表!$D$8),0)</f>
        <v>1064389</v>
      </c>
      <c r="CE88" s="295">
        <f t="shared" ref="CE88" si="1869">CD88</f>
        <v>1064389</v>
      </c>
      <c r="CF88" s="295">
        <f t="shared" ref="CF88" si="1870">CE88</f>
        <v>1064389</v>
      </c>
      <c r="CG88" s="295">
        <f t="shared" ref="CG88" si="1871">CF88</f>
        <v>1064389</v>
      </c>
      <c r="CH88" s="295">
        <f>ROUND(CG88*(1+取值表!$D$8),0)</f>
        <v>1163377</v>
      </c>
      <c r="CI88" s="295">
        <f>CH88</f>
        <v>1163377</v>
      </c>
      <c r="CJ88" s="295">
        <f t="shared" ref="CJ88" si="1872">CI88</f>
        <v>1163377</v>
      </c>
      <c r="CK88" s="295">
        <f t="shared" ref="CK88" si="1873">CJ88</f>
        <v>1163377</v>
      </c>
      <c r="CL88" s="295">
        <f>ROUND(CK88*(1+取值表!$D$8),0)</f>
        <v>1271571</v>
      </c>
      <c r="CM88" s="295">
        <f>CL88</f>
        <v>1271571</v>
      </c>
      <c r="CN88" s="295">
        <f t="shared" ref="CN88" si="1874">CM88</f>
        <v>1271571</v>
      </c>
      <c r="CO88" s="295">
        <f t="shared" ref="CO88" si="1875">CN88</f>
        <v>1271571</v>
      </c>
      <c r="CP88" s="295">
        <f t="shared" si="1468"/>
        <v>50580810</v>
      </c>
    </row>
    <row r="89" spans="1:212">
      <c r="A89" s="670"/>
      <c r="B89" s="672"/>
      <c r="C89" s="674"/>
      <c r="D89" s="676"/>
      <c r="E89" s="678"/>
      <c r="F89" s="666"/>
      <c r="G89" s="666"/>
      <c r="H89" s="668"/>
      <c r="I89" s="291"/>
      <c r="J89" s="295"/>
      <c r="K89" s="293"/>
      <c r="L89" s="293"/>
      <c r="M89" s="293"/>
      <c r="N89" s="293"/>
      <c r="O89" s="293"/>
      <c r="P89" s="293"/>
      <c r="Q89" s="293"/>
      <c r="R89" s="293"/>
      <c r="S89" s="293"/>
      <c r="T89" s="293"/>
      <c r="U89" s="293"/>
      <c r="V89" s="293"/>
      <c r="W89" s="293"/>
      <c r="X89" s="293"/>
      <c r="Y89" s="293"/>
      <c r="Z89" s="293"/>
      <c r="AA89" s="293"/>
      <c r="AB89" s="293"/>
      <c r="AC89" s="293"/>
      <c r="AD89" s="293"/>
      <c r="AE89" s="293"/>
      <c r="AF89" s="293"/>
      <c r="AG89" s="293"/>
      <c r="AH89" s="293"/>
      <c r="AI89" s="293"/>
      <c r="AJ89" s="293"/>
      <c r="AK89" s="293"/>
      <c r="AL89" s="293"/>
      <c r="AM89" s="293"/>
      <c r="AN89" s="293"/>
      <c r="AO89" s="293"/>
      <c r="AP89" s="293"/>
      <c r="AQ89" s="293"/>
      <c r="AR89" s="293"/>
      <c r="AS89" s="293"/>
      <c r="AT89" s="293"/>
      <c r="AU89" s="293"/>
      <c r="AV89" s="293"/>
      <c r="AW89" s="293"/>
      <c r="AX89" s="293"/>
      <c r="AY89" s="293"/>
      <c r="AZ89" s="293"/>
      <c r="BA89" s="293"/>
      <c r="BB89" s="293"/>
      <c r="BC89" s="293"/>
      <c r="BD89" s="293"/>
      <c r="BE89" s="293"/>
      <c r="BF89" s="293"/>
      <c r="BG89" s="293"/>
      <c r="BH89" s="293"/>
      <c r="BI89" s="293"/>
      <c r="BJ89" s="293"/>
      <c r="BK89" s="293"/>
      <c r="BL89" s="293"/>
      <c r="BM89" s="293"/>
      <c r="BN89" s="293"/>
      <c r="BO89" s="293"/>
      <c r="BP89" s="293"/>
      <c r="BQ89" s="293"/>
      <c r="BR89" s="293"/>
      <c r="BS89" s="293"/>
      <c r="BT89" s="293"/>
      <c r="BU89" s="293"/>
      <c r="BV89" s="293"/>
      <c r="BW89" s="293"/>
      <c r="BX89" s="293"/>
      <c r="BY89" s="293"/>
      <c r="BZ89" s="293"/>
      <c r="CA89" s="293"/>
      <c r="CB89" s="293"/>
      <c r="CC89" s="293"/>
      <c r="CD89" s="293"/>
      <c r="CE89" s="293"/>
      <c r="CF89" s="293"/>
      <c r="CG89" s="293"/>
      <c r="CH89" s="293"/>
      <c r="CI89" s="293"/>
      <c r="CJ89" s="293"/>
      <c r="CK89" s="293"/>
      <c r="CL89" s="293"/>
      <c r="CM89" s="293"/>
      <c r="CN89" s="293"/>
      <c r="CO89" s="293"/>
      <c r="CP89" s="293">
        <f t="shared" si="1468"/>
        <v>0</v>
      </c>
    </row>
    <row r="90" spans="1:212" ht="12" customHeight="1">
      <c r="A90" s="669">
        <v>45</v>
      </c>
      <c r="B90" s="671" t="s">
        <v>112</v>
      </c>
      <c r="C90" s="673" t="s">
        <v>113</v>
      </c>
      <c r="D90" s="675" t="s">
        <v>459</v>
      </c>
      <c r="E90" s="677" t="s">
        <v>455</v>
      </c>
      <c r="F90" s="665">
        <v>135.66999999999999</v>
      </c>
      <c r="G90" s="665">
        <v>25.5</v>
      </c>
      <c r="H90" s="667">
        <f>F90*G90*365</f>
        <v>1262748.5249999999</v>
      </c>
      <c r="I90" s="291">
        <v>315687.13</v>
      </c>
      <c r="J90" s="295">
        <f>ROUND(G90*F90*365/4,0)</f>
        <v>315687</v>
      </c>
      <c r="K90" s="293">
        <f t="shared" ref="K90:N90" si="1876">J90</f>
        <v>315687</v>
      </c>
      <c r="L90" s="293">
        <f t="shared" si="1876"/>
        <v>315687</v>
      </c>
      <c r="M90" s="293">
        <f t="shared" si="1876"/>
        <v>315687</v>
      </c>
      <c r="N90" s="292">
        <f t="shared" si="1876"/>
        <v>315687</v>
      </c>
      <c r="O90" s="293">
        <f>N90</f>
        <v>315687</v>
      </c>
      <c r="P90" s="293">
        <f>O90</f>
        <v>315687</v>
      </c>
      <c r="Q90" s="293">
        <f>P90</f>
        <v>315687</v>
      </c>
      <c r="R90" s="293">
        <f>ROUND(Q90*(1+取值表!$D$10)*取值表!$I$10,0)</f>
        <v>324688</v>
      </c>
      <c r="S90" s="293">
        <f>R90</f>
        <v>324688</v>
      </c>
      <c r="T90" s="293">
        <f>S90</f>
        <v>324688</v>
      </c>
      <c r="U90" s="293">
        <f>T90</f>
        <v>324688</v>
      </c>
      <c r="V90" s="294">
        <f>ROUND(U90*(1+取值表!$D$8),0)</f>
        <v>354884</v>
      </c>
      <c r="W90" s="293">
        <f t="shared" ref="W90:Y90" si="1877">V90</f>
        <v>354884</v>
      </c>
      <c r="X90" s="293">
        <f t="shared" si="1877"/>
        <v>354884</v>
      </c>
      <c r="Y90" s="293">
        <f t="shared" si="1877"/>
        <v>354884</v>
      </c>
      <c r="Z90" s="293">
        <f>ROUND(Y90*(1+取值表!$D$8),0)</f>
        <v>387888</v>
      </c>
      <c r="AA90" s="293">
        <f t="shared" ref="AA90:AB90" si="1878">Z90</f>
        <v>387888</v>
      </c>
      <c r="AB90" s="293">
        <f t="shared" si="1878"/>
        <v>387888</v>
      </c>
      <c r="AC90" s="293">
        <f>AB90</f>
        <v>387888</v>
      </c>
      <c r="AD90" s="293">
        <f>ROUND(AC90*(1+取值表!$D$8),0)</f>
        <v>423962</v>
      </c>
      <c r="AE90" s="293">
        <f t="shared" ref="AE90" si="1879">AD90</f>
        <v>423962</v>
      </c>
      <c r="AF90" s="293">
        <f t="shared" ref="AF90" si="1880">AE90</f>
        <v>423962</v>
      </c>
      <c r="AG90" s="293">
        <f t="shared" ref="AG90" si="1881">AF90</f>
        <v>423962</v>
      </c>
      <c r="AH90" s="293">
        <f>ROUND(AG90*(1+取值表!$D$8),0)</f>
        <v>463390</v>
      </c>
      <c r="AI90" s="293">
        <f t="shared" ref="AI90" si="1882">AH90</f>
        <v>463390</v>
      </c>
      <c r="AJ90" s="293">
        <f t="shared" ref="AJ90" si="1883">AI90</f>
        <v>463390</v>
      </c>
      <c r="AK90" s="293">
        <f t="shared" ref="AK90" si="1884">AJ90</f>
        <v>463390</v>
      </c>
      <c r="AL90" s="293">
        <f>ROUND(AK90*(1+取值表!$D$8),0)</f>
        <v>506485</v>
      </c>
      <c r="AM90" s="293">
        <f t="shared" ref="AM90" si="1885">AL90</f>
        <v>506485</v>
      </c>
      <c r="AN90" s="293">
        <f t="shared" ref="AN90" si="1886">AM90</f>
        <v>506485</v>
      </c>
      <c r="AO90" s="293">
        <f t="shared" ref="AO90" si="1887">AN90</f>
        <v>506485</v>
      </c>
      <c r="AP90" s="293">
        <f>ROUND(AO90*(1+取值表!$D$8),0)</f>
        <v>553588</v>
      </c>
      <c r="AQ90" s="293">
        <f t="shared" ref="AQ90" si="1888">AP90</f>
        <v>553588</v>
      </c>
      <c r="AR90" s="293">
        <f t="shared" ref="AR90" si="1889">AQ90</f>
        <v>553588</v>
      </c>
      <c r="AS90" s="293">
        <f t="shared" ref="AS90" si="1890">AR90</f>
        <v>553588</v>
      </c>
      <c r="AT90" s="293">
        <f>ROUND(AS90*(1+取值表!$D$8),0)</f>
        <v>605072</v>
      </c>
      <c r="AU90" s="293">
        <f t="shared" ref="AU90" si="1891">AT90</f>
        <v>605072</v>
      </c>
      <c r="AV90" s="293">
        <f t="shared" ref="AV90" si="1892">AU90</f>
        <v>605072</v>
      </c>
      <c r="AW90" s="293">
        <f t="shared" ref="AW90" si="1893">AV90</f>
        <v>605072</v>
      </c>
      <c r="AX90" s="293">
        <f>ROUND(AW90*(1+取值表!$D$8),0)</f>
        <v>661344</v>
      </c>
      <c r="AY90" s="293">
        <f t="shared" ref="AY90" si="1894">AX90</f>
        <v>661344</v>
      </c>
      <c r="AZ90" s="293">
        <f t="shared" ref="AZ90" si="1895">AY90</f>
        <v>661344</v>
      </c>
      <c r="BA90" s="293">
        <f t="shared" ref="BA90" si="1896">AZ90</f>
        <v>661344</v>
      </c>
      <c r="BB90" s="293">
        <f>ROUND(BA90*(1+取值表!$D$8),0)</f>
        <v>722849</v>
      </c>
      <c r="BC90" s="293">
        <f>BB90</f>
        <v>722849</v>
      </c>
      <c r="BD90" s="293">
        <f t="shared" ref="BD90" si="1897">BC90</f>
        <v>722849</v>
      </c>
      <c r="BE90" s="293">
        <f>BD90</f>
        <v>722849</v>
      </c>
      <c r="BF90" s="293">
        <f>ROUND(BE90*(1+取值表!$D$8),0)</f>
        <v>790074</v>
      </c>
      <c r="BG90" s="293">
        <f>BF90</f>
        <v>790074</v>
      </c>
      <c r="BH90" s="293">
        <f t="shared" ref="BH90" si="1898">BG90</f>
        <v>790074</v>
      </c>
      <c r="BI90" s="293">
        <f t="shared" ref="BI90" si="1899">BH90</f>
        <v>790074</v>
      </c>
      <c r="BJ90" s="293">
        <f>ROUND(BI90*(1+取值表!$D$8),0)</f>
        <v>863551</v>
      </c>
      <c r="BK90" s="293">
        <f t="shared" ref="BK90" si="1900">BJ90</f>
        <v>863551</v>
      </c>
      <c r="BL90" s="293">
        <f t="shared" ref="BL90" si="1901">BK90</f>
        <v>863551</v>
      </c>
      <c r="BM90" s="293">
        <f t="shared" ref="BM90" si="1902">BL90</f>
        <v>863551</v>
      </c>
      <c r="BN90" s="293">
        <f>ROUND(BM90*(1+取值表!$D$8),0)</f>
        <v>943861</v>
      </c>
      <c r="BO90" s="293">
        <f t="shared" ref="BO90" si="1903">BN90</f>
        <v>943861</v>
      </c>
      <c r="BP90" s="293">
        <f t="shared" ref="BP90" si="1904">BO90</f>
        <v>943861</v>
      </c>
      <c r="BQ90" s="293">
        <f t="shared" ref="BQ90" si="1905">BP90</f>
        <v>943861</v>
      </c>
      <c r="BR90" s="293">
        <f>ROUND(BQ90*(1+取值表!$D$8),0)</f>
        <v>1031640</v>
      </c>
      <c r="BS90" s="293">
        <f t="shared" ref="BS90" si="1906">BR90</f>
        <v>1031640</v>
      </c>
      <c r="BT90" s="293">
        <f t="shared" ref="BT90" si="1907">BS90</f>
        <v>1031640</v>
      </c>
      <c r="BU90" s="293">
        <f t="shared" ref="BU90" si="1908">BT90</f>
        <v>1031640</v>
      </c>
      <c r="BV90" s="293">
        <f>ROUND(BU90*(1+取值表!$D$8),0)</f>
        <v>1127583</v>
      </c>
      <c r="BW90" s="293">
        <f t="shared" ref="BW90" si="1909">BV90</f>
        <v>1127583</v>
      </c>
      <c r="BX90" s="293">
        <f t="shared" ref="BX90" si="1910">BW90</f>
        <v>1127583</v>
      </c>
      <c r="BY90" s="293">
        <f t="shared" ref="BY90" si="1911">BX90</f>
        <v>1127583</v>
      </c>
      <c r="BZ90" s="293">
        <f>ROUND(BY90*(1+取值表!$D$8),0)</f>
        <v>1232448</v>
      </c>
      <c r="CA90" s="293">
        <f t="shared" ref="CA90" si="1912">BZ90</f>
        <v>1232448</v>
      </c>
      <c r="CB90" s="293">
        <f t="shared" ref="CB90" si="1913">CA90</f>
        <v>1232448</v>
      </c>
      <c r="CC90" s="293">
        <f t="shared" ref="CC90" si="1914">CB90</f>
        <v>1232448</v>
      </c>
      <c r="CD90" s="293">
        <f>ROUND(CC90*(1+取值表!$D$8),0)</f>
        <v>1347066</v>
      </c>
      <c r="CE90" s="293">
        <f t="shared" ref="CE90" si="1915">CD90</f>
        <v>1347066</v>
      </c>
      <c r="CF90" s="293">
        <f t="shared" ref="CF90" si="1916">CE90</f>
        <v>1347066</v>
      </c>
      <c r="CG90" s="293">
        <f t="shared" ref="CG90" si="1917">CF90</f>
        <v>1347066</v>
      </c>
      <c r="CH90" s="293">
        <f>ROUND(CG90*(1+取值表!$D$8),0)</f>
        <v>1472343</v>
      </c>
      <c r="CI90" s="293">
        <f>CH90</f>
        <v>1472343</v>
      </c>
      <c r="CJ90" s="293">
        <f t="shared" ref="CJ90" si="1918">CI90</f>
        <v>1472343</v>
      </c>
      <c r="CK90" s="293">
        <f t="shared" ref="CK90" si="1919">CJ90</f>
        <v>1472343</v>
      </c>
      <c r="CL90" s="293">
        <f>ROUND(CK90*(1+取值表!$D$8),0)</f>
        <v>1609271</v>
      </c>
      <c r="CM90" s="293">
        <f>CL90</f>
        <v>1609271</v>
      </c>
      <c r="CN90" s="293">
        <f t="shared" ref="CN90" si="1920">CM90</f>
        <v>1609271</v>
      </c>
      <c r="CO90" s="293">
        <f t="shared" ref="CO90" si="1921">CN90</f>
        <v>1609271</v>
      </c>
      <c r="CP90" s="293">
        <f t="shared" si="1468"/>
        <v>64213444</v>
      </c>
    </row>
    <row r="91" spans="1:212">
      <c r="A91" s="670"/>
      <c r="B91" s="672"/>
      <c r="C91" s="674"/>
      <c r="D91" s="676"/>
      <c r="E91" s="678"/>
      <c r="F91" s="666"/>
      <c r="G91" s="666"/>
      <c r="H91" s="668"/>
      <c r="I91" s="291"/>
      <c r="J91" s="295"/>
      <c r="K91" s="293"/>
      <c r="L91" s="293"/>
      <c r="M91" s="293"/>
      <c r="N91" s="293"/>
      <c r="O91" s="293"/>
      <c r="P91" s="293"/>
      <c r="Q91" s="293"/>
      <c r="R91" s="293"/>
      <c r="S91" s="293"/>
      <c r="T91" s="293"/>
      <c r="U91" s="293"/>
      <c r="V91" s="293"/>
      <c r="W91" s="293"/>
      <c r="X91" s="293"/>
      <c r="Y91" s="293"/>
      <c r="Z91" s="293"/>
      <c r="AA91" s="293"/>
      <c r="AB91" s="293"/>
      <c r="AC91" s="293"/>
      <c r="AD91" s="295"/>
      <c r="AE91" s="293"/>
      <c r="AF91" s="293"/>
      <c r="AG91" s="293"/>
      <c r="AH91" s="295"/>
      <c r="AI91" s="293"/>
      <c r="AJ91" s="293"/>
      <c r="AK91" s="293"/>
      <c r="AL91" s="295"/>
      <c r="AM91" s="293"/>
      <c r="AN91" s="293"/>
      <c r="AO91" s="293"/>
      <c r="AP91" s="295"/>
      <c r="AQ91" s="293"/>
      <c r="AR91" s="293"/>
      <c r="AS91" s="293"/>
      <c r="AT91" s="295"/>
      <c r="AU91" s="293"/>
      <c r="AV91" s="293"/>
      <c r="AW91" s="293"/>
      <c r="AX91" s="295"/>
      <c r="AY91" s="293"/>
      <c r="AZ91" s="293"/>
      <c r="BA91" s="293"/>
      <c r="BB91" s="295"/>
      <c r="BC91" s="293"/>
      <c r="BD91" s="293"/>
      <c r="BE91" s="293"/>
      <c r="BF91" s="295"/>
      <c r="BG91" s="293"/>
      <c r="BH91" s="293"/>
      <c r="BI91" s="293"/>
      <c r="BJ91" s="295"/>
      <c r="BK91" s="293"/>
      <c r="BL91" s="293"/>
      <c r="BM91" s="293"/>
      <c r="BN91" s="295"/>
      <c r="BO91" s="293"/>
      <c r="BP91" s="293"/>
      <c r="BQ91" s="293"/>
      <c r="BR91" s="295"/>
      <c r="BS91" s="293"/>
      <c r="BT91" s="293"/>
      <c r="BU91" s="293"/>
      <c r="BV91" s="295"/>
      <c r="BW91" s="293"/>
      <c r="BX91" s="293"/>
      <c r="BY91" s="293"/>
      <c r="BZ91" s="295"/>
      <c r="CA91" s="293"/>
      <c r="CB91" s="293"/>
      <c r="CC91" s="293"/>
      <c r="CD91" s="295"/>
      <c r="CE91" s="293"/>
      <c r="CF91" s="293"/>
      <c r="CG91" s="293"/>
      <c r="CH91" s="295"/>
      <c r="CI91" s="293"/>
      <c r="CJ91" s="293"/>
      <c r="CK91" s="293"/>
      <c r="CL91" s="295"/>
      <c r="CM91" s="293"/>
      <c r="CN91" s="293"/>
      <c r="CO91" s="293"/>
      <c r="CP91" s="293">
        <f t="shared" si="1468"/>
        <v>0</v>
      </c>
    </row>
    <row r="92" spans="1:212" ht="12" customHeight="1">
      <c r="A92" s="669">
        <v>46</v>
      </c>
      <c r="B92" s="645" t="s">
        <v>114</v>
      </c>
      <c r="C92" s="646" t="s">
        <v>725</v>
      </c>
      <c r="D92" s="647" t="s">
        <v>460</v>
      </c>
      <c r="E92" s="648" t="s">
        <v>455</v>
      </c>
      <c r="F92" s="642">
        <v>131.33000000000001</v>
      </c>
      <c r="G92" s="642">
        <v>26</v>
      </c>
      <c r="H92" s="643">
        <f>F92*G92*365</f>
        <v>1246321.7000000002</v>
      </c>
      <c r="I92" s="291">
        <v>287612.7</v>
      </c>
      <c r="J92" s="292">
        <f>ROUND(G92*F92*365/4,0)</f>
        <v>311580</v>
      </c>
      <c r="K92" s="293">
        <f>J92</f>
        <v>311580</v>
      </c>
      <c r="L92" s="293">
        <f>K92</f>
        <v>311580</v>
      </c>
      <c r="M92" s="293">
        <f>L92</f>
        <v>311580</v>
      </c>
      <c r="N92" s="293">
        <f>ROUND(M92*(1+取值表!$D$10)*取值表!$I$10,0)</f>
        <v>320464</v>
      </c>
      <c r="O92" s="293">
        <f>N92</f>
        <v>320464</v>
      </c>
      <c r="P92" s="293">
        <f>O92</f>
        <v>320464</v>
      </c>
      <c r="Q92" s="293">
        <f>P92</f>
        <v>320464</v>
      </c>
      <c r="R92" s="294">
        <f>ROUND(Q92*(1+取值表!$D$10),0)</f>
        <v>350267</v>
      </c>
      <c r="S92" s="293">
        <f t="shared" ref="S92:T92" si="1922">R92</f>
        <v>350267</v>
      </c>
      <c r="T92" s="293">
        <f t="shared" si="1922"/>
        <v>350267</v>
      </c>
      <c r="U92" s="293">
        <f>T92</f>
        <v>350267</v>
      </c>
      <c r="V92" s="295">
        <f>ROUND(U92*(1+取值表!$D$8),0)</f>
        <v>382842</v>
      </c>
      <c r="W92" s="293">
        <f t="shared" ref="W92:Y92" si="1923">V92</f>
        <v>382842</v>
      </c>
      <c r="X92" s="293">
        <f t="shared" si="1923"/>
        <v>382842</v>
      </c>
      <c r="Y92" s="293">
        <f t="shared" si="1923"/>
        <v>382842</v>
      </c>
      <c r="Z92" s="295">
        <f>ROUND(Y92*(1+取值表!$D$8),0)</f>
        <v>418446</v>
      </c>
      <c r="AA92" s="293">
        <f t="shared" ref="AA92" si="1924">Z92</f>
        <v>418446</v>
      </c>
      <c r="AB92" s="293">
        <f t="shared" ref="AB92" si="1925">AA92</f>
        <v>418446</v>
      </c>
      <c r="AC92" s="293">
        <f>AB92</f>
        <v>418446</v>
      </c>
      <c r="AD92" s="295">
        <f>ROUND(AC92*(1+取值表!$D$8),0)</f>
        <v>457361</v>
      </c>
      <c r="AE92" s="293">
        <f t="shared" ref="AE92" si="1926">AD92</f>
        <v>457361</v>
      </c>
      <c r="AF92" s="293">
        <f t="shared" ref="AF92" si="1927">AE92</f>
        <v>457361</v>
      </c>
      <c r="AG92" s="293">
        <f t="shared" ref="AG92" si="1928">AF92</f>
        <v>457361</v>
      </c>
      <c r="AH92" s="295">
        <f>ROUND(AG92*(1+取值表!$D$8),0)</f>
        <v>499896</v>
      </c>
      <c r="AI92" s="293">
        <f t="shared" ref="AI92" si="1929">AH92</f>
        <v>499896</v>
      </c>
      <c r="AJ92" s="293">
        <f t="shared" ref="AJ92" si="1930">AI92</f>
        <v>499896</v>
      </c>
      <c r="AK92" s="293">
        <f t="shared" ref="AK92" si="1931">AJ92</f>
        <v>499896</v>
      </c>
      <c r="AL92" s="295">
        <f>ROUND(AK92*(1+取值表!$D$8),0)</f>
        <v>546386</v>
      </c>
      <c r="AM92" s="293">
        <f t="shared" ref="AM92" si="1932">AL92</f>
        <v>546386</v>
      </c>
      <c r="AN92" s="293">
        <f t="shared" ref="AN92" si="1933">AM92</f>
        <v>546386</v>
      </c>
      <c r="AO92" s="293">
        <f t="shared" ref="AO92" si="1934">AN92</f>
        <v>546386</v>
      </c>
      <c r="AP92" s="295">
        <f>ROUND(AO92*(1+取值表!$D$8),0)</f>
        <v>597200</v>
      </c>
      <c r="AQ92" s="293">
        <f t="shared" ref="AQ92" si="1935">AP92</f>
        <v>597200</v>
      </c>
      <c r="AR92" s="293">
        <f t="shared" ref="AR92" si="1936">AQ92</f>
        <v>597200</v>
      </c>
      <c r="AS92" s="293">
        <f t="shared" ref="AS92" si="1937">AR92</f>
        <v>597200</v>
      </c>
      <c r="AT92" s="295">
        <f>ROUND(AS92*(1+取值表!$D$8),0)</f>
        <v>652740</v>
      </c>
      <c r="AU92" s="293">
        <f t="shared" ref="AU92" si="1938">AT92</f>
        <v>652740</v>
      </c>
      <c r="AV92" s="293">
        <f t="shared" ref="AV92" si="1939">AU92</f>
        <v>652740</v>
      </c>
      <c r="AW92" s="293">
        <f t="shared" ref="AW92" si="1940">AV92</f>
        <v>652740</v>
      </c>
      <c r="AX92" s="295">
        <f>ROUND(AW92*(1+取值表!$D$8),0)</f>
        <v>713445</v>
      </c>
      <c r="AY92" s="293">
        <f t="shared" ref="AY92" si="1941">AX92</f>
        <v>713445</v>
      </c>
      <c r="AZ92" s="293">
        <f t="shared" ref="AZ92" si="1942">AY92</f>
        <v>713445</v>
      </c>
      <c r="BA92" s="293">
        <f t="shared" ref="BA92" si="1943">AZ92</f>
        <v>713445</v>
      </c>
      <c r="BB92" s="295">
        <f>ROUND(BA92*(1+取值表!$D$8),0)</f>
        <v>779795</v>
      </c>
      <c r="BC92" s="293">
        <f>BB92</f>
        <v>779795</v>
      </c>
      <c r="BD92" s="293">
        <f t="shared" ref="BD92" si="1944">BC92</f>
        <v>779795</v>
      </c>
      <c r="BE92" s="293">
        <f>BD92</f>
        <v>779795</v>
      </c>
      <c r="BF92" s="295">
        <f>ROUND(BE92*(1+取值表!$D$8),0)</f>
        <v>852316</v>
      </c>
      <c r="BG92" s="293">
        <f>BF92</f>
        <v>852316</v>
      </c>
      <c r="BH92" s="293">
        <f t="shared" ref="BH92" si="1945">BG92</f>
        <v>852316</v>
      </c>
      <c r="BI92" s="293">
        <f t="shared" ref="BI92" si="1946">BH92</f>
        <v>852316</v>
      </c>
      <c r="BJ92" s="295">
        <f>ROUND(BI92*(1+取值表!$D$8),0)</f>
        <v>931581</v>
      </c>
      <c r="BK92" s="293">
        <f t="shared" ref="BK92" si="1947">BJ92</f>
        <v>931581</v>
      </c>
      <c r="BL92" s="293">
        <f t="shared" ref="BL92" si="1948">BK92</f>
        <v>931581</v>
      </c>
      <c r="BM92" s="293">
        <f t="shared" ref="BM92" si="1949">BL92</f>
        <v>931581</v>
      </c>
      <c r="BN92" s="295">
        <f>ROUND(BM92*(1+取值表!$D$8),0)</f>
        <v>1018218</v>
      </c>
      <c r="BO92" s="293">
        <f t="shared" ref="BO92" si="1950">BN92</f>
        <v>1018218</v>
      </c>
      <c r="BP92" s="293">
        <f t="shared" ref="BP92" si="1951">BO92</f>
        <v>1018218</v>
      </c>
      <c r="BQ92" s="293">
        <f t="shared" ref="BQ92" si="1952">BP92</f>
        <v>1018218</v>
      </c>
      <c r="BR92" s="295">
        <f>ROUND(BQ92*(1+取值表!$D$8),0)</f>
        <v>1112912</v>
      </c>
      <c r="BS92" s="293">
        <f t="shared" ref="BS92" si="1953">BR92</f>
        <v>1112912</v>
      </c>
      <c r="BT92" s="293">
        <f t="shared" ref="BT92" si="1954">BS92</f>
        <v>1112912</v>
      </c>
      <c r="BU92" s="293">
        <f t="shared" ref="BU92" si="1955">BT92</f>
        <v>1112912</v>
      </c>
      <c r="BV92" s="295">
        <f>ROUND(BU92*(1+取值表!$D$8),0)</f>
        <v>1216413</v>
      </c>
      <c r="BW92" s="293">
        <f t="shared" ref="BW92" si="1956">BV92</f>
        <v>1216413</v>
      </c>
      <c r="BX92" s="293">
        <f t="shared" ref="BX92" si="1957">BW92</f>
        <v>1216413</v>
      </c>
      <c r="BY92" s="293">
        <f t="shared" ref="BY92" si="1958">BX92</f>
        <v>1216413</v>
      </c>
      <c r="BZ92" s="295">
        <f>ROUND(BY92*(1+取值表!$D$8),0)</f>
        <v>1329539</v>
      </c>
      <c r="CA92" s="293">
        <f t="shared" ref="CA92" si="1959">BZ92</f>
        <v>1329539</v>
      </c>
      <c r="CB92" s="293">
        <f t="shared" ref="CB92" si="1960">CA92</f>
        <v>1329539</v>
      </c>
      <c r="CC92" s="293">
        <f t="shared" ref="CC92" si="1961">CB92</f>
        <v>1329539</v>
      </c>
      <c r="CD92" s="295">
        <f>ROUND(CC92*(1+取值表!$D$8),0)</f>
        <v>1453186</v>
      </c>
      <c r="CE92" s="293">
        <f t="shared" ref="CE92" si="1962">CD92</f>
        <v>1453186</v>
      </c>
      <c r="CF92" s="293">
        <f t="shared" ref="CF92" si="1963">CE92</f>
        <v>1453186</v>
      </c>
      <c r="CG92" s="293">
        <f t="shared" ref="CG92" si="1964">CF92</f>
        <v>1453186</v>
      </c>
      <c r="CH92" s="295">
        <f>ROUND(CG92*(1+取值表!$D$8),0)</f>
        <v>1588332</v>
      </c>
      <c r="CI92" s="293">
        <f>CH92</f>
        <v>1588332</v>
      </c>
      <c r="CJ92" s="293">
        <f t="shared" ref="CJ92" si="1965">CI92</f>
        <v>1588332</v>
      </c>
      <c r="CK92" s="293">
        <f t="shared" ref="CK92" si="1966">CJ92</f>
        <v>1588332</v>
      </c>
      <c r="CL92" s="295">
        <f>ROUND(CK92*(1+取值表!$D$8),0)</f>
        <v>1736047</v>
      </c>
      <c r="CM92" s="293">
        <f>CL92</f>
        <v>1736047</v>
      </c>
      <c r="CN92" s="293">
        <f t="shared" ref="CN92" si="1967">CM92</f>
        <v>1736047</v>
      </c>
      <c r="CO92" s="293">
        <f t="shared" ref="CO92" si="1968">CN92</f>
        <v>1736047</v>
      </c>
      <c r="CP92" s="293">
        <f t="shared" si="1468"/>
        <v>69075864</v>
      </c>
    </row>
    <row r="93" spans="1:212" ht="12" customHeight="1">
      <c r="A93" s="670"/>
      <c r="B93" s="645"/>
      <c r="C93" s="646"/>
      <c r="D93" s="647"/>
      <c r="E93" s="648"/>
      <c r="F93" s="642"/>
      <c r="G93" s="642"/>
      <c r="H93" s="643"/>
      <c r="I93" s="291"/>
      <c r="J93" s="295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  <c r="BB93" s="293"/>
      <c r="BC93" s="293"/>
      <c r="BD93" s="293"/>
      <c r="BE93" s="293"/>
      <c r="BF93" s="293"/>
      <c r="BG93" s="293"/>
      <c r="BH93" s="293"/>
      <c r="BI93" s="293"/>
      <c r="BJ93" s="293"/>
      <c r="BK93" s="293"/>
      <c r="BL93" s="293"/>
      <c r="BM93" s="293"/>
      <c r="BN93" s="293"/>
      <c r="BO93" s="293"/>
      <c r="BP93" s="293"/>
      <c r="BQ93" s="293"/>
      <c r="BR93" s="293"/>
      <c r="BS93" s="293"/>
      <c r="BT93" s="293"/>
      <c r="BU93" s="293"/>
      <c r="BV93" s="293"/>
      <c r="BW93" s="293"/>
      <c r="BX93" s="293"/>
      <c r="BY93" s="293"/>
      <c r="BZ93" s="293"/>
      <c r="CA93" s="293"/>
      <c r="CB93" s="293"/>
      <c r="CC93" s="293"/>
      <c r="CD93" s="293"/>
      <c r="CE93" s="293"/>
      <c r="CF93" s="293"/>
      <c r="CG93" s="293"/>
      <c r="CH93" s="293"/>
      <c r="CI93" s="293"/>
      <c r="CJ93" s="293"/>
      <c r="CK93" s="293"/>
      <c r="CL93" s="293"/>
      <c r="CM93" s="293"/>
      <c r="CN93" s="293"/>
      <c r="CO93" s="293"/>
      <c r="CP93" s="293">
        <f t="shared" si="1468"/>
        <v>0</v>
      </c>
    </row>
    <row r="94" spans="1:212" ht="12" customHeight="1">
      <c r="A94" s="669">
        <v>47</v>
      </c>
      <c r="B94" s="645" t="s">
        <v>115</v>
      </c>
      <c r="C94" s="646" t="s">
        <v>111</v>
      </c>
      <c r="D94" s="647" t="s">
        <v>116</v>
      </c>
      <c r="E94" s="648" t="s">
        <v>455</v>
      </c>
      <c r="F94" s="642">
        <v>156.13999999999999</v>
      </c>
      <c r="G94" s="642">
        <v>20</v>
      </c>
      <c r="H94" s="643">
        <f>F94*G94*365</f>
        <v>1139822</v>
      </c>
      <c r="I94" s="291">
        <v>284955.5</v>
      </c>
      <c r="J94" s="295">
        <f>ROUND(G94*F94*365/4,0)</f>
        <v>284956</v>
      </c>
      <c r="K94" s="292">
        <f>J94</f>
        <v>284956</v>
      </c>
      <c r="L94" s="293">
        <f>K94</f>
        <v>284956</v>
      </c>
      <c r="M94" s="293">
        <f>L94</f>
        <v>284956</v>
      </c>
      <c r="N94" s="293">
        <f>ROUND(M94*(1+取值表!$D$10)*取值表!$I$10,0)</f>
        <v>293081</v>
      </c>
      <c r="O94" s="293">
        <f>N94</f>
        <v>293081</v>
      </c>
      <c r="P94" s="293">
        <f>O94</f>
        <v>293081</v>
      </c>
      <c r="Q94" s="293">
        <f>P94</f>
        <v>293081</v>
      </c>
      <c r="R94" s="294">
        <f>ROUND(Q94*(1+取值表!$D$10),0)</f>
        <v>320338</v>
      </c>
      <c r="S94" s="293">
        <f t="shared" ref="S94:T94" si="1969">R94</f>
        <v>320338</v>
      </c>
      <c r="T94" s="293">
        <f t="shared" si="1969"/>
        <v>320338</v>
      </c>
      <c r="U94" s="293">
        <f>T94</f>
        <v>320338</v>
      </c>
      <c r="V94" s="295">
        <f>ROUND(U94*(1+取值表!$D$8),0)</f>
        <v>350129</v>
      </c>
      <c r="W94" s="293">
        <f t="shared" ref="W94:Y94" si="1970">V94</f>
        <v>350129</v>
      </c>
      <c r="X94" s="293">
        <f t="shared" si="1970"/>
        <v>350129</v>
      </c>
      <c r="Y94" s="293">
        <f t="shared" si="1970"/>
        <v>350129</v>
      </c>
      <c r="Z94" s="295">
        <f>ROUND(Y94*(1+取值表!$D$8),0)</f>
        <v>382691</v>
      </c>
      <c r="AA94" s="293">
        <f t="shared" ref="AA94" si="1971">Z94</f>
        <v>382691</v>
      </c>
      <c r="AB94" s="293">
        <f t="shared" ref="AB94" si="1972">AA94</f>
        <v>382691</v>
      </c>
      <c r="AC94" s="293">
        <f>AB94</f>
        <v>382691</v>
      </c>
      <c r="AD94" s="295">
        <f>ROUND(AC94*(1+取值表!$D$8),0)</f>
        <v>418281</v>
      </c>
      <c r="AE94" s="293">
        <f t="shared" ref="AE94" si="1973">AD94</f>
        <v>418281</v>
      </c>
      <c r="AF94" s="293">
        <f t="shared" ref="AF94" si="1974">AE94</f>
        <v>418281</v>
      </c>
      <c r="AG94" s="293">
        <f t="shared" ref="AG94" si="1975">AF94</f>
        <v>418281</v>
      </c>
      <c r="AH94" s="295">
        <f>ROUND(AG94*(1+取值表!$D$8),0)</f>
        <v>457181</v>
      </c>
      <c r="AI94" s="293">
        <f t="shared" ref="AI94" si="1976">AH94</f>
        <v>457181</v>
      </c>
      <c r="AJ94" s="293">
        <f t="shared" ref="AJ94" si="1977">AI94</f>
        <v>457181</v>
      </c>
      <c r="AK94" s="293">
        <f t="shared" ref="AK94" si="1978">AJ94</f>
        <v>457181</v>
      </c>
      <c r="AL94" s="295">
        <f>ROUND(AK94*(1+取值表!$D$8),0)</f>
        <v>499699</v>
      </c>
      <c r="AM94" s="293">
        <f t="shared" ref="AM94" si="1979">AL94</f>
        <v>499699</v>
      </c>
      <c r="AN94" s="293">
        <f t="shared" ref="AN94" si="1980">AM94</f>
        <v>499699</v>
      </c>
      <c r="AO94" s="293">
        <f t="shared" ref="AO94" si="1981">AN94</f>
        <v>499699</v>
      </c>
      <c r="AP94" s="295">
        <f>ROUND(AO94*(1+取值表!$D$8),0)</f>
        <v>546171</v>
      </c>
      <c r="AQ94" s="293">
        <f t="shared" ref="AQ94" si="1982">AP94</f>
        <v>546171</v>
      </c>
      <c r="AR94" s="293">
        <f t="shared" ref="AR94" si="1983">AQ94</f>
        <v>546171</v>
      </c>
      <c r="AS94" s="293">
        <f t="shared" ref="AS94" si="1984">AR94</f>
        <v>546171</v>
      </c>
      <c r="AT94" s="295">
        <f>ROUND(AS94*(1+取值表!$D$8),0)</f>
        <v>596965</v>
      </c>
      <c r="AU94" s="293">
        <f t="shared" ref="AU94" si="1985">AT94</f>
        <v>596965</v>
      </c>
      <c r="AV94" s="293">
        <f t="shared" ref="AV94" si="1986">AU94</f>
        <v>596965</v>
      </c>
      <c r="AW94" s="293">
        <f t="shared" ref="AW94" si="1987">AV94</f>
        <v>596965</v>
      </c>
      <c r="AX94" s="295">
        <f>ROUND(AW94*(1+取值表!$D$8),0)</f>
        <v>652483</v>
      </c>
      <c r="AY94" s="293">
        <f t="shared" ref="AY94" si="1988">AX94</f>
        <v>652483</v>
      </c>
      <c r="AZ94" s="293">
        <f t="shared" ref="AZ94" si="1989">AY94</f>
        <v>652483</v>
      </c>
      <c r="BA94" s="293">
        <f t="shared" ref="BA94" si="1990">AZ94</f>
        <v>652483</v>
      </c>
      <c r="BB94" s="295">
        <f>ROUND(BA94*(1+取值表!$D$8),0)</f>
        <v>713164</v>
      </c>
      <c r="BC94" s="293">
        <f>BB94</f>
        <v>713164</v>
      </c>
      <c r="BD94" s="293">
        <f t="shared" ref="BD94" si="1991">BC94</f>
        <v>713164</v>
      </c>
      <c r="BE94" s="293">
        <f>BD94</f>
        <v>713164</v>
      </c>
      <c r="BF94" s="295">
        <f>ROUND(BE94*(1+取值表!$D$8),0)</f>
        <v>779488</v>
      </c>
      <c r="BG94" s="293">
        <f>BF94</f>
        <v>779488</v>
      </c>
      <c r="BH94" s="293">
        <f t="shared" ref="BH94" si="1992">BG94</f>
        <v>779488</v>
      </c>
      <c r="BI94" s="293">
        <f t="shared" ref="BI94" si="1993">BH94</f>
        <v>779488</v>
      </c>
      <c r="BJ94" s="295">
        <f>ROUND(BI94*(1+取值表!$D$8),0)</f>
        <v>851980</v>
      </c>
      <c r="BK94" s="293">
        <f t="shared" ref="BK94" si="1994">BJ94</f>
        <v>851980</v>
      </c>
      <c r="BL94" s="293">
        <f t="shared" ref="BL94" si="1995">BK94</f>
        <v>851980</v>
      </c>
      <c r="BM94" s="293">
        <f t="shared" ref="BM94" si="1996">BL94</f>
        <v>851980</v>
      </c>
      <c r="BN94" s="295">
        <f>ROUND(BM94*(1+取值表!$D$8),0)</f>
        <v>931214</v>
      </c>
      <c r="BO94" s="293">
        <f t="shared" ref="BO94" si="1997">BN94</f>
        <v>931214</v>
      </c>
      <c r="BP94" s="293">
        <f t="shared" ref="BP94" si="1998">BO94</f>
        <v>931214</v>
      </c>
      <c r="BQ94" s="293">
        <f t="shared" ref="BQ94" si="1999">BP94</f>
        <v>931214</v>
      </c>
      <c r="BR94" s="295">
        <f>ROUND(BQ94*(1+取值表!$D$8),0)</f>
        <v>1017817</v>
      </c>
      <c r="BS94" s="293">
        <f t="shared" ref="BS94" si="2000">BR94</f>
        <v>1017817</v>
      </c>
      <c r="BT94" s="293">
        <f t="shared" ref="BT94" si="2001">BS94</f>
        <v>1017817</v>
      </c>
      <c r="BU94" s="293">
        <f t="shared" ref="BU94" si="2002">BT94</f>
        <v>1017817</v>
      </c>
      <c r="BV94" s="295">
        <f>ROUND(BU94*(1+取值表!$D$8),0)</f>
        <v>1112474</v>
      </c>
      <c r="BW94" s="293">
        <f t="shared" ref="BW94" si="2003">BV94</f>
        <v>1112474</v>
      </c>
      <c r="BX94" s="293">
        <f t="shared" ref="BX94" si="2004">BW94</f>
        <v>1112474</v>
      </c>
      <c r="BY94" s="293">
        <f t="shared" ref="BY94" si="2005">BX94</f>
        <v>1112474</v>
      </c>
      <c r="BZ94" s="295">
        <f>ROUND(BY94*(1+取值表!$D$8),0)</f>
        <v>1215934</v>
      </c>
      <c r="CA94" s="293">
        <f t="shared" ref="CA94" si="2006">BZ94</f>
        <v>1215934</v>
      </c>
      <c r="CB94" s="293">
        <f t="shared" ref="CB94" si="2007">CA94</f>
        <v>1215934</v>
      </c>
      <c r="CC94" s="293">
        <f t="shared" ref="CC94" si="2008">CB94</f>
        <v>1215934</v>
      </c>
      <c r="CD94" s="295">
        <f>ROUND(CC94*(1+取值表!$D$8),0)</f>
        <v>1329016</v>
      </c>
      <c r="CE94" s="293">
        <f t="shared" ref="CE94" si="2009">CD94</f>
        <v>1329016</v>
      </c>
      <c r="CF94" s="293">
        <f t="shared" ref="CF94" si="2010">CE94</f>
        <v>1329016</v>
      </c>
      <c r="CG94" s="293">
        <f t="shared" ref="CG94" si="2011">CF94</f>
        <v>1329016</v>
      </c>
      <c r="CH94" s="295">
        <f>ROUND(CG94*(1+取值表!$D$8),0)</f>
        <v>1452614</v>
      </c>
      <c r="CI94" s="293">
        <f>CH94</f>
        <v>1452614</v>
      </c>
      <c r="CJ94" s="293">
        <f t="shared" ref="CJ94" si="2012">CI94</f>
        <v>1452614</v>
      </c>
      <c r="CK94" s="293">
        <f t="shared" ref="CK94" si="2013">CJ94</f>
        <v>1452614</v>
      </c>
      <c r="CL94" s="295">
        <f>ROUND(CK94*(1+取值表!$D$8),0)</f>
        <v>1587707</v>
      </c>
      <c r="CM94" s="293">
        <f>CL94</f>
        <v>1587707</v>
      </c>
      <c r="CN94" s="293">
        <f t="shared" ref="CN94" si="2014">CM94</f>
        <v>1587707</v>
      </c>
      <c r="CO94" s="293">
        <f t="shared" ref="CO94" si="2015">CN94</f>
        <v>1587707</v>
      </c>
      <c r="CP94" s="293">
        <f t="shared" si="1468"/>
        <v>63173532</v>
      </c>
    </row>
    <row r="95" spans="1:212" ht="12" customHeight="1">
      <c r="A95" s="670"/>
      <c r="B95" s="645"/>
      <c r="C95" s="646"/>
      <c r="D95" s="647"/>
      <c r="E95" s="648"/>
      <c r="F95" s="642"/>
      <c r="G95" s="642"/>
      <c r="H95" s="643"/>
      <c r="I95" s="291"/>
      <c r="J95" s="295"/>
      <c r="K95" s="293"/>
      <c r="L95" s="293"/>
      <c r="M95" s="293"/>
      <c r="N95" s="293"/>
      <c r="O95" s="293"/>
      <c r="P95" s="293"/>
      <c r="Q95" s="293"/>
      <c r="R95" s="293"/>
      <c r="S95" s="293"/>
      <c r="T95" s="293"/>
      <c r="U95" s="293"/>
      <c r="V95" s="293"/>
      <c r="W95" s="293"/>
      <c r="X95" s="293"/>
      <c r="Y95" s="293"/>
      <c r="Z95" s="293"/>
      <c r="AA95" s="293"/>
      <c r="AB95" s="293"/>
      <c r="AC95" s="293"/>
      <c r="AD95" s="293"/>
      <c r="AE95" s="293"/>
      <c r="AF95" s="293"/>
      <c r="AG95" s="293"/>
      <c r="AH95" s="293"/>
      <c r="AI95" s="293"/>
      <c r="AJ95" s="293"/>
      <c r="AK95" s="293"/>
      <c r="AL95" s="293"/>
      <c r="AM95" s="293"/>
      <c r="AN95" s="293"/>
      <c r="AO95" s="293"/>
      <c r="AP95" s="293"/>
      <c r="AQ95" s="293"/>
      <c r="AR95" s="293"/>
      <c r="AS95" s="293"/>
      <c r="AT95" s="293"/>
      <c r="AU95" s="293"/>
      <c r="AV95" s="293"/>
      <c r="AW95" s="293"/>
      <c r="AX95" s="293"/>
      <c r="AY95" s="293"/>
      <c r="AZ95" s="293"/>
      <c r="BA95" s="293"/>
      <c r="BB95" s="293"/>
      <c r="BC95" s="293"/>
      <c r="BD95" s="293"/>
      <c r="BE95" s="293"/>
      <c r="BF95" s="293"/>
      <c r="BG95" s="293"/>
      <c r="BH95" s="293"/>
      <c r="BI95" s="293"/>
      <c r="BJ95" s="293"/>
      <c r="BK95" s="293"/>
      <c r="BL95" s="293"/>
      <c r="BM95" s="293"/>
      <c r="BN95" s="293"/>
      <c r="BO95" s="293"/>
      <c r="BP95" s="293"/>
      <c r="BQ95" s="293"/>
      <c r="BR95" s="293"/>
      <c r="BS95" s="293"/>
      <c r="BT95" s="293"/>
      <c r="BU95" s="293"/>
      <c r="BV95" s="293"/>
      <c r="BW95" s="293"/>
      <c r="BX95" s="293"/>
      <c r="BY95" s="293"/>
      <c r="BZ95" s="293"/>
      <c r="CA95" s="293"/>
      <c r="CB95" s="293"/>
      <c r="CC95" s="293"/>
      <c r="CD95" s="293"/>
      <c r="CE95" s="293"/>
      <c r="CF95" s="293"/>
      <c r="CG95" s="293"/>
      <c r="CH95" s="293"/>
      <c r="CI95" s="293"/>
      <c r="CJ95" s="293"/>
      <c r="CK95" s="293"/>
      <c r="CL95" s="293"/>
      <c r="CM95" s="293"/>
      <c r="CN95" s="293"/>
      <c r="CO95" s="293"/>
      <c r="CP95" s="293">
        <f t="shared" si="1468"/>
        <v>0</v>
      </c>
    </row>
    <row r="96" spans="1:212" ht="12" customHeight="1">
      <c r="A96" s="669">
        <v>48</v>
      </c>
      <c r="B96" s="645" t="s">
        <v>117</v>
      </c>
      <c r="C96" s="646" t="s">
        <v>111</v>
      </c>
      <c r="D96" s="647" t="s">
        <v>118</v>
      </c>
      <c r="E96" s="648" t="s">
        <v>455</v>
      </c>
      <c r="F96" s="642">
        <v>91.25</v>
      </c>
      <c r="G96" s="642">
        <v>17</v>
      </c>
      <c r="H96" s="643">
        <f>F96*G96*365</f>
        <v>566206.25</v>
      </c>
      <c r="I96" s="291">
        <v>141551.56</v>
      </c>
      <c r="J96" s="292">
        <f>ROUND(G96*F96*365/4,0)</f>
        <v>141552</v>
      </c>
      <c r="K96" s="293">
        <f>J96</f>
        <v>141552</v>
      </c>
      <c r="L96" s="293">
        <f>K96</f>
        <v>141552</v>
      </c>
      <c r="M96" s="293">
        <f>L96</f>
        <v>141552</v>
      </c>
      <c r="N96" s="293">
        <f>ROUND(M96*(1+取值表!$D$10)*取值表!$I$10,0)</f>
        <v>145588</v>
      </c>
      <c r="O96" s="293">
        <f>N96</f>
        <v>145588</v>
      </c>
      <c r="P96" s="293">
        <f>O96</f>
        <v>145588</v>
      </c>
      <c r="Q96" s="293">
        <f>P96</f>
        <v>145588</v>
      </c>
      <c r="R96" s="294">
        <f>ROUND(Q96*(1+取值表!$D$10),0)</f>
        <v>159128</v>
      </c>
      <c r="S96" s="293">
        <f t="shared" ref="S96:T96" si="2016">R96</f>
        <v>159128</v>
      </c>
      <c r="T96" s="293">
        <f t="shared" si="2016"/>
        <v>159128</v>
      </c>
      <c r="U96" s="293">
        <f>T96</f>
        <v>159128</v>
      </c>
      <c r="V96" s="295">
        <f>ROUND(U96*(1+取值表!$D$8),0)</f>
        <v>173927</v>
      </c>
      <c r="W96" s="293">
        <f t="shared" ref="W96:Y96" si="2017">V96</f>
        <v>173927</v>
      </c>
      <c r="X96" s="293">
        <f t="shared" si="2017"/>
        <v>173927</v>
      </c>
      <c r="Y96" s="293">
        <f t="shared" si="2017"/>
        <v>173927</v>
      </c>
      <c r="Z96" s="295">
        <f>ROUND(Y96*(1+取值表!$D$8),0)</f>
        <v>190102</v>
      </c>
      <c r="AA96" s="293">
        <f t="shared" ref="AA96" si="2018">Z96</f>
        <v>190102</v>
      </c>
      <c r="AB96" s="293">
        <f t="shared" ref="AB96" si="2019">AA96</f>
        <v>190102</v>
      </c>
      <c r="AC96" s="293">
        <f>AB96</f>
        <v>190102</v>
      </c>
      <c r="AD96" s="295">
        <f>ROUND(AC96*(1+取值表!$D$8),0)</f>
        <v>207781</v>
      </c>
      <c r="AE96" s="293">
        <f t="shared" ref="AE96" si="2020">AD96</f>
        <v>207781</v>
      </c>
      <c r="AF96" s="293">
        <f t="shared" ref="AF96" si="2021">AE96</f>
        <v>207781</v>
      </c>
      <c r="AG96" s="293">
        <f t="shared" ref="AG96" si="2022">AF96</f>
        <v>207781</v>
      </c>
      <c r="AH96" s="295">
        <f>ROUND(AG96*(1+取值表!$D$8),0)</f>
        <v>227105</v>
      </c>
      <c r="AI96" s="293">
        <f t="shared" ref="AI96" si="2023">AH96</f>
        <v>227105</v>
      </c>
      <c r="AJ96" s="293">
        <f t="shared" ref="AJ96" si="2024">AI96</f>
        <v>227105</v>
      </c>
      <c r="AK96" s="293">
        <f t="shared" ref="AK96" si="2025">AJ96</f>
        <v>227105</v>
      </c>
      <c r="AL96" s="295">
        <f>ROUND(AK96*(1+取值表!$D$8),0)</f>
        <v>248226</v>
      </c>
      <c r="AM96" s="293">
        <f t="shared" ref="AM96" si="2026">AL96</f>
        <v>248226</v>
      </c>
      <c r="AN96" s="293">
        <f t="shared" ref="AN96" si="2027">AM96</f>
        <v>248226</v>
      </c>
      <c r="AO96" s="293">
        <f t="shared" ref="AO96" si="2028">AN96</f>
        <v>248226</v>
      </c>
      <c r="AP96" s="295">
        <f>ROUND(AO96*(1+取值表!$D$8),0)</f>
        <v>271311</v>
      </c>
      <c r="AQ96" s="293">
        <f t="shared" ref="AQ96" si="2029">AP96</f>
        <v>271311</v>
      </c>
      <c r="AR96" s="293">
        <f t="shared" ref="AR96" si="2030">AQ96</f>
        <v>271311</v>
      </c>
      <c r="AS96" s="293">
        <f t="shared" ref="AS96" si="2031">AR96</f>
        <v>271311</v>
      </c>
      <c r="AT96" s="295">
        <f>ROUND(AS96*(1+取值表!$D$8),0)</f>
        <v>296543</v>
      </c>
      <c r="AU96" s="293">
        <f t="shared" ref="AU96" si="2032">AT96</f>
        <v>296543</v>
      </c>
      <c r="AV96" s="293">
        <f t="shared" ref="AV96" si="2033">AU96</f>
        <v>296543</v>
      </c>
      <c r="AW96" s="293">
        <f t="shared" ref="AW96" si="2034">AV96</f>
        <v>296543</v>
      </c>
      <c r="AX96" s="295">
        <f>ROUND(AW96*(1+取值表!$D$8),0)</f>
        <v>324121</v>
      </c>
      <c r="AY96" s="293">
        <f t="shared" ref="AY96" si="2035">AX96</f>
        <v>324121</v>
      </c>
      <c r="AZ96" s="293">
        <f t="shared" ref="AZ96" si="2036">AY96</f>
        <v>324121</v>
      </c>
      <c r="BA96" s="293">
        <f t="shared" ref="BA96" si="2037">AZ96</f>
        <v>324121</v>
      </c>
      <c r="BB96" s="295">
        <f>ROUND(BA96*(1+取值表!$D$8),0)</f>
        <v>354264</v>
      </c>
      <c r="BC96" s="293">
        <f>BB96</f>
        <v>354264</v>
      </c>
      <c r="BD96" s="293">
        <f t="shared" ref="BD96" si="2038">BC96</f>
        <v>354264</v>
      </c>
      <c r="BE96" s="293">
        <f>BD96</f>
        <v>354264</v>
      </c>
      <c r="BF96" s="295">
        <f>ROUND(BE96*(1+取值表!$D$8),0)</f>
        <v>387211</v>
      </c>
      <c r="BG96" s="293">
        <f>BF96</f>
        <v>387211</v>
      </c>
      <c r="BH96" s="293">
        <f t="shared" ref="BH96" si="2039">BG96</f>
        <v>387211</v>
      </c>
      <c r="BI96" s="293">
        <f t="shared" ref="BI96" si="2040">BH96</f>
        <v>387211</v>
      </c>
      <c r="BJ96" s="295">
        <f>ROUND(BI96*(1+取值表!$D$8),0)</f>
        <v>423222</v>
      </c>
      <c r="BK96" s="293">
        <f t="shared" ref="BK96" si="2041">BJ96</f>
        <v>423222</v>
      </c>
      <c r="BL96" s="293">
        <f t="shared" ref="BL96" si="2042">BK96</f>
        <v>423222</v>
      </c>
      <c r="BM96" s="293">
        <f t="shared" ref="BM96" si="2043">BL96</f>
        <v>423222</v>
      </c>
      <c r="BN96" s="295">
        <f>ROUND(BM96*(1+取值表!$D$8),0)</f>
        <v>462582</v>
      </c>
      <c r="BO96" s="293">
        <f t="shared" ref="BO96" si="2044">BN96</f>
        <v>462582</v>
      </c>
      <c r="BP96" s="293">
        <f t="shared" ref="BP96" si="2045">BO96</f>
        <v>462582</v>
      </c>
      <c r="BQ96" s="293">
        <f t="shared" ref="BQ96" si="2046">BP96</f>
        <v>462582</v>
      </c>
      <c r="BR96" s="295">
        <f>ROUND(BQ96*(1+取值表!$D$8),0)</f>
        <v>505602</v>
      </c>
      <c r="BS96" s="293">
        <f t="shared" ref="BS96" si="2047">BR96</f>
        <v>505602</v>
      </c>
      <c r="BT96" s="293">
        <f t="shared" ref="BT96" si="2048">BS96</f>
        <v>505602</v>
      </c>
      <c r="BU96" s="293">
        <f t="shared" ref="BU96" si="2049">BT96</f>
        <v>505602</v>
      </c>
      <c r="BV96" s="295">
        <f>ROUND(BU96*(1+取值表!$D$8),0)</f>
        <v>552623</v>
      </c>
      <c r="BW96" s="293">
        <f t="shared" ref="BW96" si="2050">BV96</f>
        <v>552623</v>
      </c>
      <c r="BX96" s="293">
        <f t="shared" ref="BX96" si="2051">BW96</f>
        <v>552623</v>
      </c>
      <c r="BY96" s="293">
        <f t="shared" ref="BY96" si="2052">BX96</f>
        <v>552623</v>
      </c>
      <c r="BZ96" s="295">
        <f>ROUND(BY96*(1+取值表!$D$8),0)</f>
        <v>604017</v>
      </c>
      <c r="CA96" s="293">
        <f t="shared" ref="CA96" si="2053">BZ96</f>
        <v>604017</v>
      </c>
      <c r="CB96" s="293">
        <f t="shared" ref="CB96" si="2054">CA96</f>
        <v>604017</v>
      </c>
      <c r="CC96" s="293">
        <f t="shared" ref="CC96" si="2055">CB96</f>
        <v>604017</v>
      </c>
      <c r="CD96" s="295">
        <f>ROUND(CC96*(1+取值表!$D$8),0)</f>
        <v>660191</v>
      </c>
      <c r="CE96" s="293">
        <f t="shared" ref="CE96" si="2056">CD96</f>
        <v>660191</v>
      </c>
      <c r="CF96" s="293">
        <f t="shared" ref="CF96" si="2057">CE96</f>
        <v>660191</v>
      </c>
      <c r="CG96" s="293">
        <f t="shared" ref="CG96" si="2058">CF96</f>
        <v>660191</v>
      </c>
      <c r="CH96" s="295">
        <f>ROUND(CG96*(1+取值表!$D$8),0)</f>
        <v>721589</v>
      </c>
      <c r="CI96" s="293">
        <f>CH96</f>
        <v>721589</v>
      </c>
      <c r="CJ96" s="293">
        <f t="shared" ref="CJ96" si="2059">CI96</f>
        <v>721589</v>
      </c>
      <c r="CK96" s="293">
        <f t="shared" ref="CK96" si="2060">CJ96</f>
        <v>721589</v>
      </c>
      <c r="CL96" s="295">
        <f>ROUND(CK96*(1+取值表!$D$8),0)</f>
        <v>788697</v>
      </c>
      <c r="CM96" s="293">
        <f>CL96</f>
        <v>788697</v>
      </c>
      <c r="CN96" s="293">
        <f t="shared" ref="CN96" si="2061">CM96</f>
        <v>788697</v>
      </c>
      <c r="CO96" s="293">
        <f t="shared" ref="CO96" si="2062">CN96</f>
        <v>788697</v>
      </c>
      <c r="CP96" s="293">
        <f t="shared" si="1468"/>
        <v>31381528</v>
      </c>
    </row>
    <row r="97" spans="1:94" ht="12" customHeight="1">
      <c r="A97" s="670"/>
      <c r="B97" s="645"/>
      <c r="C97" s="646"/>
      <c r="D97" s="647"/>
      <c r="E97" s="648"/>
      <c r="F97" s="642"/>
      <c r="G97" s="642"/>
      <c r="H97" s="643"/>
      <c r="I97" s="291"/>
      <c r="J97" s="295"/>
      <c r="K97" s="293"/>
      <c r="L97" s="293"/>
      <c r="M97" s="293"/>
      <c r="N97" s="293"/>
      <c r="O97" s="293"/>
      <c r="P97" s="293"/>
      <c r="Q97" s="293"/>
      <c r="R97" s="293"/>
      <c r="S97" s="293"/>
      <c r="T97" s="293"/>
      <c r="U97" s="293"/>
      <c r="V97" s="293"/>
      <c r="W97" s="293"/>
      <c r="X97" s="293"/>
      <c r="Y97" s="293"/>
      <c r="Z97" s="293"/>
      <c r="AA97" s="293"/>
      <c r="AB97" s="293"/>
      <c r="AC97" s="293"/>
      <c r="AD97" s="293"/>
      <c r="AE97" s="293"/>
      <c r="AF97" s="293"/>
      <c r="AG97" s="293"/>
      <c r="AH97" s="293"/>
      <c r="AI97" s="293"/>
      <c r="AJ97" s="293"/>
      <c r="AK97" s="293"/>
      <c r="AL97" s="293"/>
      <c r="AM97" s="293"/>
      <c r="AN97" s="293"/>
      <c r="AO97" s="293"/>
      <c r="AP97" s="293"/>
      <c r="AQ97" s="293"/>
      <c r="AR97" s="293"/>
      <c r="AS97" s="293"/>
      <c r="AT97" s="293"/>
      <c r="AU97" s="293"/>
      <c r="AV97" s="293"/>
      <c r="AW97" s="293"/>
      <c r="AX97" s="293"/>
      <c r="AY97" s="293"/>
      <c r="AZ97" s="293"/>
      <c r="BA97" s="293"/>
      <c r="BB97" s="293"/>
      <c r="BC97" s="293"/>
      <c r="BD97" s="293"/>
      <c r="BE97" s="293"/>
      <c r="BF97" s="293"/>
      <c r="BG97" s="293"/>
      <c r="BH97" s="293"/>
      <c r="BI97" s="293"/>
      <c r="BJ97" s="293"/>
      <c r="BK97" s="293"/>
      <c r="BL97" s="293"/>
      <c r="BM97" s="293"/>
      <c r="BN97" s="293"/>
      <c r="BO97" s="293"/>
      <c r="BP97" s="293"/>
      <c r="BQ97" s="293"/>
      <c r="BR97" s="293"/>
      <c r="BS97" s="293"/>
      <c r="BT97" s="293"/>
      <c r="BU97" s="293"/>
      <c r="BV97" s="293"/>
      <c r="BW97" s="293"/>
      <c r="BX97" s="293"/>
      <c r="BY97" s="293"/>
      <c r="BZ97" s="293"/>
      <c r="CA97" s="293"/>
      <c r="CB97" s="293"/>
      <c r="CC97" s="293"/>
      <c r="CD97" s="293"/>
      <c r="CE97" s="293"/>
      <c r="CF97" s="293"/>
      <c r="CG97" s="293"/>
      <c r="CH97" s="293"/>
      <c r="CI97" s="293"/>
      <c r="CJ97" s="293"/>
      <c r="CK97" s="293"/>
      <c r="CL97" s="293"/>
      <c r="CM97" s="293"/>
      <c r="CN97" s="293"/>
      <c r="CO97" s="293"/>
      <c r="CP97" s="293">
        <f t="shared" si="1468"/>
        <v>0</v>
      </c>
    </row>
    <row r="98" spans="1:94">
      <c r="A98" s="669">
        <v>49</v>
      </c>
      <c r="B98" s="645" t="s">
        <v>119</v>
      </c>
      <c r="C98" s="646" t="s">
        <v>697</v>
      </c>
      <c r="D98" s="647" t="s">
        <v>461</v>
      </c>
      <c r="E98" s="648" t="s">
        <v>455</v>
      </c>
      <c r="F98" s="642">
        <v>8.65</v>
      </c>
      <c r="G98" s="642">
        <v>35</v>
      </c>
      <c r="H98" s="643">
        <f>F98*G98*365</f>
        <v>110503.75</v>
      </c>
      <c r="I98" s="291">
        <f>18943.5+3157.25</f>
        <v>22100.75</v>
      </c>
      <c r="J98" s="295">
        <f>ROUND(F98*G98*365/4,0)</f>
        <v>27626</v>
      </c>
      <c r="K98" s="293">
        <f>J98</f>
        <v>27626</v>
      </c>
      <c r="L98" s="292">
        <f>K98</f>
        <v>27626</v>
      </c>
      <c r="M98" s="293">
        <f>L98</f>
        <v>27626</v>
      </c>
      <c r="N98" s="293">
        <f>ROUND(M98*(1+取值表!$D$10)*取值表!$I$10,0)</f>
        <v>28414</v>
      </c>
      <c r="O98" s="293">
        <f>N98</f>
        <v>28414</v>
      </c>
      <c r="P98" s="293">
        <f>O98</f>
        <v>28414</v>
      </c>
      <c r="Q98" s="293">
        <f>P98</f>
        <v>28414</v>
      </c>
      <c r="R98" s="294">
        <f>ROUND(Q98*(1+取值表!$D$10),0)</f>
        <v>31057</v>
      </c>
      <c r="S98" s="293">
        <f t="shared" ref="S98:T98" si="2063">R98</f>
        <v>31057</v>
      </c>
      <c r="T98" s="293">
        <f t="shared" si="2063"/>
        <v>31057</v>
      </c>
      <c r="U98" s="293">
        <f>T98</f>
        <v>31057</v>
      </c>
      <c r="V98" s="295">
        <f>ROUND(U98*(1+取值表!$D$8),0)</f>
        <v>33945</v>
      </c>
      <c r="W98" s="293">
        <f t="shared" ref="W98:Y98" si="2064">V98</f>
        <v>33945</v>
      </c>
      <c r="X98" s="293">
        <f t="shared" si="2064"/>
        <v>33945</v>
      </c>
      <c r="Y98" s="293">
        <f t="shared" si="2064"/>
        <v>33945</v>
      </c>
      <c r="Z98" s="295">
        <f>ROUND(Y98*(1+取值表!$D$8),0)</f>
        <v>37102</v>
      </c>
      <c r="AA98" s="293">
        <f t="shared" ref="AA98" si="2065">Z98</f>
        <v>37102</v>
      </c>
      <c r="AB98" s="293">
        <f t="shared" ref="AB98" si="2066">AA98</f>
        <v>37102</v>
      </c>
      <c r="AC98" s="293">
        <f>AB98</f>
        <v>37102</v>
      </c>
      <c r="AD98" s="295">
        <f>ROUND(AC98*(1+取值表!$D$8),0)</f>
        <v>40552</v>
      </c>
      <c r="AE98" s="293">
        <f t="shared" ref="AE98" si="2067">AD98</f>
        <v>40552</v>
      </c>
      <c r="AF98" s="293">
        <f t="shared" ref="AF98" si="2068">AE98</f>
        <v>40552</v>
      </c>
      <c r="AG98" s="293">
        <f t="shared" ref="AG98" si="2069">AF98</f>
        <v>40552</v>
      </c>
      <c r="AH98" s="295">
        <f>ROUND(AG98*(1+取值表!$D$8),0)</f>
        <v>44323</v>
      </c>
      <c r="AI98" s="293">
        <f t="shared" ref="AI98" si="2070">AH98</f>
        <v>44323</v>
      </c>
      <c r="AJ98" s="293">
        <f t="shared" ref="AJ98" si="2071">AI98</f>
        <v>44323</v>
      </c>
      <c r="AK98" s="293">
        <f t="shared" ref="AK98" si="2072">AJ98</f>
        <v>44323</v>
      </c>
      <c r="AL98" s="295">
        <f>ROUND(AK98*(1+取值表!$D$8),0)</f>
        <v>48445</v>
      </c>
      <c r="AM98" s="293">
        <f t="shared" ref="AM98" si="2073">AL98</f>
        <v>48445</v>
      </c>
      <c r="AN98" s="293">
        <f t="shared" ref="AN98" si="2074">AM98</f>
        <v>48445</v>
      </c>
      <c r="AO98" s="293">
        <f t="shared" ref="AO98" si="2075">AN98</f>
        <v>48445</v>
      </c>
      <c r="AP98" s="295">
        <f>ROUND(AO98*(1+取值表!$D$8),0)</f>
        <v>52950</v>
      </c>
      <c r="AQ98" s="293">
        <f t="shared" ref="AQ98" si="2076">AP98</f>
        <v>52950</v>
      </c>
      <c r="AR98" s="293">
        <f t="shared" ref="AR98" si="2077">AQ98</f>
        <v>52950</v>
      </c>
      <c r="AS98" s="293">
        <f t="shared" ref="AS98" si="2078">AR98</f>
        <v>52950</v>
      </c>
      <c r="AT98" s="295">
        <f>ROUND(AS98*(1+取值表!$D$8),0)</f>
        <v>57874</v>
      </c>
      <c r="AU98" s="293">
        <f t="shared" ref="AU98" si="2079">AT98</f>
        <v>57874</v>
      </c>
      <c r="AV98" s="293">
        <f t="shared" ref="AV98" si="2080">AU98</f>
        <v>57874</v>
      </c>
      <c r="AW98" s="293">
        <f t="shared" ref="AW98" si="2081">AV98</f>
        <v>57874</v>
      </c>
      <c r="AX98" s="295">
        <f>ROUND(AW98*(1+取值表!$D$8),0)</f>
        <v>63256</v>
      </c>
      <c r="AY98" s="293">
        <f t="shared" ref="AY98" si="2082">AX98</f>
        <v>63256</v>
      </c>
      <c r="AZ98" s="293">
        <f t="shared" ref="AZ98" si="2083">AY98</f>
        <v>63256</v>
      </c>
      <c r="BA98" s="293">
        <f t="shared" ref="BA98" si="2084">AZ98</f>
        <v>63256</v>
      </c>
      <c r="BB98" s="295">
        <f>ROUND(BA98*(1+取值表!$D$8),0)</f>
        <v>69139</v>
      </c>
      <c r="BC98" s="293">
        <f>BB98</f>
        <v>69139</v>
      </c>
      <c r="BD98" s="293">
        <f t="shared" ref="BD98" si="2085">BC98</f>
        <v>69139</v>
      </c>
      <c r="BE98" s="293">
        <f>BD98</f>
        <v>69139</v>
      </c>
      <c r="BF98" s="295">
        <f>ROUND(BE98*(1+取值表!$D$8),0)</f>
        <v>75569</v>
      </c>
      <c r="BG98" s="293">
        <f>BF98</f>
        <v>75569</v>
      </c>
      <c r="BH98" s="293">
        <f t="shared" ref="BH98" si="2086">BG98</f>
        <v>75569</v>
      </c>
      <c r="BI98" s="293">
        <f t="shared" ref="BI98" si="2087">BH98</f>
        <v>75569</v>
      </c>
      <c r="BJ98" s="295">
        <f>ROUND(BI98*(1+取值表!$D$8),0)</f>
        <v>82597</v>
      </c>
      <c r="BK98" s="293">
        <f t="shared" ref="BK98" si="2088">BJ98</f>
        <v>82597</v>
      </c>
      <c r="BL98" s="293">
        <f t="shared" ref="BL98" si="2089">BK98</f>
        <v>82597</v>
      </c>
      <c r="BM98" s="293">
        <f t="shared" ref="BM98" si="2090">BL98</f>
        <v>82597</v>
      </c>
      <c r="BN98" s="295">
        <f>ROUND(BM98*(1+取值表!$D$8),0)</f>
        <v>90279</v>
      </c>
      <c r="BO98" s="293">
        <f t="shared" ref="BO98" si="2091">BN98</f>
        <v>90279</v>
      </c>
      <c r="BP98" s="293">
        <f t="shared" ref="BP98" si="2092">BO98</f>
        <v>90279</v>
      </c>
      <c r="BQ98" s="293">
        <f t="shared" ref="BQ98" si="2093">BP98</f>
        <v>90279</v>
      </c>
      <c r="BR98" s="295">
        <f>ROUND(BQ98*(1+取值表!$D$8),0)</f>
        <v>98675</v>
      </c>
      <c r="BS98" s="293">
        <f t="shared" ref="BS98" si="2094">BR98</f>
        <v>98675</v>
      </c>
      <c r="BT98" s="293">
        <f t="shared" ref="BT98" si="2095">BS98</f>
        <v>98675</v>
      </c>
      <c r="BU98" s="293">
        <f t="shared" ref="BU98" si="2096">BT98</f>
        <v>98675</v>
      </c>
      <c r="BV98" s="295">
        <f>ROUND(BU98*(1+取值表!$D$8),0)</f>
        <v>107852</v>
      </c>
      <c r="BW98" s="293">
        <f t="shared" ref="BW98" si="2097">BV98</f>
        <v>107852</v>
      </c>
      <c r="BX98" s="293">
        <f t="shared" ref="BX98" si="2098">BW98</f>
        <v>107852</v>
      </c>
      <c r="BY98" s="293">
        <f t="shared" ref="BY98" si="2099">BX98</f>
        <v>107852</v>
      </c>
      <c r="BZ98" s="295">
        <f>ROUND(BY98*(1+取值表!$D$8),0)</f>
        <v>117882</v>
      </c>
      <c r="CA98" s="293">
        <f t="shared" ref="CA98" si="2100">BZ98</f>
        <v>117882</v>
      </c>
      <c r="CB98" s="293">
        <f t="shared" ref="CB98" si="2101">CA98</f>
        <v>117882</v>
      </c>
      <c r="CC98" s="293">
        <f t="shared" ref="CC98" si="2102">CB98</f>
        <v>117882</v>
      </c>
      <c r="CD98" s="295">
        <f>ROUND(CC98*(1+取值表!$D$8),0)</f>
        <v>128845</v>
      </c>
      <c r="CE98" s="293">
        <f t="shared" ref="CE98" si="2103">CD98</f>
        <v>128845</v>
      </c>
      <c r="CF98" s="293">
        <f t="shared" ref="CF98" si="2104">CE98</f>
        <v>128845</v>
      </c>
      <c r="CG98" s="293">
        <f t="shared" ref="CG98" si="2105">CF98</f>
        <v>128845</v>
      </c>
      <c r="CH98" s="295">
        <f>ROUND(CG98*(1+取值表!$D$8),0)</f>
        <v>140828</v>
      </c>
      <c r="CI98" s="293">
        <f>CH98</f>
        <v>140828</v>
      </c>
      <c r="CJ98" s="293">
        <f t="shared" ref="CJ98" si="2106">CI98</f>
        <v>140828</v>
      </c>
      <c r="CK98" s="293">
        <f t="shared" ref="CK98" si="2107">CJ98</f>
        <v>140828</v>
      </c>
      <c r="CL98" s="295">
        <f>ROUND(CK98*(1+取值表!$D$8),0)</f>
        <v>153925</v>
      </c>
      <c r="CM98" s="293">
        <f>CL98</f>
        <v>153925</v>
      </c>
      <c r="CN98" s="293">
        <f t="shared" ref="CN98" si="2108">CM98</f>
        <v>153925</v>
      </c>
      <c r="CO98" s="293">
        <f t="shared" ref="CO98" si="2109">CN98</f>
        <v>153925</v>
      </c>
      <c r="CP98" s="293">
        <f t="shared" si="1468"/>
        <v>6124540</v>
      </c>
    </row>
    <row r="99" spans="1:94">
      <c r="A99" s="670"/>
      <c r="B99" s="645"/>
      <c r="C99" s="646"/>
      <c r="D99" s="647"/>
      <c r="E99" s="648"/>
      <c r="F99" s="642"/>
      <c r="G99" s="642"/>
      <c r="H99" s="643"/>
      <c r="I99" s="291"/>
      <c r="J99" s="295"/>
      <c r="K99" s="293"/>
      <c r="L99" s="293"/>
      <c r="M99" s="293"/>
      <c r="N99" s="293"/>
      <c r="O99" s="293"/>
      <c r="P99" s="293"/>
      <c r="Q99" s="293"/>
      <c r="R99" s="293"/>
      <c r="S99" s="293"/>
      <c r="T99" s="293"/>
      <c r="U99" s="293"/>
      <c r="V99" s="293"/>
      <c r="W99" s="293"/>
      <c r="X99" s="293"/>
      <c r="Y99" s="293"/>
      <c r="Z99" s="293"/>
      <c r="AA99" s="293"/>
      <c r="AB99" s="293"/>
      <c r="AC99" s="293"/>
      <c r="AD99" s="293"/>
      <c r="AE99" s="293"/>
      <c r="AF99" s="293"/>
      <c r="AG99" s="293"/>
      <c r="AH99" s="293"/>
      <c r="AI99" s="293"/>
      <c r="AJ99" s="293"/>
      <c r="AK99" s="293"/>
      <c r="AL99" s="293"/>
      <c r="AM99" s="293"/>
      <c r="AN99" s="293"/>
      <c r="AO99" s="293"/>
      <c r="AP99" s="293"/>
      <c r="AQ99" s="293"/>
      <c r="AR99" s="293"/>
      <c r="AS99" s="293"/>
      <c r="AT99" s="293"/>
      <c r="AU99" s="293"/>
      <c r="AV99" s="293"/>
      <c r="AW99" s="293"/>
      <c r="AX99" s="293"/>
      <c r="AY99" s="293"/>
      <c r="AZ99" s="293"/>
      <c r="BA99" s="293"/>
      <c r="BB99" s="293"/>
      <c r="BC99" s="293"/>
      <c r="BD99" s="293"/>
      <c r="BE99" s="293"/>
      <c r="BF99" s="293"/>
      <c r="BG99" s="293"/>
      <c r="BH99" s="293"/>
      <c r="BI99" s="293"/>
      <c r="BJ99" s="293"/>
      <c r="BK99" s="293"/>
      <c r="BL99" s="293"/>
      <c r="BM99" s="293"/>
      <c r="BN99" s="293"/>
      <c r="BO99" s="293"/>
      <c r="BP99" s="293"/>
      <c r="BQ99" s="293"/>
      <c r="BR99" s="293"/>
      <c r="BS99" s="293"/>
      <c r="BT99" s="293"/>
      <c r="BU99" s="293"/>
      <c r="BV99" s="293"/>
      <c r="BW99" s="293"/>
      <c r="BX99" s="293"/>
      <c r="BY99" s="293"/>
      <c r="BZ99" s="293"/>
      <c r="CA99" s="293"/>
      <c r="CB99" s="293"/>
      <c r="CC99" s="293"/>
      <c r="CD99" s="293"/>
      <c r="CE99" s="293"/>
      <c r="CF99" s="293"/>
      <c r="CG99" s="293"/>
      <c r="CH99" s="293"/>
      <c r="CI99" s="293"/>
      <c r="CJ99" s="293"/>
      <c r="CK99" s="293"/>
      <c r="CL99" s="293"/>
      <c r="CM99" s="293"/>
      <c r="CN99" s="293"/>
      <c r="CO99" s="293"/>
      <c r="CP99" s="293">
        <f t="shared" si="1468"/>
        <v>0</v>
      </c>
    </row>
    <row r="100" spans="1:94" s="299" customFormat="1" ht="12.75" customHeight="1">
      <c r="A100" s="669">
        <v>50</v>
      </c>
      <c r="B100" s="658" t="s">
        <v>120</v>
      </c>
      <c r="C100" s="659" t="s">
        <v>121</v>
      </c>
      <c r="D100" s="647" t="s">
        <v>122</v>
      </c>
      <c r="E100" s="660" t="s">
        <v>455</v>
      </c>
      <c r="F100" s="661">
        <v>6.7</v>
      </c>
      <c r="G100" s="661">
        <v>35</v>
      </c>
      <c r="H100" s="662">
        <f>F100*G100*365</f>
        <v>85592.5</v>
      </c>
      <c r="I100" s="298">
        <v>21398.12</v>
      </c>
      <c r="J100" s="295">
        <f>ROUND(F100*G100*365/4,0)</f>
        <v>21398</v>
      </c>
      <c r="K100" s="292">
        <f>J100</f>
        <v>21398</v>
      </c>
      <c r="L100" s="295">
        <f>K100</f>
        <v>21398</v>
      </c>
      <c r="M100" s="295">
        <f>L100</f>
        <v>21398</v>
      </c>
      <c r="N100" s="293">
        <f>ROUND(M100*(1+取值表!$D$10)*取值表!$I$10,0)</f>
        <v>22008</v>
      </c>
      <c r="O100" s="295">
        <f>N100</f>
        <v>22008</v>
      </c>
      <c r="P100" s="295">
        <f>O100</f>
        <v>22008</v>
      </c>
      <c r="Q100" s="295">
        <f>P100</f>
        <v>22008</v>
      </c>
      <c r="R100" s="294">
        <f>ROUND(Q100*(1+取值表!$D$10),0)</f>
        <v>24055</v>
      </c>
      <c r="S100" s="295">
        <f t="shared" ref="S100:T100" si="2110">R100</f>
        <v>24055</v>
      </c>
      <c r="T100" s="295">
        <f t="shared" si="2110"/>
        <v>24055</v>
      </c>
      <c r="U100" s="295">
        <f>T100</f>
        <v>24055</v>
      </c>
      <c r="V100" s="295">
        <f>ROUND(U100*(1+取值表!$D$8),0)</f>
        <v>26292</v>
      </c>
      <c r="W100" s="295">
        <f t="shared" ref="W100:Y100" si="2111">V100</f>
        <v>26292</v>
      </c>
      <c r="X100" s="295">
        <f t="shared" si="2111"/>
        <v>26292</v>
      </c>
      <c r="Y100" s="295">
        <f t="shared" si="2111"/>
        <v>26292</v>
      </c>
      <c r="Z100" s="295">
        <f>ROUND(Y100*(1+取值表!$D$8),0)</f>
        <v>28737</v>
      </c>
      <c r="AA100" s="295">
        <f t="shared" ref="AA100" si="2112">Z100</f>
        <v>28737</v>
      </c>
      <c r="AB100" s="295">
        <f t="shared" ref="AB100" si="2113">AA100</f>
        <v>28737</v>
      </c>
      <c r="AC100" s="295">
        <f>AB100</f>
        <v>28737</v>
      </c>
      <c r="AD100" s="295">
        <f>ROUND(AC100*(1+取值表!$D$8),0)</f>
        <v>31410</v>
      </c>
      <c r="AE100" s="295">
        <f t="shared" ref="AE100" si="2114">AD100</f>
        <v>31410</v>
      </c>
      <c r="AF100" s="295">
        <f t="shared" ref="AF100" si="2115">AE100</f>
        <v>31410</v>
      </c>
      <c r="AG100" s="295">
        <f t="shared" ref="AG100" si="2116">AF100</f>
        <v>31410</v>
      </c>
      <c r="AH100" s="295">
        <f>ROUND(AG100*(1+取值表!$D$8),0)</f>
        <v>34331</v>
      </c>
      <c r="AI100" s="295">
        <f t="shared" ref="AI100" si="2117">AH100</f>
        <v>34331</v>
      </c>
      <c r="AJ100" s="295">
        <f t="shared" ref="AJ100" si="2118">AI100</f>
        <v>34331</v>
      </c>
      <c r="AK100" s="295">
        <f t="shared" ref="AK100" si="2119">AJ100</f>
        <v>34331</v>
      </c>
      <c r="AL100" s="295">
        <f>ROUND(AK100*(1+取值表!$D$8),0)</f>
        <v>37524</v>
      </c>
      <c r="AM100" s="295">
        <f t="shared" ref="AM100" si="2120">AL100</f>
        <v>37524</v>
      </c>
      <c r="AN100" s="295">
        <f t="shared" ref="AN100" si="2121">AM100</f>
        <v>37524</v>
      </c>
      <c r="AO100" s="295">
        <f t="shared" ref="AO100" si="2122">AN100</f>
        <v>37524</v>
      </c>
      <c r="AP100" s="295">
        <f>ROUND(AO100*(1+取值表!$D$8),0)</f>
        <v>41014</v>
      </c>
      <c r="AQ100" s="295">
        <f t="shared" ref="AQ100" si="2123">AP100</f>
        <v>41014</v>
      </c>
      <c r="AR100" s="295">
        <f t="shared" ref="AR100" si="2124">AQ100</f>
        <v>41014</v>
      </c>
      <c r="AS100" s="295">
        <f t="shared" ref="AS100" si="2125">AR100</f>
        <v>41014</v>
      </c>
      <c r="AT100" s="295">
        <f>ROUND(AS100*(1+取值表!$D$8),0)</f>
        <v>44828</v>
      </c>
      <c r="AU100" s="295">
        <f t="shared" ref="AU100" si="2126">AT100</f>
        <v>44828</v>
      </c>
      <c r="AV100" s="295">
        <f t="shared" ref="AV100" si="2127">AU100</f>
        <v>44828</v>
      </c>
      <c r="AW100" s="295">
        <f t="shared" ref="AW100" si="2128">AV100</f>
        <v>44828</v>
      </c>
      <c r="AX100" s="295">
        <f>ROUND(AW100*(1+取值表!$D$8),0)</f>
        <v>48997</v>
      </c>
      <c r="AY100" s="295">
        <f t="shared" ref="AY100" si="2129">AX100</f>
        <v>48997</v>
      </c>
      <c r="AZ100" s="295">
        <f t="shared" ref="AZ100" si="2130">AY100</f>
        <v>48997</v>
      </c>
      <c r="BA100" s="295">
        <f t="shared" ref="BA100" si="2131">AZ100</f>
        <v>48997</v>
      </c>
      <c r="BB100" s="295">
        <f>ROUND(BA100*(1+取值表!$D$8),0)</f>
        <v>53554</v>
      </c>
      <c r="BC100" s="295">
        <f>BB100</f>
        <v>53554</v>
      </c>
      <c r="BD100" s="295">
        <f t="shared" ref="BD100" si="2132">BC100</f>
        <v>53554</v>
      </c>
      <c r="BE100" s="295">
        <f>BD100</f>
        <v>53554</v>
      </c>
      <c r="BF100" s="295">
        <f>ROUND(BE100*(1+取值表!$D$8),0)</f>
        <v>58535</v>
      </c>
      <c r="BG100" s="295">
        <f>BF100</f>
        <v>58535</v>
      </c>
      <c r="BH100" s="295">
        <f t="shared" ref="BH100" si="2133">BG100</f>
        <v>58535</v>
      </c>
      <c r="BI100" s="295">
        <f t="shared" ref="BI100" si="2134">BH100</f>
        <v>58535</v>
      </c>
      <c r="BJ100" s="295">
        <f>ROUND(BI100*(1+取值表!$D$8),0)</f>
        <v>63979</v>
      </c>
      <c r="BK100" s="295">
        <f t="shared" ref="BK100" si="2135">BJ100</f>
        <v>63979</v>
      </c>
      <c r="BL100" s="295">
        <f t="shared" ref="BL100" si="2136">BK100</f>
        <v>63979</v>
      </c>
      <c r="BM100" s="295">
        <f t="shared" ref="BM100" si="2137">BL100</f>
        <v>63979</v>
      </c>
      <c r="BN100" s="295">
        <f>ROUND(BM100*(1+取值表!$D$8),0)</f>
        <v>69929</v>
      </c>
      <c r="BO100" s="295">
        <f t="shared" ref="BO100" si="2138">BN100</f>
        <v>69929</v>
      </c>
      <c r="BP100" s="295">
        <f t="shared" ref="BP100" si="2139">BO100</f>
        <v>69929</v>
      </c>
      <c r="BQ100" s="295">
        <f t="shared" ref="BQ100" si="2140">BP100</f>
        <v>69929</v>
      </c>
      <c r="BR100" s="295">
        <f>ROUND(BQ100*(1+取值表!$D$8),0)</f>
        <v>76432</v>
      </c>
      <c r="BS100" s="295">
        <f t="shared" ref="BS100" si="2141">BR100</f>
        <v>76432</v>
      </c>
      <c r="BT100" s="295">
        <f t="shared" ref="BT100" si="2142">BS100</f>
        <v>76432</v>
      </c>
      <c r="BU100" s="295">
        <f t="shared" ref="BU100" si="2143">BT100</f>
        <v>76432</v>
      </c>
      <c r="BV100" s="295">
        <f>ROUND(BU100*(1+取值表!$D$8),0)</f>
        <v>83540</v>
      </c>
      <c r="BW100" s="295">
        <f t="shared" ref="BW100" si="2144">BV100</f>
        <v>83540</v>
      </c>
      <c r="BX100" s="295">
        <f t="shared" ref="BX100" si="2145">BW100</f>
        <v>83540</v>
      </c>
      <c r="BY100" s="295">
        <f t="shared" ref="BY100" si="2146">BX100</f>
        <v>83540</v>
      </c>
      <c r="BZ100" s="295">
        <f>ROUND(BY100*(1+取值表!$D$8),0)</f>
        <v>91309</v>
      </c>
      <c r="CA100" s="295">
        <f t="shared" ref="CA100" si="2147">BZ100</f>
        <v>91309</v>
      </c>
      <c r="CB100" s="295">
        <f t="shared" ref="CB100" si="2148">CA100</f>
        <v>91309</v>
      </c>
      <c r="CC100" s="295">
        <f t="shared" ref="CC100" si="2149">CB100</f>
        <v>91309</v>
      </c>
      <c r="CD100" s="295">
        <f>ROUND(CC100*(1+取值表!$D$8),0)</f>
        <v>99801</v>
      </c>
      <c r="CE100" s="295">
        <f t="shared" ref="CE100" si="2150">CD100</f>
        <v>99801</v>
      </c>
      <c r="CF100" s="295">
        <f t="shared" ref="CF100" si="2151">CE100</f>
        <v>99801</v>
      </c>
      <c r="CG100" s="295">
        <f t="shared" ref="CG100" si="2152">CF100</f>
        <v>99801</v>
      </c>
      <c r="CH100" s="295">
        <f>ROUND(CG100*(1+取值表!$D$8),0)</f>
        <v>109082</v>
      </c>
      <c r="CI100" s="295">
        <f>CH100</f>
        <v>109082</v>
      </c>
      <c r="CJ100" s="295">
        <f t="shared" ref="CJ100" si="2153">CI100</f>
        <v>109082</v>
      </c>
      <c r="CK100" s="295">
        <f t="shared" ref="CK100" si="2154">CJ100</f>
        <v>109082</v>
      </c>
      <c r="CL100" s="295">
        <f>ROUND(CK100*(1+取值表!$D$8),0)</f>
        <v>119227</v>
      </c>
      <c r="CM100" s="295">
        <f>CL100</f>
        <v>119227</v>
      </c>
      <c r="CN100" s="295">
        <f t="shared" ref="CN100" si="2155">CM100</f>
        <v>119227</v>
      </c>
      <c r="CO100" s="295">
        <f t="shared" ref="CO100" si="2156">CN100</f>
        <v>119227</v>
      </c>
      <c r="CP100" s="293">
        <f t="shared" si="1468"/>
        <v>4743928</v>
      </c>
    </row>
    <row r="101" spans="1:94" s="299" customFormat="1">
      <c r="A101" s="670"/>
      <c r="B101" s="658"/>
      <c r="C101" s="659"/>
      <c r="D101" s="647"/>
      <c r="E101" s="660"/>
      <c r="F101" s="661"/>
      <c r="G101" s="661"/>
      <c r="H101" s="662"/>
      <c r="I101" s="298"/>
      <c r="J101" s="295"/>
      <c r="K101" s="295"/>
      <c r="L101" s="295"/>
      <c r="M101" s="295"/>
      <c r="N101" s="295"/>
      <c r="O101" s="295"/>
      <c r="P101" s="295"/>
      <c r="Q101" s="295"/>
      <c r="R101" s="295"/>
      <c r="S101" s="295"/>
      <c r="T101" s="295"/>
      <c r="U101" s="295"/>
      <c r="V101" s="295"/>
      <c r="W101" s="295"/>
      <c r="X101" s="295"/>
      <c r="Y101" s="295"/>
      <c r="Z101" s="295"/>
      <c r="AA101" s="295"/>
      <c r="AB101" s="295"/>
      <c r="AC101" s="295"/>
      <c r="AD101" s="295"/>
      <c r="AE101" s="295"/>
      <c r="AF101" s="295"/>
      <c r="AG101" s="295"/>
      <c r="AH101" s="295"/>
      <c r="AI101" s="295"/>
      <c r="AJ101" s="295"/>
      <c r="AK101" s="295"/>
      <c r="AL101" s="295"/>
      <c r="AM101" s="295"/>
      <c r="AN101" s="295"/>
      <c r="AO101" s="295"/>
      <c r="AP101" s="295"/>
      <c r="AQ101" s="295"/>
      <c r="AR101" s="295"/>
      <c r="AS101" s="295"/>
      <c r="AT101" s="295"/>
      <c r="AU101" s="295"/>
      <c r="AV101" s="295"/>
      <c r="AW101" s="295"/>
      <c r="AX101" s="295"/>
      <c r="AY101" s="295"/>
      <c r="AZ101" s="295"/>
      <c r="BA101" s="295"/>
      <c r="BB101" s="295"/>
      <c r="BC101" s="295"/>
      <c r="BD101" s="295"/>
      <c r="BE101" s="295"/>
      <c r="BF101" s="295"/>
      <c r="BG101" s="295"/>
      <c r="BH101" s="295"/>
      <c r="BI101" s="295"/>
      <c r="BJ101" s="295"/>
      <c r="BK101" s="295"/>
      <c r="BL101" s="295"/>
      <c r="BM101" s="295"/>
      <c r="BN101" s="295"/>
      <c r="BO101" s="295"/>
      <c r="BP101" s="295"/>
      <c r="BQ101" s="295"/>
      <c r="BR101" s="295"/>
      <c r="BS101" s="295"/>
      <c r="BT101" s="295"/>
      <c r="BU101" s="295"/>
      <c r="BV101" s="295"/>
      <c r="BW101" s="295"/>
      <c r="BX101" s="295"/>
      <c r="BY101" s="295"/>
      <c r="BZ101" s="295"/>
      <c r="CA101" s="295"/>
      <c r="CB101" s="295"/>
      <c r="CC101" s="295"/>
      <c r="CD101" s="295"/>
      <c r="CE101" s="295"/>
      <c r="CF101" s="295"/>
      <c r="CG101" s="295"/>
      <c r="CH101" s="295"/>
      <c r="CI101" s="295"/>
      <c r="CJ101" s="295"/>
      <c r="CK101" s="295"/>
      <c r="CL101" s="295"/>
      <c r="CM101" s="295"/>
      <c r="CN101" s="295"/>
      <c r="CO101" s="295"/>
      <c r="CP101" s="293">
        <f t="shared" si="1468"/>
        <v>0</v>
      </c>
    </row>
    <row r="102" spans="1:94" ht="12" customHeight="1">
      <c r="A102" s="669">
        <v>51</v>
      </c>
      <c r="B102" s="645" t="s">
        <v>123</v>
      </c>
      <c r="C102" s="646" t="s">
        <v>124</v>
      </c>
      <c r="D102" s="647" t="s">
        <v>462</v>
      </c>
      <c r="E102" s="648" t="s">
        <v>455</v>
      </c>
      <c r="F102" s="642">
        <v>298.89</v>
      </c>
      <c r="G102" s="642">
        <v>20</v>
      </c>
      <c r="H102" s="643">
        <f>F102*G102*365</f>
        <v>2181896.9999999995</v>
      </c>
      <c r="I102" s="291">
        <v>531837.39</v>
      </c>
      <c r="J102" s="295">
        <f>ROUND(F102*G102*365/4,0)</f>
        <v>545474</v>
      </c>
      <c r="K102" s="293">
        <f>J102</f>
        <v>545474</v>
      </c>
      <c r="L102" s="292">
        <f>K102</f>
        <v>545474</v>
      </c>
      <c r="M102" s="293">
        <f>L102</f>
        <v>545474</v>
      </c>
      <c r="N102" s="293">
        <f>ROUND(M102*(1+取值表!$D$10)*取值表!$I$10,0)</f>
        <v>561027</v>
      </c>
      <c r="O102" s="293">
        <f>N102</f>
        <v>561027</v>
      </c>
      <c r="P102" s="293">
        <f>O102</f>
        <v>561027</v>
      </c>
      <c r="Q102" s="293">
        <f>P102</f>
        <v>561027</v>
      </c>
      <c r="R102" s="294">
        <f>ROUND(Q102*(1+取值表!$D$10),0)</f>
        <v>613203</v>
      </c>
      <c r="S102" s="293">
        <f t="shared" ref="S102:T102" si="2157">R102</f>
        <v>613203</v>
      </c>
      <c r="T102" s="293">
        <f t="shared" si="2157"/>
        <v>613203</v>
      </c>
      <c r="U102" s="293">
        <f>T102</f>
        <v>613203</v>
      </c>
      <c r="V102" s="295">
        <f>ROUND(U102*(1+取值表!$D$8),0)</f>
        <v>670231</v>
      </c>
      <c r="W102" s="293">
        <f t="shared" ref="W102:Y102" si="2158">V102</f>
        <v>670231</v>
      </c>
      <c r="X102" s="293">
        <f t="shared" si="2158"/>
        <v>670231</v>
      </c>
      <c r="Y102" s="293">
        <f t="shared" si="2158"/>
        <v>670231</v>
      </c>
      <c r="Z102" s="295">
        <f>ROUND(Y102*(1+取值表!$D$8),0)</f>
        <v>732562</v>
      </c>
      <c r="AA102" s="293">
        <f t="shared" ref="AA102" si="2159">Z102</f>
        <v>732562</v>
      </c>
      <c r="AB102" s="293">
        <f t="shared" ref="AB102" si="2160">AA102</f>
        <v>732562</v>
      </c>
      <c r="AC102" s="293">
        <f>AB102</f>
        <v>732562</v>
      </c>
      <c r="AD102" s="295">
        <f>ROUND(AC102*(1+取值表!$D$8),0)</f>
        <v>800690</v>
      </c>
      <c r="AE102" s="293">
        <f t="shared" ref="AE102" si="2161">AD102</f>
        <v>800690</v>
      </c>
      <c r="AF102" s="293">
        <f t="shared" ref="AF102" si="2162">AE102</f>
        <v>800690</v>
      </c>
      <c r="AG102" s="293">
        <f t="shared" ref="AG102" si="2163">AF102</f>
        <v>800690</v>
      </c>
      <c r="AH102" s="295">
        <f>ROUND(AG102*(1+取值表!$D$8),0)</f>
        <v>875154</v>
      </c>
      <c r="AI102" s="293">
        <f t="shared" ref="AI102" si="2164">AH102</f>
        <v>875154</v>
      </c>
      <c r="AJ102" s="293">
        <f t="shared" ref="AJ102" si="2165">AI102</f>
        <v>875154</v>
      </c>
      <c r="AK102" s="293">
        <f t="shared" ref="AK102" si="2166">AJ102</f>
        <v>875154</v>
      </c>
      <c r="AL102" s="295">
        <f>ROUND(AK102*(1+取值表!$D$8),0)</f>
        <v>956543</v>
      </c>
      <c r="AM102" s="293">
        <f t="shared" ref="AM102" si="2167">AL102</f>
        <v>956543</v>
      </c>
      <c r="AN102" s="293">
        <f t="shared" ref="AN102" si="2168">AM102</f>
        <v>956543</v>
      </c>
      <c r="AO102" s="293">
        <f t="shared" ref="AO102" si="2169">AN102</f>
        <v>956543</v>
      </c>
      <c r="AP102" s="295">
        <f>ROUND(AO102*(1+取值表!$D$8),0)</f>
        <v>1045501</v>
      </c>
      <c r="AQ102" s="293">
        <f t="shared" ref="AQ102" si="2170">AP102</f>
        <v>1045501</v>
      </c>
      <c r="AR102" s="293">
        <f t="shared" ref="AR102" si="2171">AQ102</f>
        <v>1045501</v>
      </c>
      <c r="AS102" s="293">
        <f t="shared" ref="AS102" si="2172">AR102</f>
        <v>1045501</v>
      </c>
      <c r="AT102" s="295">
        <f>ROUND(AS102*(1+取值表!$D$8),0)</f>
        <v>1142733</v>
      </c>
      <c r="AU102" s="293">
        <f t="shared" ref="AU102" si="2173">AT102</f>
        <v>1142733</v>
      </c>
      <c r="AV102" s="293">
        <f t="shared" ref="AV102" si="2174">AU102</f>
        <v>1142733</v>
      </c>
      <c r="AW102" s="293">
        <f t="shared" ref="AW102" si="2175">AV102</f>
        <v>1142733</v>
      </c>
      <c r="AX102" s="295">
        <f>ROUND(AW102*(1+取值表!$D$8),0)</f>
        <v>1249007</v>
      </c>
      <c r="AY102" s="293">
        <f t="shared" ref="AY102" si="2176">AX102</f>
        <v>1249007</v>
      </c>
      <c r="AZ102" s="293">
        <f t="shared" ref="AZ102" si="2177">AY102</f>
        <v>1249007</v>
      </c>
      <c r="BA102" s="293">
        <f t="shared" ref="BA102" si="2178">AZ102</f>
        <v>1249007</v>
      </c>
      <c r="BB102" s="295">
        <f>ROUND(BA102*(1+取值表!$D$8),0)</f>
        <v>1365165</v>
      </c>
      <c r="BC102" s="293">
        <f>BB102</f>
        <v>1365165</v>
      </c>
      <c r="BD102" s="293">
        <f t="shared" ref="BD102" si="2179">BC102</f>
        <v>1365165</v>
      </c>
      <c r="BE102" s="293">
        <f>BD102</f>
        <v>1365165</v>
      </c>
      <c r="BF102" s="295">
        <f>ROUND(BE102*(1+取值表!$D$8),0)</f>
        <v>1492125</v>
      </c>
      <c r="BG102" s="293">
        <f>BF102</f>
        <v>1492125</v>
      </c>
      <c r="BH102" s="293">
        <f t="shared" ref="BH102" si="2180">BG102</f>
        <v>1492125</v>
      </c>
      <c r="BI102" s="293">
        <f t="shared" ref="BI102" si="2181">BH102</f>
        <v>1492125</v>
      </c>
      <c r="BJ102" s="295">
        <f>ROUND(BI102*(1+取值表!$D$8),0)</f>
        <v>1630893</v>
      </c>
      <c r="BK102" s="293">
        <f t="shared" ref="BK102" si="2182">BJ102</f>
        <v>1630893</v>
      </c>
      <c r="BL102" s="293">
        <f t="shared" ref="BL102" si="2183">BK102</f>
        <v>1630893</v>
      </c>
      <c r="BM102" s="293">
        <f t="shared" ref="BM102" si="2184">BL102</f>
        <v>1630893</v>
      </c>
      <c r="BN102" s="295">
        <f>ROUND(BM102*(1+取值表!$D$8),0)</f>
        <v>1782566</v>
      </c>
      <c r="BO102" s="293">
        <f t="shared" ref="BO102" si="2185">BN102</f>
        <v>1782566</v>
      </c>
      <c r="BP102" s="293">
        <f t="shared" ref="BP102" si="2186">BO102</f>
        <v>1782566</v>
      </c>
      <c r="BQ102" s="293">
        <f t="shared" ref="BQ102" si="2187">BP102</f>
        <v>1782566</v>
      </c>
      <c r="BR102" s="295">
        <f>ROUND(BQ102*(1+取值表!$D$8),0)</f>
        <v>1948345</v>
      </c>
      <c r="BS102" s="293">
        <f t="shared" ref="BS102" si="2188">BR102</f>
        <v>1948345</v>
      </c>
      <c r="BT102" s="293">
        <f t="shared" ref="BT102" si="2189">BS102</f>
        <v>1948345</v>
      </c>
      <c r="BU102" s="293">
        <f t="shared" ref="BU102" si="2190">BT102</f>
        <v>1948345</v>
      </c>
      <c r="BV102" s="295">
        <f>ROUND(BU102*(1+取值表!$D$8),0)</f>
        <v>2129541</v>
      </c>
      <c r="BW102" s="293">
        <f t="shared" ref="BW102" si="2191">BV102</f>
        <v>2129541</v>
      </c>
      <c r="BX102" s="293">
        <f t="shared" ref="BX102" si="2192">BW102</f>
        <v>2129541</v>
      </c>
      <c r="BY102" s="293">
        <f t="shared" ref="BY102" si="2193">BX102</f>
        <v>2129541</v>
      </c>
      <c r="BZ102" s="295">
        <f>ROUND(BY102*(1+取值表!$D$8),0)</f>
        <v>2327588</v>
      </c>
      <c r="CA102" s="293">
        <f t="shared" ref="CA102" si="2194">BZ102</f>
        <v>2327588</v>
      </c>
      <c r="CB102" s="293">
        <f t="shared" ref="CB102" si="2195">CA102</f>
        <v>2327588</v>
      </c>
      <c r="CC102" s="293">
        <f t="shared" ref="CC102" si="2196">CB102</f>
        <v>2327588</v>
      </c>
      <c r="CD102" s="295">
        <f>ROUND(CC102*(1+取值表!$D$8),0)</f>
        <v>2544054</v>
      </c>
      <c r="CE102" s="293">
        <f t="shared" ref="CE102" si="2197">CD102</f>
        <v>2544054</v>
      </c>
      <c r="CF102" s="293">
        <f t="shared" ref="CF102" si="2198">CE102</f>
        <v>2544054</v>
      </c>
      <c r="CG102" s="293">
        <f t="shared" ref="CG102" si="2199">CF102</f>
        <v>2544054</v>
      </c>
      <c r="CH102" s="295">
        <f>ROUND(CG102*(1+取值表!$D$8),0)</f>
        <v>2780651</v>
      </c>
      <c r="CI102" s="293">
        <f>CH102</f>
        <v>2780651</v>
      </c>
      <c r="CJ102" s="293">
        <f t="shared" ref="CJ102" si="2200">CI102</f>
        <v>2780651</v>
      </c>
      <c r="CK102" s="293">
        <f t="shared" ref="CK102" si="2201">CJ102</f>
        <v>2780651</v>
      </c>
      <c r="CL102" s="295">
        <f>ROUND(CK102*(1+取值表!$D$8),0)</f>
        <v>3039252</v>
      </c>
      <c r="CM102" s="293">
        <f>CL102</f>
        <v>3039252</v>
      </c>
      <c r="CN102" s="293">
        <f t="shared" ref="CN102" si="2202">CM102</f>
        <v>3039252</v>
      </c>
      <c r="CO102" s="293">
        <f t="shared" ref="CO102" si="2203">CN102</f>
        <v>3039252</v>
      </c>
      <c r="CP102" s="293">
        <f t="shared" si="1468"/>
        <v>120929220</v>
      </c>
    </row>
    <row r="103" spans="1:94">
      <c r="A103" s="670"/>
      <c r="B103" s="645"/>
      <c r="C103" s="646"/>
      <c r="D103" s="647"/>
      <c r="E103" s="648"/>
      <c r="F103" s="642"/>
      <c r="G103" s="642"/>
      <c r="H103" s="643"/>
      <c r="I103" s="291"/>
      <c r="J103" s="295"/>
      <c r="K103" s="293"/>
      <c r="L103" s="293"/>
      <c r="M103" s="293"/>
      <c r="N103" s="293"/>
      <c r="O103" s="293"/>
      <c r="P103" s="293"/>
      <c r="Q103" s="293"/>
      <c r="R103" s="293"/>
      <c r="S103" s="293"/>
      <c r="T103" s="293"/>
      <c r="U103" s="293"/>
      <c r="V103" s="293"/>
      <c r="W103" s="293"/>
      <c r="X103" s="293"/>
      <c r="Y103" s="293"/>
      <c r="Z103" s="293"/>
      <c r="AA103" s="293"/>
      <c r="AB103" s="293"/>
      <c r="AC103" s="293"/>
      <c r="AD103" s="293"/>
      <c r="AE103" s="293"/>
      <c r="AF103" s="293"/>
      <c r="AG103" s="293"/>
      <c r="AH103" s="293"/>
      <c r="AI103" s="293"/>
      <c r="AJ103" s="293"/>
      <c r="AK103" s="293"/>
      <c r="AL103" s="293"/>
      <c r="AM103" s="293"/>
      <c r="AN103" s="293"/>
      <c r="AO103" s="293"/>
      <c r="AP103" s="293"/>
      <c r="AQ103" s="293"/>
      <c r="AR103" s="293"/>
      <c r="AS103" s="293"/>
      <c r="AT103" s="293"/>
      <c r="AU103" s="293"/>
      <c r="AV103" s="293"/>
      <c r="AW103" s="293"/>
      <c r="AX103" s="293"/>
      <c r="AY103" s="293"/>
      <c r="AZ103" s="293"/>
      <c r="BA103" s="293"/>
      <c r="BB103" s="293"/>
      <c r="BC103" s="293"/>
      <c r="BD103" s="293"/>
      <c r="BE103" s="293"/>
      <c r="BF103" s="293"/>
      <c r="BG103" s="293"/>
      <c r="BH103" s="293"/>
      <c r="BI103" s="293"/>
      <c r="BJ103" s="293"/>
      <c r="BK103" s="293"/>
      <c r="BL103" s="293"/>
      <c r="BM103" s="293"/>
      <c r="BN103" s="293"/>
      <c r="BO103" s="293"/>
      <c r="BP103" s="293"/>
      <c r="BQ103" s="293"/>
      <c r="BR103" s="293"/>
      <c r="BS103" s="293"/>
      <c r="BT103" s="293"/>
      <c r="BU103" s="293"/>
      <c r="BV103" s="293"/>
      <c r="BW103" s="293"/>
      <c r="BX103" s="293"/>
      <c r="BY103" s="293"/>
      <c r="BZ103" s="293"/>
      <c r="CA103" s="293"/>
      <c r="CB103" s="293"/>
      <c r="CC103" s="293"/>
      <c r="CD103" s="293"/>
      <c r="CE103" s="293"/>
      <c r="CF103" s="293"/>
      <c r="CG103" s="293"/>
      <c r="CH103" s="293"/>
      <c r="CI103" s="293"/>
      <c r="CJ103" s="293"/>
      <c r="CK103" s="293"/>
      <c r="CL103" s="293"/>
      <c r="CM103" s="293"/>
      <c r="CN103" s="293"/>
      <c r="CO103" s="293"/>
      <c r="CP103" s="293">
        <f t="shared" si="1468"/>
        <v>0</v>
      </c>
    </row>
    <row r="104" spans="1:94" ht="12" customHeight="1">
      <c r="A104" s="669">
        <v>52</v>
      </c>
      <c r="B104" s="645" t="s">
        <v>123</v>
      </c>
      <c r="C104" s="646" t="s">
        <v>14</v>
      </c>
      <c r="D104" s="647" t="s">
        <v>125</v>
      </c>
      <c r="E104" s="648" t="s">
        <v>455</v>
      </c>
      <c r="F104" s="642">
        <v>298.89</v>
      </c>
      <c r="G104" s="642">
        <v>17</v>
      </c>
      <c r="H104" s="643">
        <f>F104*G104*365</f>
        <v>1854612.45</v>
      </c>
      <c r="I104" s="291">
        <v>463653.11</v>
      </c>
      <c r="J104" s="295">
        <f>ROUND(F104*G104*365/4,0)</f>
        <v>463653</v>
      </c>
      <c r="K104" s="292">
        <f>J104</f>
        <v>463653</v>
      </c>
      <c r="L104" s="293">
        <f>K104</f>
        <v>463653</v>
      </c>
      <c r="M104" s="293">
        <f>L104</f>
        <v>463653</v>
      </c>
      <c r="N104" s="293">
        <f>ROUND(M104*(1+取值表!$D$10)*取值表!$I$10,0)</f>
        <v>476873</v>
      </c>
      <c r="O104" s="293">
        <f>N104</f>
        <v>476873</v>
      </c>
      <c r="P104" s="293">
        <f>O104</f>
        <v>476873</v>
      </c>
      <c r="Q104" s="293">
        <f>P104</f>
        <v>476873</v>
      </c>
      <c r="R104" s="294">
        <f>ROUND(Q104*(1+取值表!$D$10),0)</f>
        <v>521222</v>
      </c>
      <c r="S104" s="293">
        <f t="shared" ref="S104:T104" si="2204">R104</f>
        <v>521222</v>
      </c>
      <c r="T104" s="293">
        <f t="shared" si="2204"/>
        <v>521222</v>
      </c>
      <c r="U104" s="293">
        <f>T104</f>
        <v>521222</v>
      </c>
      <c r="V104" s="295">
        <f>ROUND(U104*(1+取值表!$D$8),0)</f>
        <v>569696</v>
      </c>
      <c r="W104" s="293">
        <f t="shared" ref="W104:Y104" si="2205">V104</f>
        <v>569696</v>
      </c>
      <c r="X104" s="293">
        <f t="shared" si="2205"/>
        <v>569696</v>
      </c>
      <c r="Y104" s="293">
        <f t="shared" si="2205"/>
        <v>569696</v>
      </c>
      <c r="Z104" s="295">
        <f>ROUND(Y104*(1+取值表!$D$8),0)</f>
        <v>622678</v>
      </c>
      <c r="AA104" s="293">
        <f t="shared" ref="AA104" si="2206">Z104</f>
        <v>622678</v>
      </c>
      <c r="AB104" s="293">
        <f t="shared" ref="AB104" si="2207">AA104</f>
        <v>622678</v>
      </c>
      <c r="AC104" s="293">
        <f>AB104</f>
        <v>622678</v>
      </c>
      <c r="AD104" s="295">
        <f>ROUND(AC104*(1+取值表!$D$8),0)</f>
        <v>680587</v>
      </c>
      <c r="AE104" s="293">
        <f t="shared" ref="AE104" si="2208">AD104</f>
        <v>680587</v>
      </c>
      <c r="AF104" s="293">
        <f t="shared" ref="AF104" si="2209">AE104</f>
        <v>680587</v>
      </c>
      <c r="AG104" s="293">
        <f t="shared" ref="AG104" si="2210">AF104</f>
        <v>680587</v>
      </c>
      <c r="AH104" s="295">
        <f>ROUND(AG104*(1+取值表!$D$8),0)</f>
        <v>743882</v>
      </c>
      <c r="AI104" s="293">
        <f t="shared" ref="AI104" si="2211">AH104</f>
        <v>743882</v>
      </c>
      <c r="AJ104" s="293">
        <f t="shared" ref="AJ104" si="2212">AI104</f>
        <v>743882</v>
      </c>
      <c r="AK104" s="293">
        <f t="shared" ref="AK104" si="2213">AJ104</f>
        <v>743882</v>
      </c>
      <c r="AL104" s="295">
        <f>ROUND(AK104*(1+取值表!$D$8),0)</f>
        <v>813063</v>
      </c>
      <c r="AM104" s="293">
        <f t="shared" ref="AM104" si="2214">AL104</f>
        <v>813063</v>
      </c>
      <c r="AN104" s="293">
        <f t="shared" ref="AN104" si="2215">AM104</f>
        <v>813063</v>
      </c>
      <c r="AO104" s="293">
        <f t="shared" ref="AO104" si="2216">AN104</f>
        <v>813063</v>
      </c>
      <c r="AP104" s="295">
        <f>ROUND(AO104*(1+取值表!$D$8),0)</f>
        <v>888678</v>
      </c>
      <c r="AQ104" s="293">
        <f t="shared" ref="AQ104" si="2217">AP104</f>
        <v>888678</v>
      </c>
      <c r="AR104" s="293">
        <f t="shared" ref="AR104" si="2218">AQ104</f>
        <v>888678</v>
      </c>
      <c r="AS104" s="293">
        <f t="shared" ref="AS104" si="2219">AR104</f>
        <v>888678</v>
      </c>
      <c r="AT104" s="295">
        <f>ROUND(AS104*(1+取值表!$D$8),0)</f>
        <v>971325</v>
      </c>
      <c r="AU104" s="293">
        <f t="shared" ref="AU104" si="2220">AT104</f>
        <v>971325</v>
      </c>
      <c r="AV104" s="293">
        <f t="shared" ref="AV104" si="2221">AU104</f>
        <v>971325</v>
      </c>
      <c r="AW104" s="293">
        <f t="shared" ref="AW104" si="2222">AV104</f>
        <v>971325</v>
      </c>
      <c r="AX104" s="295">
        <f>ROUND(AW104*(1+取值表!$D$8),0)</f>
        <v>1061658</v>
      </c>
      <c r="AY104" s="293">
        <f t="shared" ref="AY104" si="2223">AX104</f>
        <v>1061658</v>
      </c>
      <c r="AZ104" s="293">
        <f t="shared" ref="AZ104" si="2224">AY104</f>
        <v>1061658</v>
      </c>
      <c r="BA104" s="293">
        <f t="shared" ref="BA104" si="2225">AZ104</f>
        <v>1061658</v>
      </c>
      <c r="BB104" s="295">
        <f>ROUND(BA104*(1+取值表!$D$8),0)</f>
        <v>1160392</v>
      </c>
      <c r="BC104" s="293">
        <f>BB104</f>
        <v>1160392</v>
      </c>
      <c r="BD104" s="293">
        <f t="shared" ref="BD104" si="2226">BC104</f>
        <v>1160392</v>
      </c>
      <c r="BE104" s="293">
        <f>BD104</f>
        <v>1160392</v>
      </c>
      <c r="BF104" s="295">
        <f>ROUND(BE104*(1+取值表!$D$8),0)</f>
        <v>1268308</v>
      </c>
      <c r="BG104" s="293">
        <f>BF104</f>
        <v>1268308</v>
      </c>
      <c r="BH104" s="293">
        <f t="shared" ref="BH104" si="2227">BG104</f>
        <v>1268308</v>
      </c>
      <c r="BI104" s="293">
        <f t="shared" ref="BI104" si="2228">BH104</f>
        <v>1268308</v>
      </c>
      <c r="BJ104" s="295">
        <f>ROUND(BI104*(1+取值表!$D$8),0)</f>
        <v>1386261</v>
      </c>
      <c r="BK104" s="293">
        <f t="shared" ref="BK104" si="2229">BJ104</f>
        <v>1386261</v>
      </c>
      <c r="BL104" s="293">
        <f t="shared" ref="BL104" si="2230">BK104</f>
        <v>1386261</v>
      </c>
      <c r="BM104" s="293">
        <f t="shared" ref="BM104" si="2231">BL104</f>
        <v>1386261</v>
      </c>
      <c r="BN104" s="295">
        <f>ROUND(BM104*(1+取值表!$D$8),0)</f>
        <v>1515183</v>
      </c>
      <c r="BO104" s="293">
        <f t="shared" ref="BO104" si="2232">BN104</f>
        <v>1515183</v>
      </c>
      <c r="BP104" s="293">
        <f t="shared" ref="BP104" si="2233">BO104</f>
        <v>1515183</v>
      </c>
      <c r="BQ104" s="293">
        <f t="shared" ref="BQ104" si="2234">BP104</f>
        <v>1515183</v>
      </c>
      <c r="BR104" s="295">
        <f>ROUND(BQ104*(1+取值表!$D$8),0)</f>
        <v>1656095</v>
      </c>
      <c r="BS104" s="293">
        <f t="shared" ref="BS104" si="2235">BR104</f>
        <v>1656095</v>
      </c>
      <c r="BT104" s="293">
        <f t="shared" ref="BT104" si="2236">BS104</f>
        <v>1656095</v>
      </c>
      <c r="BU104" s="293">
        <f t="shared" ref="BU104" si="2237">BT104</f>
        <v>1656095</v>
      </c>
      <c r="BV104" s="295">
        <f>ROUND(BU104*(1+取值表!$D$8),0)</f>
        <v>1810112</v>
      </c>
      <c r="BW104" s="293">
        <f t="shared" ref="BW104" si="2238">BV104</f>
        <v>1810112</v>
      </c>
      <c r="BX104" s="293">
        <f t="shared" ref="BX104" si="2239">BW104</f>
        <v>1810112</v>
      </c>
      <c r="BY104" s="293">
        <f t="shared" ref="BY104" si="2240">BX104</f>
        <v>1810112</v>
      </c>
      <c r="BZ104" s="295">
        <f>ROUND(BY104*(1+取值表!$D$8),0)</f>
        <v>1978452</v>
      </c>
      <c r="CA104" s="293">
        <f t="shared" ref="CA104" si="2241">BZ104</f>
        <v>1978452</v>
      </c>
      <c r="CB104" s="293">
        <f t="shared" ref="CB104" si="2242">CA104</f>
        <v>1978452</v>
      </c>
      <c r="CC104" s="293">
        <f t="shared" ref="CC104" si="2243">CB104</f>
        <v>1978452</v>
      </c>
      <c r="CD104" s="295">
        <f>ROUND(CC104*(1+取值表!$D$8),0)</f>
        <v>2162448</v>
      </c>
      <c r="CE104" s="293">
        <f t="shared" ref="CE104" si="2244">CD104</f>
        <v>2162448</v>
      </c>
      <c r="CF104" s="293">
        <f t="shared" ref="CF104" si="2245">CE104</f>
        <v>2162448</v>
      </c>
      <c r="CG104" s="293">
        <f t="shared" ref="CG104" si="2246">CF104</f>
        <v>2162448</v>
      </c>
      <c r="CH104" s="295">
        <f>ROUND(CG104*(1+取值表!$D$8),0)</f>
        <v>2363556</v>
      </c>
      <c r="CI104" s="293">
        <f>CH104</f>
        <v>2363556</v>
      </c>
      <c r="CJ104" s="293">
        <f t="shared" ref="CJ104" si="2247">CI104</f>
        <v>2363556</v>
      </c>
      <c r="CK104" s="293">
        <f t="shared" ref="CK104" si="2248">CJ104</f>
        <v>2363556</v>
      </c>
      <c r="CL104" s="295">
        <f>ROUND(CK104*(1+取值表!$D$8),0)</f>
        <v>2583367</v>
      </c>
      <c r="CM104" s="293">
        <f>CL104</f>
        <v>2583367</v>
      </c>
      <c r="CN104" s="293">
        <f t="shared" ref="CN104" si="2249">CM104</f>
        <v>2583367</v>
      </c>
      <c r="CO104" s="293">
        <f t="shared" ref="CO104" si="2250">CN104</f>
        <v>2583367</v>
      </c>
      <c r="CP104" s="293">
        <f t="shared" si="1468"/>
        <v>102789956</v>
      </c>
    </row>
    <row r="105" spans="1:94">
      <c r="A105" s="670"/>
      <c r="B105" s="645"/>
      <c r="C105" s="646"/>
      <c r="D105" s="647"/>
      <c r="E105" s="648"/>
      <c r="F105" s="642"/>
      <c r="G105" s="642"/>
      <c r="H105" s="643"/>
      <c r="I105" s="291"/>
      <c r="J105" s="295"/>
      <c r="K105" s="293"/>
      <c r="L105" s="293"/>
      <c r="M105" s="293"/>
      <c r="N105" s="293"/>
      <c r="O105" s="293"/>
      <c r="P105" s="293"/>
      <c r="Q105" s="293"/>
      <c r="R105" s="293"/>
      <c r="S105" s="293"/>
      <c r="T105" s="293"/>
      <c r="U105" s="293"/>
      <c r="V105" s="293"/>
      <c r="W105" s="293"/>
      <c r="X105" s="293"/>
      <c r="Y105" s="293"/>
      <c r="Z105" s="293"/>
      <c r="AA105" s="293"/>
      <c r="AB105" s="293"/>
      <c r="AC105" s="293"/>
      <c r="AD105" s="293"/>
      <c r="AE105" s="293"/>
      <c r="AF105" s="293"/>
      <c r="AG105" s="293"/>
      <c r="AH105" s="293"/>
      <c r="AI105" s="293"/>
      <c r="AJ105" s="293"/>
      <c r="AK105" s="293"/>
      <c r="AL105" s="293"/>
      <c r="AM105" s="293"/>
      <c r="AN105" s="293"/>
      <c r="AO105" s="293"/>
      <c r="AP105" s="293"/>
      <c r="AQ105" s="293"/>
      <c r="AR105" s="293"/>
      <c r="AS105" s="293"/>
      <c r="AT105" s="293"/>
      <c r="AU105" s="293"/>
      <c r="AV105" s="293"/>
      <c r="AW105" s="293"/>
      <c r="AX105" s="293"/>
      <c r="AY105" s="293"/>
      <c r="AZ105" s="293"/>
      <c r="BA105" s="293"/>
      <c r="BB105" s="293"/>
      <c r="BC105" s="293"/>
      <c r="BD105" s="293"/>
      <c r="BE105" s="293"/>
      <c r="BF105" s="293"/>
      <c r="BG105" s="293"/>
      <c r="BH105" s="293"/>
      <c r="BI105" s="293"/>
      <c r="BJ105" s="293"/>
      <c r="BK105" s="293"/>
      <c r="BL105" s="293"/>
      <c r="BM105" s="293"/>
      <c r="BN105" s="293"/>
      <c r="BO105" s="293"/>
      <c r="BP105" s="293"/>
      <c r="BQ105" s="293"/>
      <c r="BR105" s="293"/>
      <c r="BS105" s="293"/>
      <c r="BT105" s="293"/>
      <c r="BU105" s="293"/>
      <c r="BV105" s="293"/>
      <c r="BW105" s="293"/>
      <c r="BX105" s="293"/>
      <c r="BY105" s="293"/>
      <c r="BZ105" s="293"/>
      <c r="CA105" s="293"/>
      <c r="CB105" s="293"/>
      <c r="CC105" s="293"/>
      <c r="CD105" s="293"/>
      <c r="CE105" s="293"/>
      <c r="CF105" s="293"/>
      <c r="CG105" s="293"/>
      <c r="CH105" s="293"/>
      <c r="CI105" s="293"/>
      <c r="CJ105" s="293"/>
      <c r="CK105" s="293"/>
      <c r="CL105" s="293"/>
      <c r="CM105" s="293"/>
      <c r="CN105" s="293"/>
      <c r="CO105" s="293"/>
      <c r="CP105" s="293">
        <f t="shared" si="1468"/>
        <v>0</v>
      </c>
    </row>
    <row r="106" spans="1:94" ht="12" customHeight="1">
      <c r="A106" s="669">
        <v>53</v>
      </c>
      <c r="B106" s="645" t="s">
        <v>126</v>
      </c>
      <c r="C106" s="646" t="s">
        <v>127</v>
      </c>
      <c r="D106" s="647" t="s">
        <v>463</v>
      </c>
      <c r="E106" s="648" t="s">
        <v>455</v>
      </c>
      <c r="F106" s="642">
        <v>77.83</v>
      </c>
      <c r="G106" s="642">
        <v>25</v>
      </c>
      <c r="H106" s="643">
        <f>F106*G106*365</f>
        <v>710198.75</v>
      </c>
      <c r="I106" s="291">
        <v>181100.68</v>
      </c>
      <c r="J106" s="295">
        <f>ROUND(F106*G106*365/4,0)</f>
        <v>177550</v>
      </c>
      <c r="K106" s="292">
        <f>J106</f>
        <v>177550</v>
      </c>
      <c r="L106" s="293">
        <f>K106</f>
        <v>177550</v>
      </c>
      <c r="M106" s="293">
        <f>L106</f>
        <v>177550</v>
      </c>
      <c r="N106" s="293">
        <f>ROUND(M106*(1+取值表!$D$10)*取值表!$I$10,0)</f>
        <v>182612</v>
      </c>
      <c r="O106" s="293">
        <f>N106</f>
        <v>182612</v>
      </c>
      <c r="P106" s="293">
        <f>O106</f>
        <v>182612</v>
      </c>
      <c r="Q106" s="293">
        <f>P106</f>
        <v>182612</v>
      </c>
      <c r="R106" s="294">
        <f>ROUND(Q106*(1+取值表!$D$10),0)</f>
        <v>199595</v>
      </c>
      <c r="S106" s="293">
        <f t="shared" ref="S106:T106" si="2251">R106</f>
        <v>199595</v>
      </c>
      <c r="T106" s="293">
        <f t="shared" si="2251"/>
        <v>199595</v>
      </c>
      <c r="U106" s="293">
        <f>T106</f>
        <v>199595</v>
      </c>
      <c r="V106" s="295">
        <f>ROUND(U106*(1+取值表!$D$8),0)</f>
        <v>218157</v>
      </c>
      <c r="W106" s="293">
        <f t="shared" ref="W106:Y106" si="2252">V106</f>
        <v>218157</v>
      </c>
      <c r="X106" s="293">
        <f t="shared" si="2252"/>
        <v>218157</v>
      </c>
      <c r="Y106" s="293">
        <f t="shared" si="2252"/>
        <v>218157</v>
      </c>
      <c r="Z106" s="295">
        <f>ROUND(Y106*(1+取值表!$D$8),0)</f>
        <v>238446</v>
      </c>
      <c r="AA106" s="293">
        <f t="shared" ref="AA106" si="2253">Z106</f>
        <v>238446</v>
      </c>
      <c r="AB106" s="293">
        <f t="shared" ref="AB106" si="2254">AA106</f>
        <v>238446</v>
      </c>
      <c r="AC106" s="293">
        <f>AB106</f>
        <v>238446</v>
      </c>
      <c r="AD106" s="295">
        <f>ROUND(AC106*(1+取值表!$D$8),0)</f>
        <v>260621</v>
      </c>
      <c r="AE106" s="293">
        <f t="shared" ref="AE106" si="2255">AD106</f>
        <v>260621</v>
      </c>
      <c r="AF106" s="293">
        <f t="shared" ref="AF106" si="2256">AE106</f>
        <v>260621</v>
      </c>
      <c r="AG106" s="293">
        <f t="shared" ref="AG106" si="2257">AF106</f>
        <v>260621</v>
      </c>
      <c r="AH106" s="295">
        <f>ROUND(AG106*(1+取值表!$D$8),0)</f>
        <v>284859</v>
      </c>
      <c r="AI106" s="293">
        <f t="shared" ref="AI106" si="2258">AH106</f>
        <v>284859</v>
      </c>
      <c r="AJ106" s="293">
        <f t="shared" ref="AJ106" si="2259">AI106</f>
        <v>284859</v>
      </c>
      <c r="AK106" s="293">
        <f t="shared" ref="AK106" si="2260">AJ106</f>
        <v>284859</v>
      </c>
      <c r="AL106" s="295">
        <f>ROUND(AK106*(1+取值表!$D$8),0)</f>
        <v>311351</v>
      </c>
      <c r="AM106" s="293">
        <f t="shared" ref="AM106" si="2261">AL106</f>
        <v>311351</v>
      </c>
      <c r="AN106" s="293">
        <f t="shared" ref="AN106" si="2262">AM106</f>
        <v>311351</v>
      </c>
      <c r="AO106" s="293">
        <f t="shared" ref="AO106" si="2263">AN106</f>
        <v>311351</v>
      </c>
      <c r="AP106" s="295">
        <f>ROUND(AO106*(1+取值表!$D$8),0)</f>
        <v>340307</v>
      </c>
      <c r="AQ106" s="293">
        <f t="shared" ref="AQ106" si="2264">AP106</f>
        <v>340307</v>
      </c>
      <c r="AR106" s="293">
        <f t="shared" ref="AR106" si="2265">AQ106</f>
        <v>340307</v>
      </c>
      <c r="AS106" s="293">
        <f t="shared" ref="AS106" si="2266">AR106</f>
        <v>340307</v>
      </c>
      <c r="AT106" s="295">
        <f>ROUND(AS106*(1+取值表!$D$8),0)</f>
        <v>371956</v>
      </c>
      <c r="AU106" s="293">
        <f t="shared" ref="AU106" si="2267">AT106</f>
        <v>371956</v>
      </c>
      <c r="AV106" s="293">
        <f t="shared" ref="AV106" si="2268">AU106</f>
        <v>371956</v>
      </c>
      <c r="AW106" s="293">
        <f t="shared" ref="AW106" si="2269">AV106</f>
        <v>371956</v>
      </c>
      <c r="AX106" s="295">
        <f>ROUND(AW106*(1+取值表!$D$8),0)</f>
        <v>406548</v>
      </c>
      <c r="AY106" s="293">
        <f t="shared" ref="AY106" si="2270">AX106</f>
        <v>406548</v>
      </c>
      <c r="AZ106" s="293">
        <f t="shared" ref="AZ106" si="2271">AY106</f>
        <v>406548</v>
      </c>
      <c r="BA106" s="293">
        <f t="shared" ref="BA106" si="2272">AZ106</f>
        <v>406548</v>
      </c>
      <c r="BB106" s="295">
        <f>ROUND(BA106*(1+取值表!$D$8),0)</f>
        <v>444357</v>
      </c>
      <c r="BC106" s="293">
        <f>BB106</f>
        <v>444357</v>
      </c>
      <c r="BD106" s="293">
        <f t="shared" ref="BD106" si="2273">BC106</f>
        <v>444357</v>
      </c>
      <c r="BE106" s="293">
        <f>BD106</f>
        <v>444357</v>
      </c>
      <c r="BF106" s="295">
        <f>ROUND(BE106*(1+取值表!$D$8),0)</f>
        <v>485682</v>
      </c>
      <c r="BG106" s="293">
        <f>BF106</f>
        <v>485682</v>
      </c>
      <c r="BH106" s="293">
        <f t="shared" ref="BH106" si="2274">BG106</f>
        <v>485682</v>
      </c>
      <c r="BI106" s="293">
        <f t="shared" ref="BI106" si="2275">BH106</f>
        <v>485682</v>
      </c>
      <c r="BJ106" s="295">
        <f>ROUND(BI106*(1+取值表!$D$8),0)</f>
        <v>530850</v>
      </c>
      <c r="BK106" s="293">
        <f t="shared" ref="BK106" si="2276">BJ106</f>
        <v>530850</v>
      </c>
      <c r="BL106" s="293">
        <f t="shared" ref="BL106" si="2277">BK106</f>
        <v>530850</v>
      </c>
      <c r="BM106" s="293">
        <f t="shared" ref="BM106" si="2278">BL106</f>
        <v>530850</v>
      </c>
      <c r="BN106" s="295">
        <f>ROUND(BM106*(1+取值表!$D$8),0)</f>
        <v>580219</v>
      </c>
      <c r="BO106" s="293">
        <f t="shared" ref="BO106" si="2279">BN106</f>
        <v>580219</v>
      </c>
      <c r="BP106" s="293">
        <f t="shared" ref="BP106" si="2280">BO106</f>
        <v>580219</v>
      </c>
      <c r="BQ106" s="293">
        <f t="shared" ref="BQ106" si="2281">BP106</f>
        <v>580219</v>
      </c>
      <c r="BR106" s="295">
        <f>ROUND(BQ106*(1+取值表!$D$8),0)</f>
        <v>634179</v>
      </c>
      <c r="BS106" s="293">
        <f t="shared" ref="BS106" si="2282">BR106</f>
        <v>634179</v>
      </c>
      <c r="BT106" s="293">
        <f t="shared" ref="BT106" si="2283">BS106</f>
        <v>634179</v>
      </c>
      <c r="BU106" s="293">
        <f t="shared" ref="BU106" si="2284">BT106</f>
        <v>634179</v>
      </c>
      <c r="BV106" s="295">
        <f>ROUND(BU106*(1+取值表!$D$8),0)</f>
        <v>693158</v>
      </c>
      <c r="BW106" s="293">
        <f t="shared" ref="BW106" si="2285">BV106</f>
        <v>693158</v>
      </c>
      <c r="BX106" s="293">
        <f t="shared" ref="BX106" si="2286">BW106</f>
        <v>693158</v>
      </c>
      <c r="BY106" s="293">
        <f t="shared" ref="BY106" si="2287">BX106</f>
        <v>693158</v>
      </c>
      <c r="BZ106" s="295">
        <f>ROUND(BY106*(1+取值表!$D$8),0)</f>
        <v>757622</v>
      </c>
      <c r="CA106" s="293">
        <f t="shared" ref="CA106" si="2288">BZ106</f>
        <v>757622</v>
      </c>
      <c r="CB106" s="293">
        <f t="shared" ref="CB106" si="2289">CA106</f>
        <v>757622</v>
      </c>
      <c r="CC106" s="293">
        <f t="shared" ref="CC106" si="2290">CB106</f>
        <v>757622</v>
      </c>
      <c r="CD106" s="295">
        <f>ROUND(CC106*(1+取值表!$D$8),0)</f>
        <v>828081</v>
      </c>
      <c r="CE106" s="293">
        <f t="shared" ref="CE106" si="2291">CD106</f>
        <v>828081</v>
      </c>
      <c r="CF106" s="293">
        <f t="shared" ref="CF106" si="2292">CE106</f>
        <v>828081</v>
      </c>
      <c r="CG106" s="293">
        <f t="shared" ref="CG106" si="2293">CF106</f>
        <v>828081</v>
      </c>
      <c r="CH106" s="295">
        <f>ROUND(CG106*(1+取值表!$D$8),0)</f>
        <v>905093</v>
      </c>
      <c r="CI106" s="293">
        <f>CH106</f>
        <v>905093</v>
      </c>
      <c r="CJ106" s="293">
        <f t="shared" ref="CJ106" si="2294">CI106</f>
        <v>905093</v>
      </c>
      <c r="CK106" s="293">
        <f t="shared" ref="CK106" si="2295">CJ106</f>
        <v>905093</v>
      </c>
      <c r="CL106" s="295">
        <f>ROUND(CK106*(1+取值表!$D$8),0)</f>
        <v>989267</v>
      </c>
      <c r="CM106" s="293">
        <f>CL106</f>
        <v>989267</v>
      </c>
      <c r="CN106" s="293">
        <f t="shared" ref="CN106" si="2296">CM106</f>
        <v>989267</v>
      </c>
      <c r="CO106" s="293">
        <f t="shared" ref="CO106" si="2297">CN106</f>
        <v>989267</v>
      </c>
      <c r="CP106" s="293">
        <f t="shared" si="1468"/>
        <v>39362040</v>
      </c>
    </row>
    <row r="107" spans="1:94">
      <c r="A107" s="670"/>
      <c r="B107" s="645"/>
      <c r="C107" s="646"/>
      <c r="D107" s="647"/>
      <c r="E107" s="648"/>
      <c r="F107" s="642"/>
      <c r="G107" s="642"/>
      <c r="H107" s="643"/>
      <c r="I107" s="291"/>
      <c r="J107" s="295"/>
      <c r="K107" s="293"/>
      <c r="L107" s="293"/>
      <c r="M107" s="293"/>
      <c r="N107" s="293"/>
      <c r="O107" s="293"/>
      <c r="P107" s="293"/>
      <c r="Q107" s="293"/>
      <c r="R107" s="293"/>
      <c r="S107" s="293"/>
      <c r="T107" s="293"/>
      <c r="U107" s="293"/>
      <c r="V107" s="293"/>
      <c r="W107" s="293"/>
      <c r="X107" s="293"/>
      <c r="Y107" s="293"/>
      <c r="Z107" s="293"/>
      <c r="AA107" s="293"/>
      <c r="AB107" s="293"/>
      <c r="AC107" s="293"/>
      <c r="AD107" s="293"/>
      <c r="AE107" s="293"/>
      <c r="AF107" s="293"/>
      <c r="AG107" s="293"/>
      <c r="AH107" s="293"/>
      <c r="AI107" s="293"/>
      <c r="AJ107" s="293"/>
      <c r="AK107" s="293"/>
      <c r="AL107" s="293"/>
      <c r="AM107" s="293"/>
      <c r="AN107" s="293"/>
      <c r="AO107" s="293"/>
      <c r="AP107" s="293"/>
      <c r="AQ107" s="293"/>
      <c r="AR107" s="293"/>
      <c r="AS107" s="293"/>
      <c r="AT107" s="293"/>
      <c r="AU107" s="293"/>
      <c r="AV107" s="293"/>
      <c r="AW107" s="293"/>
      <c r="AX107" s="293"/>
      <c r="AY107" s="293"/>
      <c r="AZ107" s="293"/>
      <c r="BA107" s="293"/>
      <c r="BB107" s="293"/>
      <c r="BC107" s="293"/>
      <c r="BD107" s="293"/>
      <c r="BE107" s="293"/>
      <c r="BF107" s="293"/>
      <c r="BG107" s="293"/>
      <c r="BH107" s="293"/>
      <c r="BI107" s="293"/>
      <c r="BJ107" s="293"/>
      <c r="BK107" s="293"/>
      <c r="BL107" s="293"/>
      <c r="BM107" s="293"/>
      <c r="BN107" s="293"/>
      <c r="BO107" s="293"/>
      <c r="BP107" s="293"/>
      <c r="BQ107" s="293"/>
      <c r="BR107" s="293"/>
      <c r="BS107" s="293"/>
      <c r="BT107" s="293"/>
      <c r="BU107" s="293"/>
      <c r="BV107" s="293"/>
      <c r="BW107" s="293"/>
      <c r="BX107" s="293"/>
      <c r="BY107" s="293"/>
      <c r="BZ107" s="293"/>
      <c r="CA107" s="293"/>
      <c r="CB107" s="293"/>
      <c r="CC107" s="293"/>
      <c r="CD107" s="293"/>
      <c r="CE107" s="293"/>
      <c r="CF107" s="293"/>
      <c r="CG107" s="293"/>
      <c r="CH107" s="293"/>
      <c r="CI107" s="293"/>
      <c r="CJ107" s="293"/>
      <c r="CK107" s="293"/>
      <c r="CL107" s="293"/>
      <c r="CM107" s="293"/>
      <c r="CN107" s="293"/>
      <c r="CO107" s="293"/>
      <c r="CP107" s="293">
        <f t="shared" si="1468"/>
        <v>0</v>
      </c>
    </row>
    <row r="108" spans="1:94" ht="12" customHeight="1">
      <c r="A108" s="669">
        <v>54</v>
      </c>
      <c r="B108" s="645" t="s">
        <v>128</v>
      </c>
      <c r="C108" s="646" t="s">
        <v>726</v>
      </c>
      <c r="D108" s="647" t="s">
        <v>463</v>
      </c>
      <c r="E108" s="648" t="s">
        <v>455</v>
      </c>
      <c r="F108" s="642">
        <v>111.73</v>
      </c>
      <c r="G108" s="642">
        <v>27</v>
      </c>
      <c r="H108" s="643">
        <f>F108*G108*365</f>
        <v>1101099.1499999999</v>
      </c>
      <c r="I108" s="291">
        <v>275274.78999999998</v>
      </c>
      <c r="J108" s="295">
        <f>ROUND(F108*G108*365/4,0)</f>
        <v>275275</v>
      </c>
      <c r="K108" s="292">
        <f>J108</f>
        <v>275275</v>
      </c>
      <c r="L108" s="293">
        <f>K108</f>
        <v>275275</v>
      </c>
      <c r="M108" s="293">
        <f>L108</f>
        <v>275275</v>
      </c>
      <c r="N108" s="293">
        <f>ROUND(M108*(1+取值表!$D$10)*取值表!$I$10,0)</f>
        <v>283124</v>
      </c>
      <c r="O108" s="293">
        <f>N108</f>
        <v>283124</v>
      </c>
      <c r="P108" s="293">
        <f>O108</f>
        <v>283124</v>
      </c>
      <c r="Q108" s="293">
        <f>P108</f>
        <v>283124</v>
      </c>
      <c r="R108" s="294">
        <f>ROUND(Q108*(1+取值表!$D$10),0)</f>
        <v>309455</v>
      </c>
      <c r="S108" s="293">
        <f t="shared" ref="S108:T108" si="2298">R108</f>
        <v>309455</v>
      </c>
      <c r="T108" s="293">
        <f t="shared" si="2298"/>
        <v>309455</v>
      </c>
      <c r="U108" s="293">
        <f>T108</f>
        <v>309455</v>
      </c>
      <c r="V108" s="295">
        <f>ROUND(U108*(1+取值表!$D$8),0)</f>
        <v>338234</v>
      </c>
      <c r="W108" s="293">
        <f t="shared" ref="W108:Y108" si="2299">V108</f>
        <v>338234</v>
      </c>
      <c r="X108" s="293">
        <f t="shared" si="2299"/>
        <v>338234</v>
      </c>
      <c r="Y108" s="293">
        <f t="shared" si="2299"/>
        <v>338234</v>
      </c>
      <c r="Z108" s="295">
        <f>ROUND(Y108*(1+取值表!$D$8),0)</f>
        <v>369690</v>
      </c>
      <c r="AA108" s="293">
        <f t="shared" ref="AA108" si="2300">Z108</f>
        <v>369690</v>
      </c>
      <c r="AB108" s="293">
        <f t="shared" ref="AB108" si="2301">AA108</f>
        <v>369690</v>
      </c>
      <c r="AC108" s="293">
        <f>AB108</f>
        <v>369690</v>
      </c>
      <c r="AD108" s="295">
        <f>ROUND(AC108*(1+取值表!$D$8),0)</f>
        <v>404071</v>
      </c>
      <c r="AE108" s="293">
        <f t="shared" ref="AE108" si="2302">AD108</f>
        <v>404071</v>
      </c>
      <c r="AF108" s="293">
        <f t="shared" ref="AF108" si="2303">AE108</f>
        <v>404071</v>
      </c>
      <c r="AG108" s="293">
        <f t="shared" ref="AG108" si="2304">AF108</f>
        <v>404071</v>
      </c>
      <c r="AH108" s="295">
        <f>ROUND(AG108*(1+取值表!$D$8),0)</f>
        <v>441650</v>
      </c>
      <c r="AI108" s="293">
        <f t="shared" ref="AI108" si="2305">AH108</f>
        <v>441650</v>
      </c>
      <c r="AJ108" s="293">
        <f t="shared" ref="AJ108" si="2306">AI108</f>
        <v>441650</v>
      </c>
      <c r="AK108" s="293">
        <f t="shared" ref="AK108" si="2307">AJ108</f>
        <v>441650</v>
      </c>
      <c r="AL108" s="295">
        <f>ROUND(AK108*(1+取值表!$D$8),0)</f>
        <v>482723</v>
      </c>
      <c r="AM108" s="293">
        <f t="shared" ref="AM108" si="2308">AL108</f>
        <v>482723</v>
      </c>
      <c r="AN108" s="293">
        <f t="shared" ref="AN108" si="2309">AM108</f>
        <v>482723</v>
      </c>
      <c r="AO108" s="293">
        <f t="shared" ref="AO108" si="2310">AN108</f>
        <v>482723</v>
      </c>
      <c r="AP108" s="295">
        <f>ROUND(AO108*(1+取值表!$D$8),0)</f>
        <v>527616</v>
      </c>
      <c r="AQ108" s="293">
        <f t="shared" ref="AQ108" si="2311">AP108</f>
        <v>527616</v>
      </c>
      <c r="AR108" s="293">
        <f t="shared" ref="AR108" si="2312">AQ108</f>
        <v>527616</v>
      </c>
      <c r="AS108" s="293">
        <f t="shared" ref="AS108" si="2313">AR108</f>
        <v>527616</v>
      </c>
      <c r="AT108" s="295">
        <f>ROUND(AS108*(1+取值表!$D$8),0)</f>
        <v>576684</v>
      </c>
      <c r="AU108" s="293">
        <f t="shared" ref="AU108" si="2314">AT108</f>
        <v>576684</v>
      </c>
      <c r="AV108" s="293">
        <f t="shared" ref="AV108" si="2315">AU108</f>
        <v>576684</v>
      </c>
      <c r="AW108" s="293">
        <f t="shared" ref="AW108" si="2316">AV108</f>
        <v>576684</v>
      </c>
      <c r="AX108" s="295">
        <f>ROUND(AW108*(1+取值表!$D$8),0)</f>
        <v>630316</v>
      </c>
      <c r="AY108" s="293">
        <f t="shared" ref="AY108" si="2317">AX108</f>
        <v>630316</v>
      </c>
      <c r="AZ108" s="293">
        <f t="shared" ref="AZ108" si="2318">AY108</f>
        <v>630316</v>
      </c>
      <c r="BA108" s="293">
        <f t="shared" ref="BA108" si="2319">AZ108</f>
        <v>630316</v>
      </c>
      <c r="BB108" s="295">
        <f>ROUND(BA108*(1+取值表!$D$8),0)</f>
        <v>688935</v>
      </c>
      <c r="BC108" s="293">
        <f>BB108</f>
        <v>688935</v>
      </c>
      <c r="BD108" s="293">
        <f t="shared" ref="BD108" si="2320">BC108</f>
        <v>688935</v>
      </c>
      <c r="BE108" s="293">
        <f>BD108</f>
        <v>688935</v>
      </c>
      <c r="BF108" s="295">
        <f>ROUND(BE108*(1+取值表!$D$8),0)</f>
        <v>753006</v>
      </c>
      <c r="BG108" s="293">
        <f>BF108</f>
        <v>753006</v>
      </c>
      <c r="BH108" s="293">
        <f t="shared" ref="BH108" si="2321">BG108</f>
        <v>753006</v>
      </c>
      <c r="BI108" s="293">
        <f t="shared" ref="BI108" si="2322">BH108</f>
        <v>753006</v>
      </c>
      <c r="BJ108" s="295">
        <f>ROUND(BI108*(1+取值表!$D$8),0)</f>
        <v>823036</v>
      </c>
      <c r="BK108" s="293">
        <f t="shared" ref="BK108" si="2323">BJ108</f>
        <v>823036</v>
      </c>
      <c r="BL108" s="293">
        <f t="shared" ref="BL108" si="2324">BK108</f>
        <v>823036</v>
      </c>
      <c r="BM108" s="293">
        <f t="shared" ref="BM108" si="2325">BL108</f>
        <v>823036</v>
      </c>
      <c r="BN108" s="295">
        <f>ROUND(BM108*(1+取值表!$D$8),0)</f>
        <v>899578</v>
      </c>
      <c r="BO108" s="293">
        <f t="shared" ref="BO108" si="2326">BN108</f>
        <v>899578</v>
      </c>
      <c r="BP108" s="293">
        <f t="shared" ref="BP108" si="2327">BO108</f>
        <v>899578</v>
      </c>
      <c r="BQ108" s="293">
        <f t="shared" ref="BQ108" si="2328">BP108</f>
        <v>899578</v>
      </c>
      <c r="BR108" s="295">
        <f>ROUND(BQ108*(1+取值表!$D$8),0)</f>
        <v>983239</v>
      </c>
      <c r="BS108" s="293">
        <f t="shared" ref="BS108" si="2329">BR108</f>
        <v>983239</v>
      </c>
      <c r="BT108" s="293">
        <f t="shared" ref="BT108" si="2330">BS108</f>
        <v>983239</v>
      </c>
      <c r="BU108" s="293">
        <f t="shared" ref="BU108" si="2331">BT108</f>
        <v>983239</v>
      </c>
      <c r="BV108" s="295">
        <f>ROUND(BU108*(1+取值表!$D$8),0)</f>
        <v>1074680</v>
      </c>
      <c r="BW108" s="293">
        <f t="shared" ref="BW108" si="2332">BV108</f>
        <v>1074680</v>
      </c>
      <c r="BX108" s="293">
        <f t="shared" ref="BX108" si="2333">BW108</f>
        <v>1074680</v>
      </c>
      <c r="BY108" s="293">
        <f t="shared" ref="BY108" si="2334">BX108</f>
        <v>1074680</v>
      </c>
      <c r="BZ108" s="295">
        <f>ROUND(BY108*(1+取值表!$D$8),0)</f>
        <v>1174625</v>
      </c>
      <c r="CA108" s="293">
        <f t="shared" ref="CA108" si="2335">BZ108</f>
        <v>1174625</v>
      </c>
      <c r="CB108" s="293">
        <f t="shared" ref="CB108" si="2336">CA108</f>
        <v>1174625</v>
      </c>
      <c r="CC108" s="293">
        <f t="shared" ref="CC108" si="2337">CB108</f>
        <v>1174625</v>
      </c>
      <c r="CD108" s="295">
        <f>ROUND(CC108*(1+取值表!$D$8),0)</f>
        <v>1283865</v>
      </c>
      <c r="CE108" s="293">
        <f t="shared" ref="CE108" si="2338">CD108</f>
        <v>1283865</v>
      </c>
      <c r="CF108" s="293">
        <f t="shared" ref="CF108" si="2339">CE108</f>
        <v>1283865</v>
      </c>
      <c r="CG108" s="293">
        <f t="shared" ref="CG108" si="2340">CF108</f>
        <v>1283865</v>
      </c>
      <c r="CH108" s="295">
        <f>ROUND(CG108*(1+取值表!$D$8),0)</f>
        <v>1403264</v>
      </c>
      <c r="CI108" s="293">
        <f>CH108</f>
        <v>1403264</v>
      </c>
      <c r="CJ108" s="293">
        <f t="shared" ref="CJ108" si="2341">CI108</f>
        <v>1403264</v>
      </c>
      <c r="CK108" s="293">
        <f t="shared" ref="CK108" si="2342">CJ108</f>
        <v>1403264</v>
      </c>
      <c r="CL108" s="295">
        <f>ROUND(CK108*(1+取值表!$D$8),0)</f>
        <v>1533768</v>
      </c>
      <c r="CM108" s="293">
        <f>CL108</f>
        <v>1533768</v>
      </c>
      <c r="CN108" s="293">
        <f t="shared" ref="CN108" si="2343">CM108</f>
        <v>1533768</v>
      </c>
      <c r="CO108" s="293">
        <f t="shared" ref="CO108" si="2344">CN108</f>
        <v>1533768</v>
      </c>
      <c r="CP108" s="293">
        <f t="shared" si="1468"/>
        <v>61027336</v>
      </c>
    </row>
    <row r="109" spans="1:94">
      <c r="A109" s="670"/>
      <c r="B109" s="645"/>
      <c r="C109" s="646"/>
      <c r="D109" s="647"/>
      <c r="E109" s="648"/>
      <c r="F109" s="642"/>
      <c r="G109" s="642"/>
      <c r="H109" s="643"/>
      <c r="I109" s="291"/>
      <c r="J109" s="295"/>
      <c r="K109" s="293"/>
      <c r="L109" s="293"/>
      <c r="M109" s="293"/>
      <c r="N109" s="293"/>
      <c r="O109" s="293"/>
      <c r="P109" s="293"/>
      <c r="Q109" s="293"/>
      <c r="R109" s="293"/>
      <c r="S109" s="293"/>
      <c r="T109" s="293"/>
      <c r="U109" s="293"/>
      <c r="V109" s="293"/>
      <c r="W109" s="293"/>
      <c r="X109" s="293"/>
      <c r="Y109" s="293"/>
      <c r="Z109" s="293"/>
      <c r="AA109" s="293"/>
      <c r="AB109" s="293"/>
      <c r="AC109" s="293"/>
      <c r="AD109" s="293"/>
      <c r="AE109" s="293"/>
      <c r="AF109" s="293"/>
      <c r="AG109" s="293"/>
      <c r="AH109" s="293"/>
      <c r="AI109" s="293"/>
      <c r="AJ109" s="293"/>
      <c r="AK109" s="293"/>
      <c r="AL109" s="293"/>
      <c r="AM109" s="293"/>
      <c r="AN109" s="293"/>
      <c r="AO109" s="293"/>
      <c r="AP109" s="293"/>
      <c r="AQ109" s="293"/>
      <c r="AR109" s="293"/>
      <c r="AS109" s="293"/>
      <c r="AT109" s="293"/>
      <c r="AU109" s="293"/>
      <c r="AV109" s="293"/>
      <c r="AW109" s="293"/>
      <c r="AX109" s="293"/>
      <c r="AY109" s="293"/>
      <c r="AZ109" s="293"/>
      <c r="BA109" s="293"/>
      <c r="BB109" s="293"/>
      <c r="BC109" s="293"/>
      <c r="BD109" s="293"/>
      <c r="BE109" s="293"/>
      <c r="BF109" s="293"/>
      <c r="BG109" s="293"/>
      <c r="BH109" s="293"/>
      <c r="BI109" s="293"/>
      <c r="BJ109" s="293"/>
      <c r="BK109" s="293"/>
      <c r="BL109" s="293"/>
      <c r="BM109" s="293"/>
      <c r="BN109" s="293"/>
      <c r="BO109" s="293"/>
      <c r="BP109" s="293"/>
      <c r="BQ109" s="293"/>
      <c r="BR109" s="293"/>
      <c r="BS109" s="293"/>
      <c r="BT109" s="293"/>
      <c r="BU109" s="293"/>
      <c r="BV109" s="293"/>
      <c r="BW109" s="293"/>
      <c r="BX109" s="293"/>
      <c r="BY109" s="293"/>
      <c r="BZ109" s="293"/>
      <c r="CA109" s="293"/>
      <c r="CB109" s="293"/>
      <c r="CC109" s="293"/>
      <c r="CD109" s="293"/>
      <c r="CE109" s="293"/>
      <c r="CF109" s="293"/>
      <c r="CG109" s="293"/>
      <c r="CH109" s="293"/>
      <c r="CI109" s="293"/>
      <c r="CJ109" s="293"/>
      <c r="CK109" s="293"/>
      <c r="CL109" s="293"/>
      <c r="CM109" s="293"/>
      <c r="CN109" s="293"/>
      <c r="CO109" s="293"/>
      <c r="CP109" s="293">
        <f t="shared" si="1468"/>
        <v>0</v>
      </c>
    </row>
    <row r="110" spans="1:94" ht="12" customHeight="1">
      <c r="A110" s="669">
        <v>55</v>
      </c>
      <c r="B110" s="645" t="s">
        <v>129</v>
      </c>
      <c r="C110" s="646" t="s">
        <v>130</v>
      </c>
      <c r="D110" s="647" t="s">
        <v>131</v>
      </c>
      <c r="E110" s="648" t="s">
        <v>455</v>
      </c>
      <c r="F110" s="642">
        <v>135.93</v>
      </c>
      <c r="G110" s="642">
        <v>27</v>
      </c>
      <c r="H110" s="643">
        <f>F110*G110*365</f>
        <v>1339590.1500000001</v>
      </c>
      <c r="I110" s="291">
        <v>334897.53999999998</v>
      </c>
      <c r="J110" s="295">
        <f>ROUND(F110*G110*365/4,0)</f>
        <v>334898</v>
      </c>
      <c r="K110" s="292">
        <f>J110</f>
        <v>334898</v>
      </c>
      <c r="L110" s="293">
        <f>K110</f>
        <v>334898</v>
      </c>
      <c r="M110" s="293">
        <f>L110</f>
        <v>334898</v>
      </c>
      <c r="N110" s="293">
        <f>ROUND(M110*(1+取值表!$D$10)*取值表!$I$10,0)</f>
        <v>344447</v>
      </c>
      <c r="O110" s="293">
        <f>N110</f>
        <v>344447</v>
      </c>
      <c r="P110" s="293">
        <f>O110</f>
        <v>344447</v>
      </c>
      <c r="Q110" s="293">
        <f>P110</f>
        <v>344447</v>
      </c>
      <c r="R110" s="294">
        <f>ROUND(Q110*(1+取值表!$D$10),0)</f>
        <v>376481</v>
      </c>
      <c r="S110" s="293">
        <f t="shared" ref="S110:T110" si="2345">R110</f>
        <v>376481</v>
      </c>
      <c r="T110" s="293">
        <f t="shared" si="2345"/>
        <v>376481</v>
      </c>
      <c r="U110" s="293">
        <f>T110</f>
        <v>376481</v>
      </c>
      <c r="V110" s="295">
        <f>ROUND(U110*(1+取值表!$D$8),0)</f>
        <v>411494</v>
      </c>
      <c r="W110" s="293">
        <f t="shared" ref="W110:Y110" si="2346">V110</f>
        <v>411494</v>
      </c>
      <c r="X110" s="293">
        <f t="shared" si="2346"/>
        <v>411494</v>
      </c>
      <c r="Y110" s="293">
        <f t="shared" si="2346"/>
        <v>411494</v>
      </c>
      <c r="Z110" s="295">
        <f>ROUND(Y110*(1+取值表!$D$8),0)</f>
        <v>449763</v>
      </c>
      <c r="AA110" s="293">
        <f t="shared" ref="AA110" si="2347">Z110</f>
        <v>449763</v>
      </c>
      <c r="AB110" s="293">
        <f t="shared" ref="AB110" si="2348">AA110</f>
        <v>449763</v>
      </c>
      <c r="AC110" s="293">
        <f>AB110</f>
        <v>449763</v>
      </c>
      <c r="AD110" s="295">
        <f>ROUND(AC110*(1+取值表!$D$8),0)</f>
        <v>491591</v>
      </c>
      <c r="AE110" s="293">
        <f t="shared" ref="AE110" si="2349">AD110</f>
        <v>491591</v>
      </c>
      <c r="AF110" s="293">
        <f t="shared" ref="AF110" si="2350">AE110</f>
        <v>491591</v>
      </c>
      <c r="AG110" s="293">
        <f t="shared" ref="AG110" si="2351">AF110</f>
        <v>491591</v>
      </c>
      <c r="AH110" s="295">
        <f>ROUND(AG110*(1+取值表!$D$8),0)</f>
        <v>537309</v>
      </c>
      <c r="AI110" s="293">
        <f t="shared" ref="AI110" si="2352">AH110</f>
        <v>537309</v>
      </c>
      <c r="AJ110" s="293">
        <f t="shared" ref="AJ110" si="2353">AI110</f>
        <v>537309</v>
      </c>
      <c r="AK110" s="293">
        <f t="shared" ref="AK110" si="2354">AJ110</f>
        <v>537309</v>
      </c>
      <c r="AL110" s="295">
        <f>ROUND(AK110*(1+取值表!$D$8),0)</f>
        <v>587279</v>
      </c>
      <c r="AM110" s="293">
        <f t="shared" ref="AM110" si="2355">AL110</f>
        <v>587279</v>
      </c>
      <c r="AN110" s="293">
        <f t="shared" ref="AN110" si="2356">AM110</f>
        <v>587279</v>
      </c>
      <c r="AO110" s="293">
        <f t="shared" ref="AO110" si="2357">AN110</f>
        <v>587279</v>
      </c>
      <c r="AP110" s="295">
        <f>ROUND(AO110*(1+取值表!$D$8),0)</f>
        <v>641896</v>
      </c>
      <c r="AQ110" s="293">
        <f t="shared" ref="AQ110" si="2358">AP110</f>
        <v>641896</v>
      </c>
      <c r="AR110" s="293">
        <f t="shared" ref="AR110" si="2359">AQ110</f>
        <v>641896</v>
      </c>
      <c r="AS110" s="293">
        <f t="shared" ref="AS110" si="2360">AR110</f>
        <v>641896</v>
      </c>
      <c r="AT110" s="295">
        <f>ROUND(AS110*(1+取值表!$D$8),0)</f>
        <v>701592</v>
      </c>
      <c r="AU110" s="293">
        <f t="shared" ref="AU110" si="2361">AT110</f>
        <v>701592</v>
      </c>
      <c r="AV110" s="293">
        <f t="shared" ref="AV110" si="2362">AU110</f>
        <v>701592</v>
      </c>
      <c r="AW110" s="293">
        <f t="shared" ref="AW110" si="2363">AV110</f>
        <v>701592</v>
      </c>
      <c r="AX110" s="295">
        <f>ROUND(AW110*(1+取值表!$D$8),0)</f>
        <v>766840</v>
      </c>
      <c r="AY110" s="293">
        <f t="shared" ref="AY110" si="2364">AX110</f>
        <v>766840</v>
      </c>
      <c r="AZ110" s="293">
        <f t="shared" ref="AZ110" si="2365">AY110</f>
        <v>766840</v>
      </c>
      <c r="BA110" s="293">
        <f t="shared" ref="BA110" si="2366">AZ110</f>
        <v>766840</v>
      </c>
      <c r="BB110" s="295">
        <f>ROUND(BA110*(1+取值表!$D$8),0)</f>
        <v>838156</v>
      </c>
      <c r="BC110" s="293">
        <f>BB110</f>
        <v>838156</v>
      </c>
      <c r="BD110" s="293">
        <f t="shared" ref="BD110" si="2367">BC110</f>
        <v>838156</v>
      </c>
      <c r="BE110" s="293">
        <f>BD110</f>
        <v>838156</v>
      </c>
      <c r="BF110" s="295">
        <f>ROUND(BE110*(1+取值表!$D$8),0)</f>
        <v>916105</v>
      </c>
      <c r="BG110" s="293">
        <f>BF110</f>
        <v>916105</v>
      </c>
      <c r="BH110" s="293">
        <f t="shared" ref="BH110" si="2368">BG110</f>
        <v>916105</v>
      </c>
      <c r="BI110" s="293">
        <f t="shared" ref="BI110" si="2369">BH110</f>
        <v>916105</v>
      </c>
      <c r="BJ110" s="295">
        <f>ROUND(BI110*(1+取值表!$D$8),0)</f>
        <v>1001303</v>
      </c>
      <c r="BK110" s="293">
        <f t="shared" ref="BK110" si="2370">BJ110</f>
        <v>1001303</v>
      </c>
      <c r="BL110" s="293">
        <f t="shared" ref="BL110" si="2371">BK110</f>
        <v>1001303</v>
      </c>
      <c r="BM110" s="293">
        <f t="shared" ref="BM110" si="2372">BL110</f>
        <v>1001303</v>
      </c>
      <c r="BN110" s="295">
        <f>ROUND(BM110*(1+取值表!$D$8),0)</f>
        <v>1094424</v>
      </c>
      <c r="BO110" s="293">
        <f t="shared" ref="BO110" si="2373">BN110</f>
        <v>1094424</v>
      </c>
      <c r="BP110" s="293">
        <f t="shared" ref="BP110" si="2374">BO110</f>
        <v>1094424</v>
      </c>
      <c r="BQ110" s="293">
        <f t="shared" ref="BQ110" si="2375">BP110</f>
        <v>1094424</v>
      </c>
      <c r="BR110" s="295">
        <f>ROUND(BQ110*(1+取值表!$D$8),0)</f>
        <v>1196205</v>
      </c>
      <c r="BS110" s="293">
        <f t="shared" ref="BS110" si="2376">BR110</f>
        <v>1196205</v>
      </c>
      <c r="BT110" s="293">
        <f t="shared" ref="BT110" si="2377">BS110</f>
        <v>1196205</v>
      </c>
      <c r="BU110" s="293">
        <f t="shared" ref="BU110" si="2378">BT110</f>
        <v>1196205</v>
      </c>
      <c r="BV110" s="295">
        <f>ROUND(BU110*(1+取值表!$D$8),0)</f>
        <v>1307452</v>
      </c>
      <c r="BW110" s="293">
        <f t="shared" ref="BW110" si="2379">BV110</f>
        <v>1307452</v>
      </c>
      <c r="BX110" s="293">
        <f t="shared" ref="BX110" si="2380">BW110</f>
        <v>1307452</v>
      </c>
      <c r="BY110" s="293">
        <f t="shared" ref="BY110" si="2381">BX110</f>
        <v>1307452</v>
      </c>
      <c r="BZ110" s="295">
        <f>ROUND(BY110*(1+取值表!$D$8),0)</f>
        <v>1429045</v>
      </c>
      <c r="CA110" s="293">
        <f t="shared" ref="CA110" si="2382">BZ110</f>
        <v>1429045</v>
      </c>
      <c r="CB110" s="293">
        <f t="shared" ref="CB110" si="2383">CA110</f>
        <v>1429045</v>
      </c>
      <c r="CC110" s="293">
        <f t="shared" ref="CC110" si="2384">CB110</f>
        <v>1429045</v>
      </c>
      <c r="CD110" s="295">
        <f>ROUND(CC110*(1+取值表!$D$8),0)</f>
        <v>1561946</v>
      </c>
      <c r="CE110" s="293">
        <f t="shared" ref="CE110" si="2385">CD110</f>
        <v>1561946</v>
      </c>
      <c r="CF110" s="293">
        <f t="shared" ref="CF110" si="2386">CE110</f>
        <v>1561946</v>
      </c>
      <c r="CG110" s="293">
        <f t="shared" ref="CG110" si="2387">CF110</f>
        <v>1561946</v>
      </c>
      <c r="CH110" s="295">
        <f>ROUND(CG110*(1+取值表!$D$8),0)</f>
        <v>1707207</v>
      </c>
      <c r="CI110" s="293">
        <f>CH110</f>
        <v>1707207</v>
      </c>
      <c r="CJ110" s="293">
        <f t="shared" ref="CJ110" si="2388">CI110</f>
        <v>1707207</v>
      </c>
      <c r="CK110" s="293">
        <f t="shared" ref="CK110" si="2389">CJ110</f>
        <v>1707207</v>
      </c>
      <c r="CL110" s="295">
        <f>ROUND(CK110*(1+取值表!$D$8),0)</f>
        <v>1865977</v>
      </c>
      <c r="CM110" s="293">
        <f>CL110</f>
        <v>1865977</v>
      </c>
      <c r="CN110" s="293">
        <f t="shared" ref="CN110" si="2390">CM110</f>
        <v>1865977</v>
      </c>
      <c r="CO110" s="293">
        <f t="shared" ref="CO110" si="2391">CN110</f>
        <v>1865977</v>
      </c>
      <c r="CP110" s="293">
        <f t="shared" si="1468"/>
        <v>74245640</v>
      </c>
    </row>
    <row r="111" spans="1:94">
      <c r="A111" s="670"/>
      <c r="B111" s="645"/>
      <c r="C111" s="646"/>
      <c r="D111" s="647"/>
      <c r="E111" s="648"/>
      <c r="F111" s="642"/>
      <c r="G111" s="642"/>
      <c r="H111" s="643"/>
      <c r="I111" s="291"/>
      <c r="J111" s="295"/>
      <c r="K111" s="293"/>
      <c r="L111" s="293"/>
      <c r="M111" s="293"/>
      <c r="N111" s="293"/>
      <c r="O111" s="293"/>
      <c r="P111" s="293"/>
      <c r="Q111" s="293"/>
      <c r="R111" s="293"/>
      <c r="S111" s="293"/>
      <c r="T111" s="293"/>
      <c r="U111" s="293"/>
      <c r="V111" s="293"/>
      <c r="W111" s="293"/>
      <c r="X111" s="293"/>
      <c r="Y111" s="293"/>
      <c r="Z111" s="293"/>
      <c r="AA111" s="293"/>
      <c r="AB111" s="293"/>
      <c r="AC111" s="293"/>
      <c r="AD111" s="293"/>
      <c r="AE111" s="293"/>
      <c r="AF111" s="293"/>
      <c r="AG111" s="293"/>
      <c r="AH111" s="293"/>
      <c r="AI111" s="293"/>
      <c r="AJ111" s="293"/>
      <c r="AK111" s="293"/>
      <c r="AL111" s="293"/>
      <c r="AM111" s="293"/>
      <c r="AN111" s="293"/>
      <c r="AO111" s="293"/>
      <c r="AP111" s="293"/>
      <c r="AQ111" s="293"/>
      <c r="AR111" s="293"/>
      <c r="AS111" s="293"/>
      <c r="AT111" s="293"/>
      <c r="AU111" s="293"/>
      <c r="AV111" s="293"/>
      <c r="AW111" s="293"/>
      <c r="AX111" s="293"/>
      <c r="AY111" s="293"/>
      <c r="AZ111" s="293"/>
      <c r="BA111" s="293"/>
      <c r="BB111" s="293"/>
      <c r="BC111" s="293"/>
      <c r="BD111" s="293"/>
      <c r="BE111" s="293"/>
      <c r="BF111" s="293"/>
      <c r="BG111" s="293"/>
      <c r="BH111" s="293"/>
      <c r="BI111" s="293"/>
      <c r="BJ111" s="293"/>
      <c r="BK111" s="293"/>
      <c r="BL111" s="293"/>
      <c r="BM111" s="293"/>
      <c r="BN111" s="293"/>
      <c r="BO111" s="293"/>
      <c r="BP111" s="293"/>
      <c r="BQ111" s="293"/>
      <c r="BR111" s="293"/>
      <c r="BS111" s="293"/>
      <c r="BT111" s="293"/>
      <c r="BU111" s="293"/>
      <c r="BV111" s="293"/>
      <c r="BW111" s="293"/>
      <c r="BX111" s="293"/>
      <c r="BY111" s="293"/>
      <c r="BZ111" s="293"/>
      <c r="CA111" s="293"/>
      <c r="CB111" s="293"/>
      <c r="CC111" s="293"/>
      <c r="CD111" s="293"/>
      <c r="CE111" s="293"/>
      <c r="CF111" s="293"/>
      <c r="CG111" s="293"/>
      <c r="CH111" s="293"/>
      <c r="CI111" s="293"/>
      <c r="CJ111" s="293"/>
      <c r="CK111" s="293"/>
      <c r="CL111" s="293"/>
      <c r="CM111" s="293"/>
      <c r="CN111" s="293"/>
      <c r="CO111" s="293"/>
      <c r="CP111" s="293">
        <f t="shared" si="1468"/>
        <v>0</v>
      </c>
    </row>
    <row r="112" spans="1:94" ht="12" customHeight="1">
      <c r="A112" s="669">
        <v>56</v>
      </c>
      <c r="B112" s="645" t="s">
        <v>132</v>
      </c>
      <c r="C112" s="646" t="s">
        <v>133</v>
      </c>
      <c r="D112" s="647" t="s">
        <v>464</v>
      </c>
      <c r="E112" s="648" t="s">
        <v>455</v>
      </c>
      <c r="F112" s="642">
        <v>12.67</v>
      </c>
      <c r="G112" s="642">
        <v>33</v>
      </c>
      <c r="H112" s="643">
        <f>F112*G112*365</f>
        <v>152610.15</v>
      </c>
      <c r="I112" s="291">
        <v>38152.54</v>
      </c>
      <c r="J112" s="295">
        <f>ROUND(F112*G112*365/4,0)</f>
        <v>38153</v>
      </c>
      <c r="K112" s="292">
        <f>J112</f>
        <v>38153</v>
      </c>
      <c r="L112" s="293">
        <f>K112</f>
        <v>38153</v>
      </c>
      <c r="M112" s="293">
        <f>L112</f>
        <v>38153</v>
      </c>
      <c r="N112" s="293">
        <f>ROUND(M112*(1+取值表!$D$10)*取值表!$I$10,0)</f>
        <v>39241</v>
      </c>
      <c r="O112" s="293">
        <f>N112</f>
        <v>39241</v>
      </c>
      <c r="P112" s="293">
        <f>O112</f>
        <v>39241</v>
      </c>
      <c r="Q112" s="293">
        <f>P112</f>
        <v>39241</v>
      </c>
      <c r="R112" s="294">
        <f>ROUND(Q112*(1+取值表!$D$10),0)</f>
        <v>42890</v>
      </c>
      <c r="S112" s="293">
        <f t="shared" ref="S112:T112" si="2392">R112</f>
        <v>42890</v>
      </c>
      <c r="T112" s="293">
        <f t="shared" si="2392"/>
        <v>42890</v>
      </c>
      <c r="U112" s="293">
        <f>T112</f>
        <v>42890</v>
      </c>
      <c r="V112" s="295">
        <f>ROUND(U112*(1+取值表!$D$8),0)</f>
        <v>46879</v>
      </c>
      <c r="W112" s="293">
        <f t="shared" ref="W112:Y112" si="2393">V112</f>
        <v>46879</v>
      </c>
      <c r="X112" s="293">
        <f t="shared" si="2393"/>
        <v>46879</v>
      </c>
      <c r="Y112" s="293">
        <f t="shared" si="2393"/>
        <v>46879</v>
      </c>
      <c r="Z112" s="295">
        <f>ROUND(Y112*(1+取值表!$D$8),0)</f>
        <v>51239</v>
      </c>
      <c r="AA112" s="293">
        <f t="shared" ref="AA112" si="2394">Z112</f>
        <v>51239</v>
      </c>
      <c r="AB112" s="293">
        <f t="shared" ref="AB112" si="2395">AA112</f>
        <v>51239</v>
      </c>
      <c r="AC112" s="293">
        <f>AB112</f>
        <v>51239</v>
      </c>
      <c r="AD112" s="295">
        <f>ROUND(AC112*(1+取值表!$D$8),0)</f>
        <v>56004</v>
      </c>
      <c r="AE112" s="293">
        <f t="shared" ref="AE112" si="2396">AD112</f>
        <v>56004</v>
      </c>
      <c r="AF112" s="293">
        <f t="shared" ref="AF112" si="2397">AE112</f>
        <v>56004</v>
      </c>
      <c r="AG112" s="293">
        <f t="shared" ref="AG112" si="2398">AF112</f>
        <v>56004</v>
      </c>
      <c r="AH112" s="295">
        <f>ROUND(AG112*(1+取值表!$D$8),0)</f>
        <v>61212</v>
      </c>
      <c r="AI112" s="293">
        <f t="shared" ref="AI112" si="2399">AH112</f>
        <v>61212</v>
      </c>
      <c r="AJ112" s="293">
        <f t="shared" ref="AJ112" si="2400">AI112</f>
        <v>61212</v>
      </c>
      <c r="AK112" s="293">
        <f t="shared" ref="AK112" si="2401">AJ112</f>
        <v>61212</v>
      </c>
      <c r="AL112" s="295">
        <f>ROUND(AK112*(1+取值表!$D$8),0)</f>
        <v>66905</v>
      </c>
      <c r="AM112" s="293">
        <f t="shared" ref="AM112" si="2402">AL112</f>
        <v>66905</v>
      </c>
      <c r="AN112" s="293">
        <f t="shared" ref="AN112" si="2403">AM112</f>
        <v>66905</v>
      </c>
      <c r="AO112" s="293">
        <f t="shared" ref="AO112" si="2404">AN112</f>
        <v>66905</v>
      </c>
      <c r="AP112" s="295">
        <f>ROUND(AO112*(1+取值表!$D$8),0)</f>
        <v>73127</v>
      </c>
      <c r="AQ112" s="293">
        <f t="shared" ref="AQ112" si="2405">AP112</f>
        <v>73127</v>
      </c>
      <c r="AR112" s="293">
        <f t="shared" ref="AR112" si="2406">AQ112</f>
        <v>73127</v>
      </c>
      <c r="AS112" s="293">
        <f t="shared" ref="AS112" si="2407">AR112</f>
        <v>73127</v>
      </c>
      <c r="AT112" s="295">
        <f>ROUND(AS112*(1+取值表!$D$8),0)</f>
        <v>79928</v>
      </c>
      <c r="AU112" s="293">
        <f t="shared" ref="AU112" si="2408">AT112</f>
        <v>79928</v>
      </c>
      <c r="AV112" s="293">
        <f t="shared" ref="AV112" si="2409">AU112</f>
        <v>79928</v>
      </c>
      <c r="AW112" s="293">
        <f t="shared" ref="AW112" si="2410">AV112</f>
        <v>79928</v>
      </c>
      <c r="AX112" s="295">
        <f>ROUND(AW112*(1+取值表!$D$8),0)</f>
        <v>87361</v>
      </c>
      <c r="AY112" s="293">
        <f t="shared" ref="AY112" si="2411">AX112</f>
        <v>87361</v>
      </c>
      <c r="AZ112" s="293">
        <f t="shared" ref="AZ112" si="2412">AY112</f>
        <v>87361</v>
      </c>
      <c r="BA112" s="293">
        <f t="shared" ref="BA112" si="2413">AZ112</f>
        <v>87361</v>
      </c>
      <c r="BB112" s="295">
        <f>ROUND(BA112*(1+取值表!$D$8),0)</f>
        <v>95486</v>
      </c>
      <c r="BC112" s="293">
        <f>BB112</f>
        <v>95486</v>
      </c>
      <c r="BD112" s="293">
        <f t="shared" ref="BD112" si="2414">BC112</f>
        <v>95486</v>
      </c>
      <c r="BE112" s="293">
        <f>BD112</f>
        <v>95486</v>
      </c>
      <c r="BF112" s="295">
        <f>ROUND(BE112*(1+取值表!$D$8),0)</f>
        <v>104366</v>
      </c>
      <c r="BG112" s="293">
        <f>BF112</f>
        <v>104366</v>
      </c>
      <c r="BH112" s="293">
        <f t="shared" ref="BH112" si="2415">BG112</f>
        <v>104366</v>
      </c>
      <c r="BI112" s="293">
        <f t="shared" ref="BI112" si="2416">BH112</f>
        <v>104366</v>
      </c>
      <c r="BJ112" s="295">
        <f>ROUND(BI112*(1+取值表!$D$8),0)</f>
        <v>114072</v>
      </c>
      <c r="BK112" s="293">
        <f t="shared" ref="BK112" si="2417">BJ112</f>
        <v>114072</v>
      </c>
      <c r="BL112" s="293">
        <f t="shared" ref="BL112" si="2418">BK112</f>
        <v>114072</v>
      </c>
      <c r="BM112" s="293">
        <f t="shared" ref="BM112" si="2419">BL112</f>
        <v>114072</v>
      </c>
      <c r="BN112" s="295">
        <f>ROUND(BM112*(1+取值表!$D$8),0)</f>
        <v>124681</v>
      </c>
      <c r="BO112" s="293">
        <f t="shared" ref="BO112" si="2420">BN112</f>
        <v>124681</v>
      </c>
      <c r="BP112" s="293">
        <f t="shared" ref="BP112" si="2421">BO112</f>
        <v>124681</v>
      </c>
      <c r="BQ112" s="293">
        <f t="shared" ref="BQ112" si="2422">BP112</f>
        <v>124681</v>
      </c>
      <c r="BR112" s="295">
        <f>ROUND(BQ112*(1+取值表!$D$8),0)</f>
        <v>136276</v>
      </c>
      <c r="BS112" s="293">
        <f t="shared" ref="BS112" si="2423">BR112</f>
        <v>136276</v>
      </c>
      <c r="BT112" s="293">
        <f t="shared" ref="BT112" si="2424">BS112</f>
        <v>136276</v>
      </c>
      <c r="BU112" s="293">
        <f t="shared" ref="BU112" si="2425">BT112</f>
        <v>136276</v>
      </c>
      <c r="BV112" s="295">
        <f>ROUND(BU112*(1+取值表!$D$8),0)</f>
        <v>148950</v>
      </c>
      <c r="BW112" s="293">
        <f t="shared" ref="BW112" si="2426">BV112</f>
        <v>148950</v>
      </c>
      <c r="BX112" s="293">
        <f t="shared" ref="BX112" si="2427">BW112</f>
        <v>148950</v>
      </c>
      <c r="BY112" s="293">
        <f t="shared" ref="BY112" si="2428">BX112</f>
        <v>148950</v>
      </c>
      <c r="BZ112" s="295">
        <f>ROUND(BY112*(1+取值表!$D$8),0)</f>
        <v>162802</v>
      </c>
      <c r="CA112" s="293">
        <f t="shared" ref="CA112" si="2429">BZ112</f>
        <v>162802</v>
      </c>
      <c r="CB112" s="293">
        <f t="shared" ref="CB112" si="2430">CA112</f>
        <v>162802</v>
      </c>
      <c r="CC112" s="293">
        <f t="shared" ref="CC112" si="2431">CB112</f>
        <v>162802</v>
      </c>
      <c r="CD112" s="295">
        <f>ROUND(CC112*(1+取值表!$D$8),0)</f>
        <v>177943</v>
      </c>
      <c r="CE112" s="293">
        <f t="shared" ref="CE112" si="2432">CD112</f>
        <v>177943</v>
      </c>
      <c r="CF112" s="293">
        <f t="shared" ref="CF112" si="2433">CE112</f>
        <v>177943</v>
      </c>
      <c r="CG112" s="293">
        <f t="shared" ref="CG112" si="2434">CF112</f>
        <v>177943</v>
      </c>
      <c r="CH112" s="295">
        <f>ROUND(CG112*(1+取值表!$D$8),0)</f>
        <v>194492</v>
      </c>
      <c r="CI112" s="293">
        <f>CH112</f>
        <v>194492</v>
      </c>
      <c r="CJ112" s="293">
        <f t="shared" ref="CJ112" si="2435">CI112</f>
        <v>194492</v>
      </c>
      <c r="CK112" s="293">
        <f t="shared" ref="CK112" si="2436">CJ112</f>
        <v>194492</v>
      </c>
      <c r="CL112" s="295">
        <f>ROUND(CK112*(1+取值表!$D$8),0)</f>
        <v>212580</v>
      </c>
      <c r="CM112" s="293">
        <f>CL112</f>
        <v>212580</v>
      </c>
      <c r="CN112" s="293">
        <f t="shared" ref="CN112" si="2437">CM112</f>
        <v>212580</v>
      </c>
      <c r="CO112" s="293">
        <f t="shared" ref="CO112" si="2438">CN112</f>
        <v>212580</v>
      </c>
      <c r="CP112" s="293">
        <f t="shared" si="1468"/>
        <v>8458348</v>
      </c>
    </row>
    <row r="113" spans="1:94" ht="17.25" customHeight="1">
      <c r="A113" s="670"/>
      <c r="B113" s="645"/>
      <c r="C113" s="646"/>
      <c r="D113" s="647"/>
      <c r="E113" s="648"/>
      <c r="F113" s="642"/>
      <c r="G113" s="642"/>
      <c r="H113" s="643"/>
      <c r="I113" s="291"/>
      <c r="J113" s="295"/>
      <c r="K113" s="293"/>
      <c r="L113" s="293"/>
      <c r="M113" s="293"/>
      <c r="N113" s="293"/>
      <c r="O113" s="293"/>
      <c r="P113" s="293"/>
      <c r="Q113" s="293"/>
      <c r="R113" s="293"/>
      <c r="S113" s="293"/>
      <c r="T113" s="293"/>
      <c r="U113" s="293"/>
      <c r="V113" s="293"/>
      <c r="W113" s="293"/>
      <c r="X113" s="293"/>
      <c r="Y113" s="293"/>
      <c r="Z113" s="293"/>
      <c r="AA113" s="293"/>
      <c r="AB113" s="293"/>
      <c r="AC113" s="293"/>
      <c r="AD113" s="293"/>
      <c r="AE113" s="293"/>
      <c r="AF113" s="293"/>
      <c r="AG113" s="293"/>
      <c r="AH113" s="293"/>
      <c r="AI113" s="293"/>
      <c r="AJ113" s="293"/>
      <c r="AK113" s="293"/>
      <c r="AL113" s="293"/>
      <c r="AM113" s="293"/>
      <c r="AN113" s="293"/>
      <c r="AO113" s="293"/>
      <c r="AP113" s="293"/>
      <c r="AQ113" s="293"/>
      <c r="AR113" s="293"/>
      <c r="AS113" s="293"/>
      <c r="AT113" s="293"/>
      <c r="AU113" s="293"/>
      <c r="AV113" s="293"/>
      <c r="AW113" s="293"/>
      <c r="AX113" s="293"/>
      <c r="AY113" s="293"/>
      <c r="AZ113" s="293"/>
      <c r="BA113" s="293"/>
      <c r="BB113" s="293"/>
      <c r="BC113" s="293"/>
      <c r="BD113" s="293"/>
      <c r="BE113" s="293"/>
      <c r="BF113" s="293"/>
      <c r="BG113" s="293"/>
      <c r="BH113" s="293"/>
      <c r="BI113" s="293"/>
      <c r="BJ113" s="293"/>
      <c r="BK113" s="293"/>
      <c r="BL113" s="293"/>
      <c r="BM113" s="293"/>
      <c r="BN113" s="293"/>
      <c r="BO113" s="293"/>
      <c r="BP113" s="293"/>
      <c r="BQ113" s="293"/>
      <c r="BR113" s="293"/>
      <c r="BS113" s="293"/>
      <c r="BT113" s="293"/>
      <c r="BU113" s="293"/>
      <c r="BV113" s="293"/>
      <c r="BW113" s="293"/>
      <c r="BX113" s="293"/>
      <c r="BY113" s="293"/>
      <c r="BZ113" s="293"/>
      <c r="CA113" s="293"/>
      <c r="CB113" s="293"/>
      <c r="CC113" s="293"/>
      <c r="CD113" s="293"/>
      <c r="CE113" s="293"/>
      <c r="CF113" s="293"/>
      <c r="CG113" s="293"/>
      <c r="CH113" s="293"/>
      <c r="CI113" s="293"/>
      <c r="CJ113" s="293"/>
      <c r="CK113" s="293"/>
      <c r="CL113" s="293"/>
      <c r="CM113" s="293"/>
      <c r="CN113" s="293"/>
      <c r="CO113" s="293"/>
      <c r="CP113" s="293">
        <f t="shared" si="1468"/>
        <v>0</v>
      </c>
    </row>
    <row r="114" spans="1:94" ht="12" customHeight="1">
      <c r="A114" s="669">
        <v>57</v>
      </c>
      <c r="B114" s="645" t="s">
        <v>134</v>
      </c>
      <c r="C114" s="646" t="s">
        <v>727</v>
      </c>
      <c r="D114" s="647" t="s">
        <v>465</v>
      </c>
      <c r="E114" s="648" t="s">
        <v>455</v>
      </c>
      <c r="F114" s="642">
        <v>152.41</v>
      </c>
      <c r="G114" s="642">
        <v>22</v>
      </c>
      <c r="H114" s="643">
        <f>F114*G114*365</f>
        <v>1223852.3</v>
      </c>
      <c r="I114" s="291">
        <v>312916.78000000003</v>
      </c>
      <c r="J114" s="295">
        <f>ROUND(F114*G114*365/4,0)</f>
        <v>305963</v>
      </c>
      <c r="K114" s="293">
        <f t="shared" ref="K114:N114" si="2439">J114</f>
        <v>305963</v>
      </c>
      <c r="L114" s="293">
        <f t="shared" si="2439"/>
        <v>305963</v>
      </c>
      <c r="M114" s="293">
        <f t="shared" si="2439"/>
        <v>305963</v>
      </c>
      <c r="N114" s="293">
        <f t="shared" si="2439"/>
        <v>305963</v>
      </c>
      <c r="O114" s="292">
        <f>N114</f>
        <v>305963</v>
      </c>
      <c r="P114" s="293">
        <f>O114</f>
        <v>305963</v>
      </c>
      <c r="Q114" s="293">
        <f>P114</f>
        <v>305963</v>
      </c>
      <c r="R114" s="293">
        <f>ROUND(Q114*(1+取值表!$D$10)*取值表!$I$10,0)</f>
        <v>314687</v>
      </c>
      <c r="S114" s="293">
        <f>R114</f>
        <v>314687</v>
      </c>
      <c r="T114" s="293">
        <f>S114</f>
        <v>314687</v>
      </c>
      <c r="U114" s="293">
        <f>T114</f>
        <v>314687</v>
      </c>
      <c r="V114" s="294">
        <f>ROUND(U114*(1+取值表!$D$8),0)</f>
        <v>343953</v>
      </c>
      <c r="W114" s="293">
        <f t="shared" ref="W114:Y114" si="2440">V114</f>
        <v>343953</v>
      </c>
      <c r="X114" s="293">
        <f t="shared" si="2440"/>
        <v>343953</v>
      </c>
      <c r="Y114" s="293">
        <f t="shared" si="2440"/>
        <v>343953</v>
      </c>
      <c r="Z114" s="295">
        <f>ROUND(Y114*(1+取值表!$D$8),0)</f>
        <v>375941</v>
      </c>
      <c r="AA114" s="293">
        <f t="shared" ref="AA114:AB114" si="2441">Z114</f>
        <v>375941</v>
      </c>
      <c r="AB114" s="293">
        <f t="shared" si="2441"/>
        <v>375941</v>
      </c>
      <c r="AC114" s="293">
        <f>AB114</f>
        <v>375941</v>
      </c>
      <c r="AD114" s="295">
        <f>ROUND(AC114*(1+取值表!$D$8),0)</f>
        <v>410904</v>
      </c>
      <c r="AE114" s="293">
        <f t="shared" ref="AE114" si="2442">AD114</f>
        <v>410904</v>
      </c>
      <c r="AF114" s="293">
        <f t="shared" ref="AF114" si="2443">AE114</f>
        <v>410904</v>
      </c>
      <c r="AG114" s="293">
        <f t="shared" ref="AG114" si="2444">AF114</f>
        <v>410904</v>
      </c>
      <c r="AH114" s="295">
        <f>ROUND(AG114*(1+取值表!$D$8),0)</f>
        <v>449118</v>
      </c>
      <c r="AI114" s="293">
        <f t="shared" ref="AI114" si="2445">AH114</f>
        <v>449118</v>
      </c>
      <c r="AJ114" s="293">
        <f t="shared" ref="AJ114" si="2446">AI114</f>
        <v>449118</v>
      </c>
      <c r="AK114" s="293">
        <f t="shared" ref="AK114" si="2447">AJ114</f>
        <v>449118</v>
      </c>
      <c r="AL114" s="295">
        <f>ROUND(AK114*(1+取值表!$D$8),0)</f>
        <v>490886</v>
      </c>
      <c r="AM114" s="293">
        <f t="shared" ref="AM114" si="2448">AL114</f>
        <v>490886</v>
      </c>
      <c r="AN114" s="293">
        <f t="shared" ref="AN114" si="2449">AM114</f>
        <v>490886</v>
      </c>
      <c r="AO114" s="293">
        <f t="shared" ref="AO114" si="2450">AN114</f>
        <v>490886</v>
      </c>
      <c r="AP114" s="295">
        <f>ROUND(AO114*(1+取值表!$D$8),0)</f>
        <v>536538</v>
      </c>
      <c r="AQ114" s="293">
        <f t="shared" ref="AQ114" si="2451">AP114</f>
        <v>536538</v>
      </c>
      <c r="AR114" s="293">
        <f t="shared" ref="AR114" si="2452">AQ114</f>
        <v>536538</v>
      </c>
      <c r="AS114" s="293">
        <f t="shared" ref="AS114" si="2453">AR114</f>
        <v>536538</v>
      </c>
      <c r="AT114" s="295">
        <f>ROUND(AS114*(1+取值表!$D$8),0)</f>
        <v>586436</v>
      </c>
      <c r="AU114" s="293">
        <f t="shared" ref="AU114" si="2454">AT114</f>
        <v>586436</v>
      </c>
      <c r="AV114" s="293">
        <f t="shared" ref="AV114" si="2455">AU114</f>
        <v>586436</v>
      </c>
      <c r="AW114" s="293">
        <f t="shared" ref="AW114" si="2456">AV114</f>
        <v>586436</v>
      </c>
      <c r="AX114" s="295">
        <f>ROUND(AW114*(1+取值表!$D$8),0)</f>
        <v>640975</v>
      </c>
      <c r="AY114" s="293">
        <f t="shared" ref="AY114" si="2457">AX114</f>
        <v>640975</v>
      </c>
      <c r="AZ114" s="293">
        <f t="shared" ref="AZ114" si="2458">AY114</f>
        <v>640975</v>
      </c>
      <c r="BA114" s="293">
        <f t="shared" ref="BA114" si="2459">AZ114</f>
        <v>640975</v>
      </c>
      <c r="BB114" s="295">
        <f>ROUND(BA114*(1+取值表!$D$8),0)</f>
        <v>700586</v>
      </c>
      <c r="BC114" s="293">
        <f>BB114</f>
        <v>700586</v>
      </c>
      <c r="BD114" s="293">
        <f t="shared" ref="BD114" si="2460">BC114</f>
        <v>700586</v>
      </c>
      <c r="BE114" s="293">
        <f>BD114</f>
        <v>700586</v>
      </c>
      <c r="BF114" s="295">
        <f>ROUND(BE114*(1+取值表!$D$8),0)</f>
        <v>765740</v>
      </c>
      <c r="BG114" s="293">
        <f>BF114</f>
        <v>765740</v>
      </c>
      <c r="BH114" s="293">
        <f t="shared" ref="BH114" si="2461">BG114</f>
        <v>765740</v>
      </c>
      <c r="BI114" s="293">
        <f t="shared" ref="BI114" si="2462">BH114</f>
        <v>765740</v>
      </c>
      <c r="BJ114" s="295">
        <f>ROUND(BI114*(1+取值表!$D$8),0)</f>
        <v>836954</v>
      </c>
      <c r="BK114" s="293">
        <f t="shared" ref="BK114" si="2463">BJ114</f>
        <v>836954</v>
      </c>
      <c r="BL114" s="293">
        <f t="shared" ref="BL114" si="2464">BK114</f>
        <v>836954</v>
      </c>
      <c r="BM114" s="293">
        <f t="shared" ref="BM114" si="2465">BL114</f>
        <v>836954</v>
      </c>
      <c r="BN114" s="295">
        <f>ROUND(BM114*(1+取值表!$D$8),0)</f>
        <v>914791</v>
      </c>
      <c r="BO114" s="293">
        <f t="shared" ref="BO114" si="2466">BN114</f>
        <v>914791</v>
      </c>
      <c r="BP114" s="293">
        <f t="shared" ref="BP114" si="2467">BO114</f>
        <v>914791</v>
      </c>
      <c r="BQ114" s="293">
        <f t="shared" ref="BQ114" si="2468">BP114</f>
        <v>914791</v>
      </c>
      <c r="BR114" s="295">
        <f>ROUND(BQ114*(1+取值表!$D$8),0)</f>
        <v>999867</v>
      </c>
      <c r="BS114" s="293">
        <f t="shared" ref="BS114" si="2469">BR114</f>
        <v>999867</v>
      </c>
      <c r="BT114" s="293">
        <f t="shared" ref="BT114" si="2470">BS114</f>
        <v>999867</v>
      </c>
      <c r="BU114" s="293">
        <f t="shared" ref="BU114" si="2471">BT114</f>
        <v>999867</v>
      </c>
      <c r="BV114" s="295">
        <f>ROUND(BU114*(1+取值表!$D$8),0)</f>
        <v>1092855</v>
      </c>
      <c r="BW114" s="293">
        <f t="shared" ref="BW114" si="2472">BV114</f>
        <v>1092855</v>
      </c>
      <c r="BX114" s="293">
        <f t="shared" ref="BX114" si="2473">BW114</f>
        <v>1092855</v>
      </c>
      <c r="BY114" s="293">
        <f t="shared" ref="BY114" si="2474">BX114</f>
        <v>1092855</v>
      </c>
      <c r="BZ114" s="295">
        <f>ROUND(BY114*(1+取值表!$D$8),0)</f>
        <v>1194491</v>
      </c>
      <c r="CA114" s="293">
        <f t="shared" ref="CA114" si="2475">BZ114</f>
        <v>1194491</v>
      </c>
      <c r="CB114" s="293">
        <f t="shared" ref="CB114" si="2476">CA114</f>
        <v>1194491</v>
      </c>
      <c r="CC114" s="293">
        <f t="shared" ref="CC114" si="2477">CB114</f>
        <v>1194491</v>
      </c>
      <c r="CD114" s="295">
        <f>ROUND(CC114*(1+取值表!$D$8),0)</f>
        <v>1305579</v>
      </c>
      <c r="CE114" s="293">
        <f t="shared" ref="CE114" si="2478">CD114</f>
        <v>1305579</v>
      </c>
      <c r="CF114" s="293">
        <f t="shared" ref="CF114" si="2479">CE114</f>
        <v>1305579</v>
      </c>
      <c r="CG114" s="293">
        <f t="shared" ref="CG114" si="2480">CF114</f>
        <v>1305579</v>
      </c>
      <c r="CH114" s="295">
        <f>ROUND(CG114*(1+取值表!$D$8),0)</f>
        <v>1426998</v>
      </c>
      <c r="CI114" s="293">
        <f>CH114</f>
        <v>1426998</v>
      </c>
      <c r="CJ114" s="293">
        <f t="shared" ref="CJ114" si="2481">CI114</f>
        <v>1426998</v>
      </c>
      <c r="CK114" s="293">
        <f t="shared" ref="CK114" si="2482">CJ114</f>
        <v>1426998</v>
      </c>
      <c r="CL114" s="295">
        <f>ROUND(CK114*(1+取值表!$D$8),0)</f>
        <v>1559709</v>
      </c>
      <c r="CM114" s="293">
        <f>CL114</f>
        <v>1559709</v>
      </c>
      <c r="CN114" s="293">
        <f t="shared" ref="CN114" si="2483">CM114</f>
        <v>1559709</v>
      </c>
      <c r="CO114" s="293">
        <f t="shared" ref="CO114" si="2484">CN114</f>
        <v>1559709</v>
      </c>
      <c r="CP114" s="293">
        <f t="shared" si="1468"/>
        <v>62235736</v>
      </c>
    </row>
    <row r="115" spans="1:94" ht="12" customHeight="1">
      <c r="A115" s="670"/>
      <c r="B115" s="645"/>
      <c r="C115" s="646"/>
      <c r="D115" s="647"/>
      <c r="E115" s="648"/>
      <c r="F115" s="642"/>
      <c r="G115" s="642"/>
      <c r="H115" s="643"/>
      <c r="I115" s="291"/>
      <c r="J115" s="295"/>
      <c r="K115" s="293"/>
      <c r="L115" s="293"/>
      <c r="M115" s="293"/>
      <c r="N115" s="293"/>
      <c r="O115" s="293"/>
      <c r="P115" s="293"/>
      <c r="Q115" s="293"/>
      <c r="R115" s="293"/>
      <c r="S115" s="293"/>
      <c r="T115" s="293"/>
      <c r="U115" s="293"/>
      <c r="V115" s="293"/>
      <c r="W115" s="293"/>
      <c r="X115" s="293"/>
      <c r="Y115" s="293"/>
      <c r="Z115" s="293"/>
      <c r="AA115" s="293"/>
      <c r="AB115" s="293"/>
      <c r="AC115" s="293"/>
      <c r="AD115" s="293"/>
      <c r="AE115" s="293"/>
      <c r="AF115" s="293"/>
      <c r="AG115" s="293"/>
      <c r="AH115" s="293"/>
      <c r="AI115" s="293"/>
      <c r="AJ115" s="293"/>
      <c r="AK115" s="293"/>
      <c r="AL115" s="293"/>
      <c r="AM115" s="293"/>
      <c r="AN115" s="293"/>
      <c r="AO115" s="293"/>
      <c r="AP115" s="293"/>
      <c r="AQ115" s="293"/>
      <c r="AR115" s="293"/>
      <c r="AS115" s="293"/>
      <c r="AT115" s="293"/>
      <c r="AU115" s="293"/>
      <c r="AV115" s="293"/>
      <c r="AW115" s="293"/>
      <c r="AX115" s="293"/>
      <c r="AY115" s="293"/>
      <c r="AZ115" s="293"/>
      <c r="BA115" s="293"/>
      <c r="BB115" s="293"/>
      <c r="BC115" s="293"/>
      <c r="BD115" s="293"/>
      <c r="BE115" s="293"/>
      <c r="BF115" s="293"/>
      <c r="BG115" s="293"/>
      <c r="BH115" s="293"/>
      <c r="BI115" s="293"/>
      <c r="BJ115" s="293"/>
      <c r="BK115" s="293"/>
      <c r="BL115" s="293"/>
      <c r="BM115" s="293"/>
      <c r="BN115" s="293"/>
      <c r="BO115" s="293"/>
      <c r="BP115" s="293"/>
      <c r="BQ115" s="293"/>
      <c r="BR115" s="293"/>
      <c r="BS115" s="293"/>
      <c r="BT115" s="293"/>
      <c r="BU115" s="293"/>
      <c r="BV115" s="293"/>
      <c r="BW115" s="293"/>
      <c r="BX115" s="293"/>
      <c r="BY115" s="293"/>
      <c r="BZ115" s="293"/>
      <c r="CA115" s="293"/>
      <c r="CB115" s="293"/>
      <c r="CC115" s="293"/>
      <c r="CD115" s="293"/>
      <c r="CE115" s="293"/>
      <c r="CF115" s="293"/>
      <c r="CG115" s="293"/>
      <c r="CH115" s="293"/>
      <c r="CI115" s="293"/>
      <c r="CJ115" s="293"/>
      <c r="CK115" s="293"/>
      <c r="CL115" s="293"/>
      <c r="CM115" s="293"/>
      <c r="CN115" s="293"/>
      <c r="CO115" s="293"/>
      <c r="CP115" s="293">
        <f t="shared" si="1468"/>
        <v>0</v>
      </c>
    </row>
    <row r="116" spans="1:94" ht="12" customHeight="1">
      <c r="A116" s="669">
        <v>58</v>
      </c>
      <c r="B116" s="645" t="s">
        <v>135</v>
      </c>
      <c r="C116" s="646" t="s">
        <v>136</v>
      </c>
      <c r="D116" s="647" t="s">
        <v>466</v>
      </c>
      <c r="E116" s="648" t="s">
        <v>455</v>
      </c>
      <c r="F116" s="642">
        <v>66.5</v>
      </c>
      <c r="G116" s="642">
        <v>27.5</v>
      </c>
      <c r="H116" s="643">
        <f>F116*G116*365</f>
        <v>667493.75</v>
      </c>
      <c r="I116" s="291">
        <v>166873.44</v>
      </c>
      <c r="J116" s="295">
        <f>ROUND(F116*G116*365/4,0)</f>
        <v>166873</v>
      </c>
      <c r="K116" s="293">
        <f t="shared" ref="K116:N116" si="2485">J116</f>
        <v>166873</v>
      </c>
      <c r="L116" s="293">
        <f t="shared" si="2485"/>
        <v>166873</v>
      </c>
      <c r="M116" s="293">
        <f t="shared" si="2485"/>
        <v>166873</v>
      </c>
      <c r="N116" s="292">
        <f t="shared" si="2485"/>
        <v>166873</v>
      </c>
      <c r="O116" s="293">
        <f>N116</f>
        <v>166873</v>
      </c>
      <c r="P116" s="293">
        <f>O116</f>
        <v>166873</v>
      </c>
      <c r="Q116" s="293">
        <f>P116</f>
        <v>166873</v>
      </c>
      <c r="R116" s="293">
        <f>ROUND(Q116*(1+取值表!$D$10)*取值表!$I$10,0)</f>
        <v>171631</v>
      </c>
      <c r="S116" s="293">
        <f>R116</f>
        <v>171631</v>
      </c>
      <c r="T116" s="293">
        <f>S116</f>
        <v>171631</v>
      </c>
      <c r="U116" s="293">
        <f>T116</f>
        <v>171631</v>
      </c>
      <c r="V116" s="294">
        <f>ROUND(U116*(1+取值表!$D$8),0)</f>
        <v>187593</v>
      </c>
      <c r="W116" s="293">
        <f t="shared" ref="W116:Y116" si="2486">V116</f>
        <v>187593</v>
      </c>
      <c r="X116" s="293">
        <f t="shared" si="2486"/>
        <v>187593</v>
      </c>
      <c r="Y116" s="293">
        <f t="shared" si="2486"/>
        <v>187593</v>
      </c>
      <c r="Z116" s="295">
        <f>ROUND(Y116*(1+取值表!$D$8),0)</f>
        <v>205039</v>
      </c>
      <c r="AA116" s="293">
        <f t="shared" ref="AA116:AB116" si="2487">Z116</f>
        <v>205039</v>
      </c>
      <c r="AB116" s="293">
        <f t="shared" si="2487"/>
        <v>205039</v>
      </c>
      <c r="AC116" s="293">
        <f>AB116</f>
        <v>205039</v>
      </c>
      <c r="AD116" s="295">
        <f>ROUND(AC116*(1+取值表!$D$8),0)</f>
        <v>224108</v>
      </c>
      <c r="AE116" s="293">
        <f t="shared" ref="AE116" si="2488">AD116</f>
        <v>224108</v>
      </c>
      <c r="AF116" s="293">
        <f t="shared" ref="AF116" si="2489">AE116</f>
        <v>224108</v>
      </c>
      <c r="AG116" s="293">
        <f t="shared" ref="AG116" si="2490">AF116</f>
        <v>224108</v>
      </c>
      <c r="AH116" s="295">
        <f>ROUND(AG116*(1+取值表!$D$8),0)</f>
        <v>244950</v>
      </c>
      <c r="AI116" s="293">
        <f t="shared" ref="AI116" si="2491">AH116</f>
        <v>244950</v>
      </c>
      <c r="AJ116" s="293">
        <f t="shared" ref="AJ116" si="2492">AI116</f>
        <v>244950</v>
      </c>
      <c r="AK116" s="293">
        <f t="shared" ref="AK116" si="2493">AJ116</f>
        <v>244950</v>
      </c>
      <c r="AL116" s="295">
        <f>ROUND(AK116*(1+取值表!$D$8),0)</f>
        <v>267730</v>
      </c>
      <c r="AM116" s="293">
        <f t="shared" ref="AM116" si="2494">AL116</f>
        <v>267730</v>
      </c>
      <c r="AN116" s="293">
        <f t="shared" ref="AN116" si="2495">AM116</f>
        <v>267730</v>
      </c>
      <c r="AO116" s="293">
        <f t="shared" ref="AO116" si="2496">AN116</f>
        <v>267730</v>
      </c>
      <c r="AP116" s="295">
        <f>ROUND(AO116*(1+取值表!$D$8),0)</f>
        <v>292629</v>
      </c>
      <c r="AQ116" s="293">
        <f t="shared" ref="AQ116" si="2497">AP116</f>
        <v>292629</v>
      </c>
      <c r="AR116" s="293">
        <f t="shared" ref="AR116" si="2498">AQ116</f>
        <v>292629</v>
      </c>
      <c r="AS116" s="293">
        <f t="shared" ref="AS116" si="2499">AR116</f>
        <v>292629</v>
      </c>
      <c r="AT116" s="295">
        <f>ROUND(AS116*(1+取值表!$D$8),0)</f>
        <v>319843</v>
      </c>
      <c r="AU116" s="293">
        <f t="shared" ref="AU116" si="2500">AT116</f>
        <v>319843</v>
      </c>
      <c r="AV116" s="293">
        <f t="shared" ref="AV116" si="2501">AU116</f>
        <v>319843</v>
      </c>
      <c r="AW116" s="293">
        <f t="shared" ref="AW116" si="2502">AV116</f>
        <v>319843</v>
      </c>
      <c r="AX116" s="295">
        <f>ROUND(AW116*(1+取值表!$D$8),0)</f>
        <v>349588</v>
      </c>
      <c r="AY116" s="293">
        <f t="shared" ref="AY116" si="2503">AX116</f>
        <v>349588</v>
      </c>
      <c r="AZ116" s="293">
        <f t="shared" ref="AZ116" si="2504">AY116</f>
        <v>349588</v>
      </c>
      <c r="BA116" s="293">
        <f t="shared" ref="BA116" si="2505">AZ116</f>
        <v>349588</v>
      </c>
      <c r="BB116" s="295">
        <f>ROUND(BA116*(1+取值表!$D$8),0)</f>
        <v>382100</v>
      </c>
      <c r="BC116" s="293">
        <f>BB116</f>
        <v>382100</v>
      </c>
      <c r="BD116" s="293">
        <f t="shared" ref="BD116" si="2506">BC116</f>
        <v>382100</v>
      </c>
      <c r="BE116" s="293">
        <f>BD116</f>
        <v>382100</v>
      </c>
      <c r="BF116" s="295">
        <f>ROUND(BE116*(1+取值表!$D$8),0)</f>
        <v>417635</v>
      </c>
      <c r="BG116" s="293">
        <f>BF116</f>
        <v>417635</v>
      </c>
      <c r="BH116" s="293">
        <f t="shared" ref="BH116" si="2507">BG116</f>
        <v>417635</v>
      </c>
      <c r="BI116" s="293">
        <f t="shared" ref="BI116" si="2508">BH116</f>
        <v>417635</v>
      </c>
      <c r="BJ116" s="295">
        <f>ROUND(BI116*(1+取值表!$D$8),0)</f>
        <v>456475</v>
      </c>
      <c r="BK116" s="293">
        <f t="shared" ref="BK116" si="2509">BJ116</f>
        <v>456475</v>
      </c>
      <c r="BL116" s="293">
        <f t="shared" ref="BL116" si="2510">BK116</f>
        <v>456475</v>
      </c>
      <c r="BM116" s="293">
        <f t="shared" ref="BM116" si="2511">BL116</f>
        <v>456475</v>
      </c>
      <c r="BN116" s="295">
        <f>ROUND(BM116*(1+取值表!$D$8),0)</f>
        <v>498927</v>
      </c>
      <c r="BO116" s="293">
        <f t="shared" ref="BO116" si="2512">BN116</f>
        <v>498927</v>
      </c>
      <c r="BP116" s="293">
        <f t="shared" ref="BP116" si="2513">BO116</f>
        <v>498927</v>
      </c>
      <c r="BQ116" s="293">
        <f t="shared" ref="BQ116" si="2514">BP116</f>
        <v>498927</v>
      </c>
      <c r="BR116" s="295">
        <f>ROUND(BQ116*(1+取值表!$D$8),0)</f>
        <v>545327</v>
      </c>
      <c r="BS116" s="293">
        <f t="shared" ref="BS116" si="2515">BR116</f>
        <v>545327</v>
      </c>
      <c r="BT116" s="293">
        <f t="shared" ref="BT116" si="2516">BS116</f>
        <v>545327</v>
      </c>
      <c r="BU116" s="293">
        <f t="shared" ref="BU116" si="2517">BT116</f>
        <v>545327</v>
      </c>
      <c r="BV116" s="295">
        <f>ROUND(BU116*(1+取值表!$D$8),0)</f>
        <v>596042</v>
      </c>
      <c r="BW116" s="293">
        <f t="shared" ref="BW116" si="2518">BV116</f>
        <v>596042</v>
      </c>
      <c r="BX116" s="293">
        <f t="shared" ref="BX116" si="2519">BW116</f>
        <v>596042</v>
      </c>
      <c r="BY116" s="293">
        <f t="shared" ref="BY116" si="2520">BX116</f>
        <v>596042</v>
      </c>
      <c r="BZ116" s="295">
        <f>ROUND(BY116*(1+取值表!$D$8),0)</f>
        <v>651474</v>
      </c>
      <c r="CA116" s="293">
        <f t="shared" ref="CA116" si="2521">BZ116</f>
        <v>651474</v>
      </c>
      <c r="CB116" s="293">
        <f t="shared" ref="CB116" si="2522">CA116</f>
        <v>651474</v>
      </c>
      <c r="CC116" s="293">
        <f t="shared" ref="CC116" si="2523">CB116</f>
        <v>651474</v>
      </c>
      <c r="CD116" s="295">
        <f>ROUND(CC116*(1+取值表!$D$8),0)</f>
        <v>712061</v>
      </c>
      <c r="CE116" s="293">
        <f t="shared" ref="CE116" si="2524">CD116</f>
        <v>712061</v>
      </c>
      <c r="CF116" s="293">
        <f t="shared" ref="CF116" si="2525">CE116</f>
        <v>712061</v>
      </c>
      <c r="CG116" s="293">
        <f t="shared" ref="CG116" si="2526">CF116</f>
        <v>712061</v>
      </c>
      <c r="CH116" s="295">
        <f>ROUND(CG116*(1+取值表!$D$8),0)</f>
        <v>778283</v>
      </c>
      <c r="CI116" s="293">
        <f>CH116</f>
        <v>778283</v>
      </c>
      <c r="CJ116" s="293">
        <f t="shared" ref="CJ116" si="2527">CI116</f>
        <v>778283</v>
      </c>
      <c r="CK116" s="293">
        <f t="shared" ref="CK116" si="2528">CJ116</f>
        <v>778283</v>
      </c>
      <c r="CL116" s="295">
        <f>ROUND(CK116*(1+取值表!$D$8),0)</f>
        <v>850663</v>
      </c>
      <c r="CM116" s="293">
        <f>CL116</f>
        <v>850663</v>
      </c>
      <c r="CN116" s="293">
        <f t="shared" ref="CN116" si="2529">CM116</f>
        <v>850663</v>
      </c>
      <c r="CO116" s="293">
        <f t="shared" ref="CO116" si="2530">CN116</f>
        <v>850663</v>
      </c>
      <c r="CP116" s="293">
        <f t="shared" si="1468"/>
        <v>33943376</v>
      </c>
    </row>
    <row r="117" spans="1:94" ht="12" customHeight="1">
      <c r="A117" s="670"/>
      <c r="B117" s="645"/>
      <c r="C117" s="646"/>
      <c r="D117" s="647"/>
      <c r="E117" s="648"/>
      <c r="F117" s="642"/>
      <c r="G117" s="642"/>
      <c r="H117" s="643"/>
      <c r="I117" s="291"/>
      <c r="J117" s="295"/>
      <c r="K117" s="293"/>
      <c r="L117" s="293"/>
      <c r="M117" s="293"/>
      <c r="N117" s="293"/>
      <c r="O117" s="293"/>
      <c r="P117" s="293"/>
      <c r="Q117" s="293"/>
      <c r="R117" s="293"/>
      <c r="S117" s="293"/>
      <c r="T117" s="293"/>
      <c r="U117" s="293"/>
      <c r="V117" s="293"/>
      <c r="W117" s="293"/>
      <c r="X117" s="293"/>
      <c r="Y117" s="293"/>
      <c r="Z117" s="293"/>
      <c r="AA117" s="293"/>
      <c r="AB117" s="293"/>
      <c r="AC117" s="293"/>
      <c r="AD117" s="293"/>
      <c r="AE117" s="293"/>
      <c r="AF117" s="293"/>
      <c r="AG117" s="293"/>
      <c r="AH117" s="293"/>
      <c r="AI117" s="293"/>
      <c r="AJ117" s="293"/>
      <c r="AK117" s="293"/>
      <c r="AL117" s="293"/>
      <c r="AM117" s="293"/>
      <c r="AN117" s="293"/>
      <c r="AO117" s="293"/>
      <c r="AP117" s="293"/>
      <c r="AQ117" s="293"/>
      <c r="AR117" s="293"/>
      <c r="AS117" s="293"/>
      <c r="AT117" s="293"/>
      <c r="AU117" s="293"/>
      <c r="AV117" s="293"/>
      <c r="AW117" s="293"/>
      <c r="AX117" s="293"/>
      <c r="AY117" s="293"/>
      <c r="AZ117" s="293"/>
      <c r="BA117" s="293"/>
      <c r="BB117" s="293"/>
      <c r="BC117" s="293"/>
      <c r="BD117" s="293"/>
      <c r="BE117" s="293"/>
      <c r="BF117" s="293"/>
      <c r="BG117" s="293"/>
      <c r="BH117" s="293"/>
      <c r="BI117" s="293"/>
      <c r="BJ117" s="293"/>
      <c r="BK117" s="293"/>
      <c r="BL117" s="293"/>
      <c r="BM117" s="293"/>
      <c r="BN117" s="293"/>
      <c r="BO117" s="293"/>
      <c r="BP117" s="293"/>
      <c r="BQ117" s="293"/>
      <c r="BR117" s="293"/>
      <c r="BS117" s="293"/>
      <c r="BT117" s="293"/>
      <c r="BU117" s="293"/>
      <c r="BV117" s="293"/>
      <c r="BW117" s="293"/>
      <c r="BX117" s="293"/>
      <c r="BY117" s="293"/>
      <c r="BZ117" s="293"/>
      <c r="CA117" s="293"/>
      <c r="CB117" s="293"/>
      <c r="CC117" s="293"/>
      <c r="CD117" s="293"/>
      <c r="CE117" s="293"/>
      <c r="CF117" s="293"/>
      <c r="CG117" s="293"/>
      <c r="CH117" s="293"/>
      <c r="CI117" s="293"/>
      <c r="CJ117" s="293"/>
      <c r="CK117" s="293"/>
      <c r="CL117" s="293"/>
      <c r="CM117" s="293"/>
      <c r="CN117" s="293"/>
      <c r="CO117" s="293"/>
      <c r="CP117" s="293">
        <f t="shared" si="1468"/>
        <v>0</v>
      </c>
    </row>
    <row r="118" spans="1:94" ht="12" customHeight="1">
      <c r="A118" s="669">
        <v>59</v>
      </c>
      <c r="B118" s="645" t="s">
        <v>137</v>
      </c>
      <c r="C118" s="646" t="s">
        <v>728</v>
      </c>
      <c r="D118" s="647" t="s">
        <v>467</v>
      </c>
      <c r="E118" s="648" t="s">
        <v>455</v>
      </c>
      <c r="F118" s="642">
        <v>77.28</v>
      </c>
      <c r="G118" s="642">
        <v>27</v>
      </c>
      <c r="H118" s="643">
        <f>F118*G118*365</f>
        <v>761594.4</v>
      </c>
      <c r="I118" s="291">
        <v>190398.6</v>
      </c>
      <c r="J118" s="295">
        <f>ROUND(F118*G118*365/4,0)</f>
        <v>190399</v>
      </c>
      <c r="K118" s="292">
        <f>J118</f>
        <v>190399</v>
      </c>
      <c r="L118" s="293">
        <f>K118</f>
        <v>190399</v>
      </c>
      <c r="M118" s="293">
        <f>L118</f>
        <v>190399</v>
      </c>
      <c r="N118" s="293">
        <f>ROUND(M118*(1+取值表!$D$10)*取值表!$I$10,0)</f>
        <v>195828</v>
      </c>
      <c r="O118" s="293">
        <f>N118</f>
        <v>195828</v>
      </c>
      <c r="P118" s="293">
        <f>O118</f>
        <v>195828</v>
      </c>
      <c r="Q118" s="293">
        <f>P118</f>
        <v>195828</v>
      </c>
      <c r="R118" s="294">
        <f>ROUND(Q118*(1+取值表!$D$10),0)</f>
        <v>214040</v>
      </c>
      <c r="S118" s="293">
        <f t="shared" ref="S118:T118" si="2531">R118</f>
        <v>214040</v>
      </c>
      <c r="T118" s="293">
        <f t="shared" si="2531"/>
        <v>214040</v>
      </c>
      <c r="U118" s="293">
        <f>T118</f>
        <v>214040</v>
      </c>
      <c r="V118" s="295">
        <f>ROUND(U118*(1+取值表!$D$8),0)</f>
        <v>233946</v>
      </c>
      <c r="W118" s="293">
        <f t="shared" ref="W118:Y118" si="2532">V118</f>
        <v>233946</v>
      </c>
      <c r="X118" s="293">
        <f t="shared" si="2532"/>
        <v>233946</v>
      </c>
      <c r="Y118" s="293">
        <f t="shared" si="2532"/>
        <v>233946</v>
      </c>
      <c r="Z118" s="295">
        <f>ROUND(Y118*(1+取值表!$D$8),0)</f>
        <v>255703</v>
      </c>
      <c r="AA118" s="293">
        <f t="shared" ref="AA118" si="2533">Z118</f>
        <v>255703</v>
      </c>
      <c r="AB118" s="293">
        <f t="shared" ref="AB118" si="2534">AA118</f>
        <v>255703</v>
      </c>
      <c r="AC118" s="293">
        <f>AB118</f>
        <v>255703</v>
      </c>
      <c r="AD118" s="295">
        <f>ROUND(AC118*(1+取值表!$D$8),0)</f>
        <v>279483</v>
      </c>
      <c r="AE118" s="293">
        <f t="shared" ref="AE118" si="2535">AD118</f>
        <v>279483</v>
      </c>
      <c r="AF118" s="293">
        <f t="shared" ref="AF118" si="2536">AE118</f>
        <v>279483</v>
      </c>
      <c r="AG118" s="293">
        <f t="shared" ref="AG118" si="2537">AF118</f>
        <v>279483</v>
      </c>
      <c r="AH118" s="295">
        <f>ROUND(AG118*(1+取值表!$D$8),0)</f>
        <v>305475</v>
      </c>
      <c r="AI118" s="293">
        <f t="shared" ref="AI118" si="2538">AH118</f>
        <v>305475</v>
      </c>
      <c r="AJ118" s="293">
        <f t="shared" ref="AJ118" si="2539">AI118</f>
        <v>305475</v>
      </c>
      <c r="AK118" s="293">
        <f t="shared" ref="AK118" si="2540">AJ118</f>
        <v>305475</v>
      </c>
      <c r="AL118" s="295">
        <f>ROUND(AK118*(1+取值表!$D$8),0)</f>
        <v>333884</v>
      </c>
      <c r="AM118" s="293">
        <f t="shared" ref="AM118" si="2541">AL118</f>
        <v>333884</v>
      </c>
      <c r="AN118" s="293">
        <f t="shared" ref="AN118" si="2542">AM118</f>
        <v>333884</v>
      </c>
      <c r="AO118" s="293">
        <f t="shared" ref="AO118" si="2543">AN118</f>
        <v>333884</v>
      </c>
      <c r="AP118" s="295">
        <f>ROUND(AO118*(1+取值表!$D$8),0)</f>
        <v>364935</v>
      </c>
      <c r="AQ118" s="293">
        <f t="shared" ref="AQ118" si="2544">AP118</f>
        <v>364935</v>
      </c>
      <c r="AR118" s="293">
        <f t="shared" ref="AR118" si="2545">AQ118</f>
        <v>364935</v>
      </c>
      <c r="AS118" s="293">
        <f t="shared" ref="AS118" si="2546">AR118</f>
        <v>364935</v>
      </c>
      <c r="AT118" s="295">
        <f>ROUND(AS118*(1+取值表!$D$8),0)</f>
        <v>398874</v>
      </c>
      <c r="AU118" s="293">
        <f t="shared" ref="AU118" si="2547">AT118</f>
        <v>398874</v>
      </c>
      <c r="AV118" s="293">
        <f t="shared" ref="AV118" si="2548">AU118</f>
        <v>398874</v>
      </c>
      <c r="AW118" s="293">
        <f t="shared" ref="AW118" si="2549">AV118</f>
        <v>398874</v>
      </c>
      <c r="AX118" s="295">
        <f>ROUND(AW118*(1+取值表!$D$8),0)</f>
        <v>435969</v>
      </c>
      <c r="AY118" s="293">
        <f t="shared" ref="AY118" si="2550">AX118</f>
        <v>435969</v>
      </c>
      <c r="AZ118" s="293">
        <f t="shared" ref="AZ118" si="2551">AY118</f>
        <v>435969</v>
      </c>
      <c r="BA118" s="293">
        <f t="shared" ref="BA118" si="2552">AZ118</f>
        <v>435969</v>
      </c>
      <c r="BB118" s="295">
        <f>ROUND(BA118*(1+取值表!$D$8),0)</f>
        <v>476514</v>
      </c>
      <c r="BC118" s="293">
        <f>BB118</f>
        <v>476514</v>
      </c>
      <c r="BD118" s="293">
        <f t="shared" ref="BD118" si="2553">BC118</f>
        <v>476514</v>
      </c>
      <c r="BE118" s="293">
        <f>BD118</f>
        <v>476514</v>
      </c>
      <c r="BF118" s="295">
        <f>ROUND(BE118*(1+取值表!$D$8),0)</f>
        <v>520830</v>
      </c>
      <c r="BG118" s="293">
        <f>BF118</f>
        <v>520830</v>
      </c>
      <c r="BH118" s="293">
        <f t="shared" ref="BH118" si="2554">BG118</f>
        <v>520830</v>
      </c>
      <c r="BI118" s="293">
        <f t="shared" ref="BI118" si="2555">BH118</f>
        <v>520830</v>
      </c>
      <c r="BJ118" s="295">
        <f>ROUND(BI118*(1+取值表!$D$8),0)</f>
        <v>569267</v>
      </c>
      <c r="BK118" s="293">
        <f t="shared" ref="BK118" si="2556">BJ118</f>
        <v>569267</v>
      </c>
      <c r="BL118" s="293">
        <f t="shared" ref="BL118" si="2557">BK118</f>
        <v>569267</v>
      </c>
      <c r="BM118" s="293">
        <f t="shared" ref="BM118" si="2558">BL118</f>
        <v>569267</v>
      </c>
      <c r="BN118" s="295">
        <f>ROUND(BM118*(1+取值表!$D$8),0)</f>
        <v>622209</v>
      </c>
      <c r="BO118" s="293">
        <f t="shared" ref="BO118" si="2559">BN118</f>
        <v>622209</v>
      </c>
      <c r="BP118" s="293">
        <f t="shared" ref="BP118" si="2560">BO118</f>
        <v>622209</v>
      </c>
      <c r="BQ118" s="293">
        <f t="shared" ref="BQ118" si="2561">BP118</f>
        <v>622209</v>
      </c>
      <c r="BR118" s="295">
        <f>ROUND(BQ118*(1+取值表!$D$8),0)</f>
        <v>680074</v>
      </c>
      <c r="BS118" s="293">
        <f t="shared" ref="BS118" si="2562">BR118</f>
        <v>680074</v>
      </c>
      <c r="BT118" s="293">
        <f t="shared" ref="BT118" si="2563">BS118</f>
        <v>680074</v>
      </c>
      <c r="BU118" s="293">
        <f t="shared" ref="BU118" si="2564">BT118</f>
        <v>680074</v>
      </c>
      <c r="BV118" s="295">
        <f>ROUND(BU118*(1+取值表!$D$8),0)</f>
        <v>743321</v>
      </c>
      <c r="BW118" s="293">
        <f t="shared" ref="BW118" si="2565">BV118</f>
        <v>743321</v>
      </c>
      <c r="BX118" s="293">
        <f t="shared" ref="BX118" si="2566">BW118</f>
        <v>743321</v>
      </c>
      <c r="BY118" s="293">
        <f t="shared" ref="BY118" si="2567">BX118</f>
        <v>743321</v>
      </c>
      <c r="BZ118" s="295">
        <f>ROUND(BY118*(1+取值表!$D$8),0)</f>
        <v>812450</v>
      </c>
      <c r="CA118" s="293">
        <f t="shared" ref="CA118" si="2568">BZ118</f>
        <v>812450</v>
      </c>
      <c r="CB118" s="293">
        <f t="shared" ref="CB118" si="2569">CA118</f>
        <v>812450</v>
      </c>
      <c r="CC118" s="293">
        <f t="shared" ref="CC118" si="2570">CB118</f>
        <v>812450</v>
      </c>
      <c r="CD118" s="295">
        <f>ROUND(CC118*(1+取值表!$D$8),0)</f>
        <v>888008</v>
      </c>
      <c r="CE118" s="293">
        <f t="shared" ref="CE118" si="2571">CD118</f>
        <v>888008</v>
      </c>
      <c r="CF118" s="293">
        <f t="shared" ref="CF118" si="2572">CE118</f>
        <v>888008</v>
      </c>
      <c r="CG118" s="293">
        <f t="shared" ref="CG118" si="2573">CF118</f>
        <v>888008</v>
      </c>
      <c r="CH118" s="295">
        <f>ROUND(CG118*(1+取值表!$D$8),0)</f>
        <v>970593</v>
      </c>
      <c r="CI118" s="293">
        <f>CH118</f>
        <v>970593</v>
      </c>
      <c r="CJ118" s="293">
        <f t="shared" ref="CJ118" si="2574">CI118</f>
        <v>970593</v>
      </c>
      <c r="CK118" s="293">
        <f t="shared" ref="CK118" si="2575">CJ118</f>
        <v>970593</v>
      </c>
      <c r="CL118" s="295">
        <f>ROUND(CK118*(1+取值表!$D$8),0)</f>
        <v>1060858</v>
      </c>
      <c r="CM118" s="293">
        <f>CL118</f>
        <v>1060858</v>
      </c>
      <c r="CN118" s="293">
        <f t="shared" ref="CN118" si="2576">CM118</f>
        <v>1060858</v>
      </c>
      <c r="CO118" s="293">
        <f t="shared" ref="CO118" si="2577">CN118</f>
        <v>1060858</v>
      </c>
      <c r="CP118" s="293">
        <f t="shared" si="1468"/>
        <v>42210640</v>
      </c>
    </row>
    <row r="119" spans="1:94" ht="12" customHeight="1">
      <c r="A119" s="670"/>
      <c r="B119" s="645"/>
      <c r="C119" s="646"/>
      <c r="D119" s="647"/>
      <c r="E119" s="648"/>
      <c r="F119" s="642"/>
      <c r="G119" s="642"/>
      <c r="H119" s="643"/>
      <c r="I119" s="291"/>
      <c r="J119" s="295"/>
      <c r="K119" s="293"/>
      <c r="L119" s="293"/>
      <c r="M119" s="293"/>
      <c r="N119" s="293"/>
      <c r="O119" s="293"/>
      <c r="P119" s="293"/>
      <c r="Q119" s="293"/>
      <c r="R119" s="293"/>
      <c r="S119" s="293"/>
      <c r="T119" s="293"/>
      <c r="U119" s="293"/>
      <c r="V119" s="293"/>
      <c r="W119" s="293"/>
      <c r="X119" s="293"/>
      <c r="Y119" s="293"/>
      <c r="Z119" s="293"/>
      <c r="AA119" s="293"/>
      <c r="AB119" s="293"/>
      <c r="AC119" s="293"/>
      <c r="AD119" s="293"/>
      <c r="AE119" s="293"/>
      <c r="AF119" s="293"/>
      <c r="AG119" s="293"/>
      <c r="AH119" s="293"/>
      <c r="AI119" s="293"/>
      <c r="AJ119" s="293"/>
      <c r="AK119" s="293"/>
      <c r="AL119" s="293"/>
      <c r="AM119" s="293"/>
      <c r="AN119" s="293"/>
      <c r="AO119" s="293"/>
      <c r="AP119" s="293"/>
      <c r="AQ119" s="293"/>
      <c r="AR119" s="293"/>
      <c r="AS119" s="293"/>
      <c r="AT119" s="293"/>
      <c r="AU119" s="293"/>
      <c r="AV119" s="293"/>
      <c r="AW119" s="293"/>
      <c r="AX119" s="293"/>
      <c r="AY119" s="293"/>
      <c r="AZ119" s="293"/>
      <c r="BA119" s="293"/>
      <c r="BB119" s="293"/>
      <c r="BC119" s="293"/>
      <c r="BD119" s="293"/>
      <c r="BE119" s="293"/>
      <c r="BF119" s="293"/>
      <c r="BG119" s="293"/>
      <c r="BH119" s="293"/>
      <c r="BI119" s="293"/>
      <c r="BJ119" s="293"/>
      <c r="BK119" s="293"/>
      <c r="BL119" s="293"/>
      <c r="BM119" s="293"/>
      <c r="BN119" s="293"/>
      <c r="BO119" s="293"/>
      <c r="BP119" s="293"/>
      <c r="BQ119" s="293"/>
      <c r="BR119" s="293"/>
      <c r="BS119" s="293"/>
      <c r="BT119" s="293"/>
      <c r="BU119" s="293"/>
      <c r="BV119" s="293"/>
      <c r="BW119" s="293"/>
      <c r="BX119" s="293"/>
      <c r="BY119" s="293"/>
      <c r="BZ119" s="293"/>
      <c r="CA119" s="293"/>
      <c r="CB119" s="293"/>
      <c r="CC119" s="293"/>
      <c r="CD119" s="293"/>
      <c r="CE119" s="293"/>
      <c r="CF119" s="293"/>
      <c r="CG119" s="293"/>
      <c r="CH119" s="293"/>
      <c r="CI119" s="293"/>
      <c r="CJ119" s="293"/>
      <c r="CK119" s="293"/>
      <c r="CL119" s="293"/>
      <c r="CM119" s="293"/>
      <c r="CN119" s="293"/>
      <c r="CO119" s="293"/>
      <c r="CP119" s="293">
        <f t="shared" si="1468"/>
        <v>0</v>
      </c>
    </row>
    <row r="120" spans="1:94" ht="12" customHeight="1">
      <c r="A120" s="669">
        <v>60</v>
      </c>
      <c r="B120" s="645" t="s">
        <v>138</v>
      </c>
      <c r="C120" s="646" t="s">
        <v>17</v>
      </c>
      <c r="D120" s="647" t="s">
        <v>468</v>
      </c>
      <c r="E120" s="648" t="s">
        <v>455</v>
      </c>
      <c r="F120" s="642">
        <v>77.02</v>
      </c>
      <c r="G120" s="642">
        <v>27</v>
      </c>
      <c r="H120" s="643">
        <f>F120*G120*365</f>
        <v>759032.1</v>
      </c>
      <c r="I120" s="291">
        <v>189758.03</v>
      </c>
      <c r="J120" s="292">
        <f>ROUND(F120*G120*365/4,0)</f>
        <v>189758</v>
      </c>
      <c r="K120" s="293">
        <f>J120</f>
        <v>189758</v>
      </c>
      <c r="L120" s="293">
        <f>K120</f>
        <v>189758</v>
      </c>
      <c r="M120" s="293">
        <f>L120</f>
        <v>189758</v>
      </c>
      <c r="N120" s="293">
        <f>ROUND(M120*(1+取值表!$D$10)*取值表!$I$10,0)</f>
        <v>195169</v>
      </c>
      <c r="O120" s="293">
        <f>N120</f>
        <v>195169</v>
      </c>
      <c r="P120" s="293">
        <f>O120</f>
        <v>195169</v>
      </c>
      <c r="Q120" s="293">
        <f>P120</f>
        <v>195169</v>
      </c>
      <c r="R120" s="294">
        <f>ROUND(Q120*(1+取值表!$D$10),0)</f>
        <v>213320</v>
      </c>
      <c r="S120" s="293">
        <f t="shared" ref="S120:T120" si="2578">R120</f>
        <v>213320</v>
      </c>
      <c r="T120" s="293">
        <f t="shared" si="2578"/>
        <v>213320</v>
      </c>
      <c r="U120" s="293">
        <f>T120</f>
        <v>213320</v>
      </c>
      <c r="V120" s="295">
        <f>ROUND(U120*(1+取值表!$D$8),0)</f>
        <v>233159</v>
      </c>
      <c r="W120" s="293">
        <f t="shared" ref="W120:Y120" si="2579">V120</f>
        <v>233159</v>
      </c>
      <c r="X120" s="293">
        <f t="shared" si="2579"/>
        <v>233159</v>
      </c>
      <c r="Y120" s="293">
        <f t="shared" si="2579"/>
        <v>233159</v>
      </c>
      <c r="Z120" s="295">
        <f>ROUND(Y120*(1+取值表!$D$8),0)</f>
        <v>254843</v>
      </c>
      <c r="AA120" s="293">
        <f t="shared" ref="AA120" si="2580">Z120</f>
        <v>254843</v>
      </c>
      <c r="AB120" s="293">
        <f t="shared" ref="AB120" si="2581">AA120</f>
        <v>254843</v>
      </c>
      <c r="AC120" s="293">
        <f>AB120</f>
        <v>254843</v>
      </c>
      <c r="AD120" s="295">
        <f>ROUND(AC120*(1+取值表!$D$8),0)</f>
        <v>278543</v>
      </c>
      <c r="AE120" s="293">
        <f t="shared" ref="AE120" si="2582">AD120</f>
        <v>278543</v>
      </c>
      <c r="AF120" s="293">
        <f t="shared" ref="AF120" si="2583">AE120</f>
        <v>278543</v>
      </c>
      <c r="AG120" s="293">
        <f t="shared" ref="AG120" si="2584">AF120</f>
        <v>278543</v>
      </c>
      <c r="AH120" s="295">
        <f>ROUND(AG120*(1+取值表!$D$8),0)</f>
        <v>304447</v>
      </c>
      <c r="AI120" s="293">
        <f t="shared" ref="AI120" si="2585">AH120</f>
        <v>304447</v>
      </c>
      <c r="AJ120" s="293">
        <f t="shared" ref="AJ120" si="2586">AI120</f>
        <v>304447</v>
      </c>
      <c r="AK120" s="293">
        <f t="shared" ref="AK120" si="2587">AJ120</f>
        <v>304447</v>
      </c>
      <c r="AL120" s="295">
        <f>ROUND(AK120*(1+取值表!$D$8),0)</f>
        <v>332761</v>
      </c>
      <c r="AM120" s="293">
        <f t="shared" ref="AM120" si="2588">AL120</f>
        <v>332761</v>
      </c>
      <c r="AN120" s="293">
        <f t="shared" ref="AN120" si="2589">AM120</f>
        <v>332761</v>
      </c>
      <c r="AO120" s="293">
        <f t="shared" ref="AO120" si="2590">AN120</f>
        <v>332761</v>
      </c>
      <c r="AP120" s="295">
        <f>ROUND(AO120*(1+取值表!$D$8),0)</f>
        <v>363708</v>
      </c>
      <c r="AQ120" s="293">
        <f t="shared" ref="AQ120" si="2591">AP120</f>
        <v>363708</v>
      </c>
      <c r="AR120" s="293">
        <f t="shared" ref="AR120" si="2592">AQ120</f>
        <v>363708</v>
      </c>
      <c r="AS120" s="293">
        <f t="shared" ref="AS120" si="2593">AR120</f>
        <v>363708</v>
      </c>
      <c r="AT120" s="295">
        <f>ROUND(AS120*(1+取值表!$D$8),0)</f>
        <v>397533</v>
      </c>
      <c r="AU120" s="293">
        <f t="shared" ref="AU120" si="2594">AT120</f>
        <v>397533</v>
      </c>
      <c r="AV120" s="293">
        <f t="shared" ref="AV120" si="2595">AU120</f>
        <v>397533</v>
      </c>
      <c r="AW120" s="293">
        <f t="shared" ref="AW120" si="2596">AV120</f>
        <v>397533</v>
      </c>
      <c r="AX120" s="295">
        <f>ROUND(AW120*(1+取值表!$D$8),0)</f>
        <v>434504</v>
      </c>
      <c r="AY120" s="293">
        <f t="shared" ref="AY120" si="2597">AX120</f>
        <v>434504</v>
      </c>
      <c r="AZ120" s="293">
        <f t="shared" ref="AZ120" si="2598">AY120</f>
        <v>434504</v>
      </c>
      <c r="BA120" s="293">
        <f t="shared" ref="BA120" si="2599">AZ120</f>
        <v>434504</v>
      </c>
      <c r="BB120" s="295">
        <f>ROUND(BA120*(1+取值表!$D$8),0)</f>
        <v>474913</v>
      </c>
      <c r="BC120" s="293">
        <f>BB120</f>
        <v>474913</v>
      </c>
      <c r="BD120" s="293">
        <f t="shared" ref="BD120" si="2600">BC120</f>
        <v>474913</v>
      </c>
      <c r="BE120" s="293">
        <f>BD120</f>
        <v>474913</v>
      </c>
      <c r="BF120" s="295">
        <f>ROUND(BE120*(1+取值表!$D$8),0)</f>
        <v>519080</v>
      </c>
      <c r="BG120" s="293">
        <f>BF120</f>
        <v>519080</v>
      </c>
      <c r="BH120" s="293">
        <f t="shared" ref="BH120" si="2601">BG120</f>
        <v>519080</v>
      </c>
      <c r="BI120" s="293">
        <f t="shared" ref="BI120" si="2602">BH120</f>
        <v>519080</v>
      </c>
      <c r="BJ120" s="295">
        <f>ROUND(BI120*(1+取值表!$D$8),0)</f>
        <v>567354</v>
      </c>
      <c r="BK120" s="293">
        <f t="shared" ref="BK120" si="2603">BJ120</f>
        <v>567354</v>
      </c>
      <c r="BL120" s="293">
        <f t="shared" ref="BL120" si="2604">BK120</f>
        <v>567354</v>
      </c>
      <c r="BM120" s="293">
        <f t="shared" ref="BM120" si="2605">BL120</f>
        <v>567354</v>
      </c>
      <c r="BN120" s="295">
        <f>ROUND(BM120*(1+取值表!$D$8),0)</f>
        <v>620118</v>
      </c>
      <c r="BO120" s="293">
        <f t="shared" ref="BO120" si="2606">BN120</f>
        <v>620118</v>
      </c>
      <c r="BP120" s="293">
        <f t="shared" ref="BP120" si="2607">BO120</f>
        <v>620118</v>
      </c>
      <c r="BQ120" s="293">
        <f t="shared" ref="BQ120" si="2608">BP120</f>
        <v>620118</v>
      </c>
      <c r="BR120" s="295">
        <f>ROUND(BQ120*(1+取值表!$D$8),0)</f>
        <v>677789</v>
      </c>
      <c r="BS120" s="293">
        <f t="shared" ref="BS120" si="2609">BR120</f>
        <v>677789</v>
      </c>
      <c r="BT120" s="293">
        <f t="shared" ref="BT120" si="2610">BS120</f>
        <v>677789</v>
      </c>
      <c r="BU120" s="293">
        <f t="shared" ref="BU120" si="2611">BT120</f>
        <v>677789</v>
      </c>
      <c r="BV120" s="295">
        <f>ROUND(BU120*(1+取值表!$D$8),0)</f>
        <v>740823</v>
      </c>
      <c r="BW120" s="293">
        <f t="shared" ref="BW120" si="2612">BV120</f>
        <v>740823</v>
      </c>
      <c r="BX120" s="293">
        <f t="shared" ref="BX120" si="2613">BW120</f>
        <v>740823</v>
      </c>
      <c r="BY120" s="293">
        <f t="shared" ref="BY120" si="2614">BX120</f>
        <v>740823</v>
      </c>
      <c r="BZ120" s="295">
        <f>ROUND(BY120*(1+取值表!$D$8),0)</f>
        <v>809720</v>
      </c>
      <c r="CA120" s="293">
        <f t="shared" ref="CA120" si="2615">BZ120</f>
        <v>809720</v>
      </c>
      <c r="CB120" s="293">
        <f t="shared" ref="CB120" si="2616">CA120</f>
        <v>809720</v>
      </c>
      <c r="CC120" s="293">
        <f t="shared" ref="CC120" si="2617">CB120</f>
        <v>809720</v>
      </c>
      <c r="CD120" s="295">
        <f>ROUND(CC120*(1+取值表!$D$8),0)</f>
        <v>885024</v>
      </c>
      <c r="CE120" s="293">
        <f t="shared" ref="CE120" si="2618">CD120</f>
        <v>885024</v>
      </c>
      <c r="CF120" s="293">
        <f t="shared" ref="CF120" si="2619">CE120</f>
        <v>885024</v>
      </c>
      <c r="CG120" s="293">
        <f t="shared" ref="CG120" si="2620">CF120</f>
        <v>885024</v>
      </c>
      <c r="CH120" s="295">
        <f>ROUND(CG120*(1+取值表!$D$8),0)</f>
        <v>967331</v>
      </c>
      <c r="CI120" s="293">
        <f>CH120</f>
        <v>967331</v>
      </c>
      <c r="CJ120" s="293">
        <f t="shared" ref="CJ120" si="2621">CI120</f>
        <v>967331</v>
      </c>
      <c r="CK120" s="293">
        <f t="shared" ref="CK120" si="2622">CJ120</f>
        <v>967331</v>
      </c>
      <c r="CL120" s="295">
        <f>ROUND(CK120*(1+取值表!$D$8),0)</f>
        <v>1057293</v>
      </c>
      <c r="CM120" s="293">
        <f>CL120</f>
        <v>1057293</v>
      </c>
      <c r="CN120" s="293">
        <f t="shared" ref="CN120" si="2623">CM120</f>
        <v>1057293</v>
      </c>
      <c r="CO120" s="293">
        <f t="shared" ref="CO120" si="2624">CN120</f>
        <v>1057293</v>
      </c>
      <c r="CP120" s="293">
        <f t="shared" si="1468"/>
        <v>42068760</v>
      </c>
    </row>
    <row r="121" spans="1:94">
      <c r="A121" s="670"/>
      <c r="B121" s="645"/>
      <c r="C121" s="646"/>
      <c r="D121" s="647"/>
      <c r="E121" s="648"/>
      <c r="F121" s="642"/>
      <c r="G121" s="642"/>
      <c r="H121" s="643"/>
      <c r="I121" s="291"/>
      <c r="J121" s="295"/>
      <c r="K121" s="293"/>
      <c r="L121" s="293"/>
      <c r="M121" s="293"/>
      <c r="N121" s="293"/>
      <c r="O121" s="293"/>
      <c r="P121" s="293"/>
      <c r="Q121" s="293"/>
      <c r="R121" s="293"/>
      <c r="S121" s="293"/>
      <c r="T121" s="293"/>
      <c r="U121" s="293"/>
      <c r="V121" s="293"/>
      <c r="W121" s="293"/>
      <c r="X121" s="293"/>
      <c r="Y121" s="293"/>
      <c r="Z121" s="293"/>
      <c r="AA121" s="293"/>
      <c r="AB121" s="293"/>
      <c r="AC121" s="293"/>
      <c r="AD121" s="295"/>
      <c r="AE121" s="293"/>
      <c r="AF121" s="293"/>
      <c r="AG121" s="293"/>
      <c r="AH121" s="295"/>
      <c r="AI121" s="293"/>
      <c r="AJ121" s="293"/>
      <c r="AK121" s="293"/>
      <c r="AL121" s="295"/>
      <c r="AM121" s="293"/>
      <c r="AN121" s="293"/>
      <c r="AO121" s="293"/>
      <c r="AP121" s="295"/>
      <c r="AQ121" s="293"/>
      <c r="AR121" s="293"/>
      <c r="AS121" s="293"/>
      <c r="AT121" s="295"/>
      <c r="AU121" s="293"/>
      <c r="AV121" s="293"/>
      <c r="AW121" s="293"/>
      <c r="AX121" s="295"/>
      <c r="AY121" s="293"/>
      <c r="AZ121" s="293"/>
      <c r="BA121" s="293"/>
      <c r="BB121" s="295"/>
      <c r="BC121" s="293"/>
      <c r="BD121" s="293"/>
      <c r="BE121" s="293"/>
      <c r="BF121" s="295"/>
      <c r="BG121" s="293"/>
      <c r="BH121" s="293"/>
      <c r="BI121" s="293"/>
      <c r="BJ121" s="295"/>
      <c r="BK121" s="293"/>
      <c r="BL121" s="293"/>
      <c r="BM121" s="293"/>
      <c r="BN121" s="295"/>
      <c r="BO121" s="293"/>
      <c r="BP121" s="293"/>
      <c r="BQ121" s="293"/>
      <c r="BR121" s="295"/>
      <c r="BS121" s="293"/>
      <c r="BT121" s="293"/>
      <c r="BU121" s="293"/>
      <c r="BV121" s="295"/>
      <c r="BW121" s="293"/>
      <c r="BX121" s="293"/>
      <c r="BY121" s="293"/>
      <c r="BZ121" s="295"/>
      <c r="CA121" s="293"/>
      <c r="CB121" s="293"/>
      <c r="CC121" s="293"/>
      <c r="CD121" s="295"/>
      <c r="CE121" s="293"/>
      <c r="CF121" s="293"/>
      <c r="CG121" s="293"/>
      <c r="CH121" s="295"/>
      <c r="CI121" s="293"/>
      <c r="CJ121" s="293"/>
      <c r="CK121" s="293"/>
      <c r="CL121" s="295"/>
      <c r="CM121" s="293"/>
      <c r="CN121" s="293"/>
      <c r="CO121" s="293"/>
      <c r="CP121" s="293">
        <f t="shared" si="1468"/>
        <v>0</v>
      </c>
    </row>
    <row r="122" spans="1:94">
      <c r="A122" s="669">
        <v>61</v>
      </c>
      <c r="B122" s="645" t="s">
        <v>139</v>
      </c>
      <c r="C122" s="646" t="s">
        <v>140</v>
      </c>
      <c r="D122" s="647" t="s">
        <v>469</v>
      </c>
      <c r="E122" s="648" t="s">
        <v>455</v>
      </c>
      <c r="F122" s="642">
        <v>77.02</v>
      </c>
      <c r="G122" s="642">
        <v>27</v>
      </c>
      <c r="H122" s="643">
        <f>F122*G122*365</f>
        <v>759032.1</v>
      </c>
      <c r="I122" s="291">
        <v>189758.03</v>
      </c>
      <c r="J122" s="295">
        <f>ROUND(F122*G122*365/4,0)</f>
        <v>189758</v>
      </c>
      <c r="K122" s="293">
        <f t="shared" ref="K122:N122" si="2625">J122</f>
        <v>189758</v>
      </c>
      <c r="L122" s="293">
        <f t="shared" si="2625"/>
        <v>189758</v>
      </c>
      <c r="M122" s="293">
        <f t="shared" si="2625"/>
        <v>189758</v>
      </c>
      <c r="N122" s="293">
        <f t="shared" si="2625"/>
        <v>189758</v>
      </c>
      <c r="O122" s="292">
        <f>N122</f>
        <v>189758</v>
      </c>
      <c r="P122" s="293">
        <f>O122</f>
        <v>189758</v>
      </c>
      <c r="Q122" s="293">
        <f>P122</f>
        <v>189758</v>
      </c>
      <c r="R122" s="293">
        <f>ROUND(Q122*(1+取值表!$D$10)*取值表!$I$10,0)</f>
        <v>195169</v>
      </c>
      <c r="S122" s="293">
        <f>R122</f>
        <v>195169</v>
      </c>
      <c r="T122" s="293">
        <f>S122</f>
        <v>195169</v>
      </c>
      <c r="U122" s="293">
        <f>T122</f>
        <v>195169</v>
      </c>
      <c r="V122" s="294">
        <f>ROUND(U122*(1+取值表!$D$10),0)</f>
        <v>213320</v>
      </c>
      <c r="W122" s="293">
        <f t="shared" ref="W122:Y122" si="2626">V122</f>
        <v>213320</v>
      </c>
      <c r="X122" s="293">
        <f t="shared" si="2626"/>
        <v>213320</v>
      </c>
      <c r="Y122" s="293">
        <f t="shared" si="2626"/>
        <v>213320</v>
      </c>
      <c r="Z122" s="295">
        <f>ROUND(Y122*(1+取值表!$D$8),0)</f>
        <v>233159</v>
      </c>
      <c r="AA122" s="293">
        <f t="shared" ref="AA122:AB122" si="2627">Z122</f>
        <v>233159</v>
      </c>
      <c r="AB122" s="293">
        <f t="shared" si="2627"/>
        <v>233159</v>
      </c>
      <c r="AC122" s="293">
        <f>AB122</f>
        <v>233159</v>
      </c>
      <c r="AD122" s="295">
        <f>ROUND(AC122*(1+取值表!$D$8),0)</f>
        <v>254843</v>
      </c>
      <c r="AE122" s="293">
        <f t="shared" ref="AE122" si="2628">AD122</f>
        <v>254843</v>
      </c>
      <c r="AF122" s="293">
        <f t="shared" ref="AF122" si="2629">AE122</f>
        <v>254843</v>
      </c>
      <c r="AG122" s="293">
        <f t="shared" ref="AG122" si="2630">AF122</f>
        <v>254843</v>
      </c>
      <c r="AH122" s="295">
        <f>ROUND(AG122*(1+取值表!$D$8),0)</f>
        <v>278543</v>
      </c>
      <c r="AI122" s="293">
        <f t="shared" ref="AI122" si="2631">AH122</f>
        <v>278543</v>
      </c>
      <c r="AJ122" s="293">
        <f t="shared" ref="AJ122" si="2632">AI122</f>
        <v>278543</v>
      </c>
      <c r="AK122" s="293">
        <f t="shared" ref="AK122" si="2633">AJ122</f>
        <v>278543</v>
      </c>
      <c r="AL122" s="295">
        <f>ROUND(AK122*(1+取值表!$D$8),0)</f>
        <v>304447</v>
      </c>
      <c r="AM122" s="293">
        <f t="shared" ref="AM122" si="2634">AL122</f>
        <v>304447</v>
      </c>
      <c r="AN122" s="293">
        <f t="shared" ref="AN122" si="2635">AM122</f>
        <v>304447</v>
      </c>
      <c r="AO122" s="293">
        <f t="shared" ref="AO122" si="2636">AN122</f>
        <v>304447</v>
      </c>
      <c r="AP122" s="295">
        <f>ROUND(AO122*(1+取值表!$D$8),0)</f>
        <v>332761</v>
      </c>
      <c r="AQ122" s="293">
        <f t="shared" ref="AQ122" si="2637">AP122</f>
        <v>332761</v>
      </c>
      <c r="AR122" s="293">
        <f t="shared" ref="AR122" si="2638">AQ122</f>
        <v>332761</v>
      </c>
      <c r="AS122" s="293">
        <f t="shared" ref="AS122" si="2639">AR122</f>
        <v>332761</v>
      </c>
      <c r="AT122" s="295">
        <f>ROUND(AS122*(1+取值表!$D$8),0)</f>
        <v>363708</v>
      </c>
      <c r="AU122" s="293">
        <f t="shared" ref="AU122" si="2640">AT122</f>
        <v>363708</v>
      </c>
      <c r="AV122" s="293">
        <f t="shared" ref="AV122" si="2641">AU122</f>
        <v>363708</v>
      </c>
      <c r="AW122" s="293">
        <f t="shared" ref="AW122" si="2642">AV122</f>
        <v>363708</v>
      </c>
      <c r="AX122" s="295">
        <f>ROUND(AW122*(1+取值表!$D$8),0)</f>
        <v>397533</v>
      </c>
      <c r="AY122" s="293">
        <f t="shared" ref="AY122" si="2643">AX122</f>
        <v>397533</v>
      </c>
      <c r="AZ122" s="293">
        <f t="shared" ref="AZ122" si="2644">AY122</f>
        <v>397533</v>
      </c>
      <c r="BA122" s="293">
        <f t="shared" ref="BA122" si="2645">AZ122</f>
        <v>397533</v>
      </c>
      <c r="BB122" s="295">
        <f>ROUND(BA122*(1+取值表!$D$8),0)</f>
        <v>434504</v>
      </c>
      <c r="BC122" s="293">
        <f>BB122</f>
        <v>434504</v>
      </c>
      <c r="BD122" s="293">
        <f t="shared" ref="BD122" si="2646">BC122</f>
        <v>434504</v>
      </c>
      <c r="BE122" s="293">
        <f>BD122</f>
        <v>434504</v>
      </c>
      <c r="BF122" s="295">
        <f>ROUND(BE122*(1+取值表!$D$8),0)</f>
        <v>474913</v>
      </c>
      <c r="BG122" s="293">
        <f>BF122</f>
        <v>474913</v>
      </c>
      <c r="BH122" s="293">
        <f t="shared" ref="BH122" si="2647">BG122</f>
        <v>474913</v>
      </c>
      <c r="BI122" s="293">
        <f t="shared" ref="BI122" si="2648">BH122</f>
        <v>474913</v>
      </c>
      <c r="BJ122" s="295">
        <f>ROUND(BI122*(1+取值表!$D$8),0)</f>
        <v>519080</v>
      </c>
      <c r="BK122" s="293">
        <f t="shared" ref="BK122" si="2649">BJ122</f>
        <v>519080</v>
      </c>
      <c r="BL122" s="293">
        <f t="shared" ref="BL122" si="2650">BK122</f>
        <v>519080</v>
      </c>
      <c r="BM122" s="293">
        <f t="shared" ref="BM122" si="2651">BL122</f>
        <v>519080</v>
      </c>
      <c r="BN122" s="295">
        <f>ROUND(BM122*(1+取值表!$D$8),0)</f>
        <v>567354</v>
      </c>
      <c r="BO122" s="293">
        <f t="shared" ref="BO122" si="2652">BN122</f>
        <v>567354</v>
      </c>
      <c r="BP122" s="293">
        <f t="shared" ref="BP122" si="2653">BO122</f>
        <v>567354</v>
      </c>
      <c r="BQ122" s="293">
        <f t="shared" ref="BQ122" si="2654">BP122</f>
        <v>567354</v>
      </c>
      <c r="BR122" s="295">
        <f>ROUND(BQ122*(1+取值表!$D$8),0)</f>
        <v>620118</v>
      </c>
      <c r="BS122" s="293">
        <f t="shared" ref="BS122" si="2655">BR122</f>
        <v>620118</v>
      </c>
      <c r="BT122" s="293">
        <f t="shared" ref="BT122" si="2656">BS122</f>
        <v>620118</v>
      </c>
      <c r="BU122" s="293">
        <f t="shared" ref="BU122" si="2657">BT122</f>
        <v>620118</v>
      </c>
      <c r="BV122" s="295">
        <f>ROUND(BU122*(1+取值表!$D$8),0)</f>
        <v>677789</v>
      </c>
      <c r="BW122" s="293">
        <f t="shared" ref="BW122" si="2658">BV122</f>
        <v>677789</v>
      </c>
      <c r="BX122" s="293">
        <f t="shared" ref="BX122" si="2659">BW122</f>
        <v>677789</v>
      </c>
      <c r="BY122" s="293">
        <f t="shared" ref="BY122" si="2660">BX122</f>
        <v>677789</v>
      </c>
      <c r="BZ122" s="295">
        <f>ROUND(BY122*(1+取值表!$D$8),0)</f>
        <v>740823</v>
      </c>
      <c r="CA122" s="293">
        <f t="shared" ref="CA122" si="2661">BZ122</f>
        <v>740823</v>
      </c>
      <c r="CB122" s="293">
        <f t="shared" ref="CB122" si="2662">CA122</f>
        <v>740823</v>
      </c>
      <c r="CC122" s="293">
        <f t="shared" ref="CC122" si="2663">CB122</f>
        <v>740823</v>
      </c>
      <c r="CD122" s="295">
        <f>ROUND(CC122*(1+取值表!$D$8),0)</f>
        <v>809720</v>
      </c>
      <c r="CE122" s="293">
        <f t="shared" ref="CE122" si="2664">CD122</f>
        <v>809720</v>
      </c>
      <c r="CF122" s="293">
        <f t="shared" ref="CF122" si="2665">CE122</f>
        <v>809720</v>
      </c>
      <c r="CG122" s="293">
        <f t="shared" ref="CG122" si="2666">CF122</f>
        <v>809720</v>
      </c>
      <c r="CH122" s="295">
        <f>ROUND(CG122*(1+取值表!$D$8),0)</f>
        <v>885024</v>
      </c>
      <c r="CI122" s="293">
        <f>CH122</f>
        <v>885024</v>
      </c>
      <c r="CJ122" s="293">
        <f t="shared" ref="CJ122" si="2667">CI122</f>
        <v>885024</v>
      </c>
      <c r="CK122" s="293">
        <f t="shared" ref="CK122" si="2668">CJ122</f>
        <v>885024</v>
      </c>
      <c r="CL122" s="295">
        <f>ROUND(CK122*(1+取值表!$D$8),0)</f>
        <v>967331</v>
      </c>
      <c r="CM122" s="293">
        <f>CL122</f>
        <v>967331</v>
      </c>
      <c r="CN122" s="293">
        <f t="shared" ref="CN122" si="2669">CM122</f>
        <v>967331</v>
      </c>
      <c r="CO122" s="293">
        <f t="shared" ref="CO122" si="2670">CN122</f>
        <v>967331</v>
      </c>
      <c r="CP122" s="293">
        <f t="shared" si="1468"/>
        <v>38598620</v>
      </c>
    </row>
    <row r="123" spans="1:94">
      <c r="A123" s="670"/>
      <c r="B123" s="645"/>
      <c r="C123" s="646"/>
      <c r="D123" s="647"/>
      <c r="E123" s="648"/>
      <c r="F123" s="642"/>
      <c r="G123" s="642"/>
      <c r="H123" s="643"/>
      <c r="I123" s="291"/>
      <c r="J123" s="295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  <c r="AN123" s="293"/>
      <c r="AO123" s="293"/>
      <c r="AP123" s="293"/>
      <c r="AQ123" s="293"/>
      <c r="AR123" s="293"/>
      <c r="AS123" s="293"/>
      <c r="AT123" s="293"/>
      <c r="AU123" s="293"/>
      <c r="AV123" s="293"/>
      <c r="AW123" s="293"/>
      <c r="AX123" s="293"/>
      <c r="AY123" s="293"/>
      <c r="AZ123" s="293"/>
      <c r="BA123" s="293"/>
      <c r="BB123" s="293"/>
      <c r="BC123" s="293"/>
      <c r="BD123" s="293"/>
      <c r="BE123" s="293"/>
      <c r="BF123" s="293"/>
      <c r="BG123" s="293"/>
      <c r="BH123" s="293"/>
      <c r="BI123" s="293"/>
      <c r="BJ123" s="293"/>
      <c r="BK123" s="293"/>
      <c r="BL123" s="293"/>
      <c r="BM123" s="293"/>
      <c r="BN123" s="293"/>
      <c r="BO123" s="293"/>
      <c r="BP123" s="293"/>
      <c r="BQ123" s="293"/>
      <c r="BR123" s="293"/>
      <c r="BS123" s="293"/>
      <c r="BT123" s="293"/>
      <c r="BU123" s="293"/>
      <c r="BV123" s="293"/>
      <c r="BW123" s="293"/>
      <c r="BX123" s="293"/>
      <c r="BY123" s="293"/>
      <c r="BZ123" s="293"/>
      <c r="CA123" s="293"/>
      <c r="CB123" s="293"/>
      <c r="CC123" s="293"/>
      <c r="CD123" s="293"/>
      <c r="CE123" s="293"/>
      <c r="CF123" s="293"/>
      <c r="CG123" s="293"/>
      <c r="CH123" s="293"/>
      <c r="CI123" s="293"/>
      <c r="CJ123" s="293"/>
      <c r="CK123" s="293"/>
      <c r="CL123" s="293"/>
      <c r="CM123" s="293"/>
      <c r="CN123" s="293"/>
      <c r="CO123" s="293"/>
      <c r="CP123" s="293">
        <f t="shared" si="1468"/>
        <v>0</v>
      </c>
    </row>
    <row r="124" spans="1:94" ht="12" customHeight="1">
      <c r="A124" s="669">
        <v>62</v>
      </c>
      <c r="B124" s="645" t="s">
        <v>141</v>
      </c>
      <c r="C124" s="646" t="s">
        <v>142</v>
      </c>
      <c r="D124" s="647" t="s">
        <v>143</v>
      </c>
      <c r="E124" s="648" t="s">
        <v>455</v>
      </c>
      <c r="F124" s="642">
        <v>77.069999999999993</v>
      </c>
      <c r="G124" s="642">
        <v>25</v>
      </c>
      <c r="H124" s="643">
        <f>F124*G124*365</f>
        <v>703263.74999999988</v>
      </c>
      <c r="I124" s="291">
        <v>172299.62</v>
      </c>
      <c r="J124" s="292">
        <f>ROUND(F124*G124*365/4,0)</f>
        <v>175816</v>
      </c>
      <c r="K124" s="293">
        <f>J124</f>
        <v>175816</v>
      </c>
      <c r="L124" s="293">
        <f>K124</f>
        <v>175816</v>
      </c>
      <c r="M124" s="293">
        <f>L124</f>
        <v>175816</v>
      </c>
      <c r="N124" s="293">
        <f>ROUND(M124*(1+取值表!$D$10)*取值表!$I$10,0)</f>
        <v>180829</v>
      </c>
      <c r="O124" s="293">
        <f>N124</f>
        <v>180829</v>
      </c>
      <c r="P124" s="293">
        <f>O124</f>
        <v>180829</v>
      </c>
      <c r="Q124" s="293">
        <f>P124</f>
        <v>180829</v>
      </c>
      <c r="R124" s="294">
        <f>ROUND(Q124*(1+取值表!$D$10),0)</f>
        <v>197646</v>
      </c>
      <c r="S124" s="293">
        <f t="shared" ref="S124:T124" si="2671">R124</f>
        <v>197646</v>
      </c>
      <c r="T124" s="293">
        <f t="shared" si="2671"/>
        <v>197646</v>
      </c>
      <c r="U124" s="293">
        <f>T124</f>
        <v>197646</v>
      </c>
      <c r="V124" s="295">
        <f>ROUND(U124*(1+取值表!$D$8),0)</f>
        <v>216027</v>
      </c>
      <c r="W124" s="293">
        <f t="shared" ref="W124:Y124" si="2672">V124</f>
        <v>216027</v>
      </c>
      <c r="X124" s="293">
        <f t="shared" si="2672"/>
        <v>216027</v>
      </c>
      <c r="Y124" s="293">
        <f t="shared" si="2672"/>
        <v>216027</v>
      </c>
      <c r="Z124" s="295">
        <f>ROUND(Y124*(1+取值表!$D$8),0)</f>
        <v>236118</v>
      </c>
      <c r="AA124" s="293">
        <f t="shared" ref="AA124" si="2673">Z124</f>
        <v>236118</v>
      </c>
      <c r="AB124" s="293">
        <f t="shared" ref="AB124" si="2674">AA124</f>
        <v>236118</v>
      </c>
      <c r="AC124" s="293">
        <f>AB124</f>
        <v>236118</v>
      </c>
      <c r="AD124" s="295">
        <f>ROUND(AC124*(1+取值表!$D$8),0)</f>
        <v>258077</v>
      </c>
      <c r="AE124" s="293">
        <f t="shared" ref="AE124" si="2675">AD124</f>
        <v>258077</v>
      </c>
      <c r="AF124" s="293">
        <f t="shared" ref="AF124" si="2676">AE124</f>
        <v>258077</v>
      </c>
      <c r="AG124" s="293">
        <f t="shared" ref="AG124" si="2677">AF124</f>
        <v>258077</v>
      </c>
      <c r="AH124" s="295">
        <f>ROUND(AG124*(1+取值表!$D$8),0)</f>
        <v>282078</v>
      </c>
      <c r="AI124" s="293">
        <f t="shared" ref="AI124" si="2678">AH124</f>
        <v>282078</v>
      </c>
      <c r="AJ124" s="293">
        <f t="shared" ref="AJ124" si="2679">AI124</f>
        <v>282078</v>
      </c>
      <c r="AK124" s="293">
        <f t="shared" ref="AK124" si="2680">AJ124</f>
        <v>282078</v>
      </c>
      <c r="AL124" s="295">
        <f>ROUND(AK124*(1+取值表!$D$8),0)</f>
        <v>308311</v>
      </c>
      <c r="AM124" s="293">
        <f t="shared" ref="AM124" si="2681">AL124</f>
        <v>308311</v>
      </c>
      <c r="AN124" s="293">
        <f t="shared" ref="AN124" si="2682">AM124</f>
        <v>308311</v>
      </c>
      <c r="AO124" s="293">
        <f t="shared" ref="AO124" si="2683">AN124</f>
        <v>308311</v>
      </c>
      <c r="AP124" s="295">
        <f>ROUND(AO124*(1+取值表!$D$8),0)</f>
        <v>336984</v>
      </c>
      <c r="AQ124" s="293">
        <f t="shared" ref="AQ124" si="2684">AP124</f>
        <v>336984</v>
      </c>
      <c r="AR124" s="293">
        <f t="shared" ref="AR124" si="2685">AQ124</f>
        <v>336984</v>
      </c>
      <c r="AS124" s="293">
        <f t="shared" ref="AS124" si="2686">AR124</f>
        <v>336984</v>
      </c>
      <c r="AT124" s="295">
        <f>ROUND(AS124*(1+取值表!$D$8),0)</f>
        <v>368324</v>
      </c>
      <c r="AU124" s="293">
        <f t="shared" ref="AU124" si="2687">AT124</f>
        <v>368324</v>
      </c>
      <c r="AV124" s="293">
        <f t="shared" ref="AV124" si="2688">AU124</f>
        <v>368324</v>
      </c>
      <c r="AW124" s="293">
        <f t="shared" ref="AW124" si="2689">AV124</f>
        <v>368324</v>
      </c>
      <c r="AX124" s="295">
        <f>ROUND(AW124*(1+取值表!$D$8),0)</f>
        <v>402578</v>
      </c>
      <c r="AY124" s="293">
        <f t="shared" ref="AY124" si="2690">AX124</f>
        <v>402578</v>
      </c>
      <c r="AZ124" s="293">
        <f t="shared" ref="AZ124" si="2691">AY124</f>
        <v>402578</v>
      </c>
      <c r="BA124" s="293">
        <f t="shared" ref="BA124" si="2692">AZ124</f>
        <v>402578</v>
      </c>
      <c r="BB124" s="295">
        <f>ROUND(BA124*(1+取值表!$D$8),0)</f>
        <v>440018</v>
      </c>
      <c r="BC124" s="293">
        <f>BB124</f>
        <v>440018</v>
      </c>
      <c r="BD124" s="293">
        <f t="shared" ref="BD124" si="2693">BC124</f>
        <v>440018</v>
      </c>
      <c r="BE124" s="293">
        <f>BD124</f>
        <v>440018</v>
      </c>
      <c r="BF124" s="295">
        <f>ROUND(BE124*(1+取值表!$D$8),0)</f>
        <v>480940</v>
      </c>
      <c r="BG124" s="293">
        <f>BF124</f>
        <v>480940</v>
      </c>
      <c r="BH124" s="293">
        <f t="shared" ref="BH124" si="2694">BG124</f>
        <v>480940</v>
      </c>
      <c r="BI124" s="293">
        <f t="shared" ref="BI124" si="2695">BH124</f>
        <v>480940</v>
      </c>
      <c r="BJ124" s="295">
        <f>ROUND(BI124*(1+取值表!$D$8),0)</f>
        <v>525667</v>
      </c>
      <c r="BK124" s="293">
        <f t="shared" ref="BK124" si="2696">BJ124</f>
        <v>525667</v>
      </c>
      <c r="BL124" s="293">
        <f t="shared" ref="BL124" si="2697">BK124</f>
        <v>525667</v>
      </c>
      <c r="BM124" s="293">
        <f t="shared" ref="BM124" si="2698">BL124</f>
        <v>525667</v>
      </c>
      <c r="BN124" s="295">
        <f>ROUND(BM124*(1+取值表!$D$8),0)</f>
        <v>574554</v>
      </c>
      <c r="BO124" s="293">
        <f t="shared" ref="BO124" si="2699">BN124</f>
        <v>574554</v>
      </c>
      <c r="BP124" s="293">
        <f t="shared" ref="BP124" si="2700">BO124</f>
        <v>574554</v>
      </c>
      <c r="BQ124" s="293">
        <f t="shared" ref="BQ124" si="2701">BP124</f>
        <v>574554</v>
      </c>
      <c r="BR124" s="295">
        <f>ROUND(BQ124*(1+取值表!$D$8),0)</f>
        <v>627988</v>
      </c>
      <c r="BS124" s="293">
        <f t="shared" ref="BS124" si="2702">BR124</f>
        <v>627988</v>
      </c>
      <c r="BT124" s="293">
        <f t="shared" ref="BT124" si="2703">BS124</f>
        <v>627988</v>
      </c>
      <c r="BU124" s="293">
        <f t="shared" ref="BU124" si="2704">BT124</f>
        <v>627988</v>
      </c>
      <c r="BV124" s="295">
        <f>ROUND(BU124*(1+取值表!$D$8),0)</f>
        <v>686391</v>
      </c>
      <c r="BW124" s="293">
        <f t="shared" ref="BW124" si="2705">BV124</f>
        <v>686391</v>
      </c>
      <c r="BX124" s="293">
        <f t="shared" ref="BX124" si="2706">BW124</f>
        <v>686391</v>
      </c>
      <c r="BY124" s="293">
        <f t="shared" ref="BY124" si="2707">BX124</f>
        <v>686391</v>
      </c>
      <c r="BZ124" s="295">
        <f>ROUND(BY124*(1+取值表!$D$8),0)</f>
        <v>750225</v>
      </c>
      <c r="CA124" s="293">
        <f t="shared" ref="CA124" si="2708">BZ124</f>
        <v>750225</v>
      </c>
      <c r="CB124" s="293">
        <f t="shared" ref="CB124" si="2709">CA124</f>
        <v>750225</v>
      </c>
      <c r="CC124" s="293">
        <f t="shared" ref="CC124" si="2710">CB124</f>
        <v>750225</v>
      </c>
      <c r="CD124" s="295">
        <f>ROUND(CC124*(1+取值表!$D$8),0)</f>
        <v>819996</v>
      </c>
      <c r="CE124" s="293">
        <f t="shared" ref="CE124" si="2711">CD124</f>
        <v>819996</v>
      </c>
      <c r="CF124" s="293">
        <f t="shared" ref="CF124" si="2712">CE124</f>
        <v>819996</v>
      </c>
      <c r="CG124" s="293">
        <f t="shared" ref="CG124" si="2713">CF124</f>
        <v>819996</v>
      </c>
      <c r="CH124" s="295">
        <f>ROUND(CG124*(1+取值表!$D$8),0)</f>
        <v>896256</v>
      </c>
      <c r="CI124" s="293">
        <f>CH124</f>
        <v>896256</v>
      </c>
      <c r="CJ124" s="293">
        <f t="shared" ref="CJ124" si="2714">CI124</f>
        <v>896256</v>
      </c>
      <c r="CK124" s="293">
        <f t="shared" ref="CK124" si="2715">CJ124</f>
        <v>896256</v>
      </c>
      <c r="CL124" s="295">
        <f>ROUND(CK124*(1+取值表!$D$8),0)</f>
        <v>979608</v>
      </c>
      <c r="CM124" s="293">
        <f>CL124</f>
        <v>979608</v>
      </c>
      <c r="CN124" s="293">
        <f t="shared" ref="CN124" si="2716">CM124</f>
        <v>979608</v>
      </c>
      <c r="CO124" s="293">
        <f t="shared" ref="CO124" si="2717">CN124</f>
        <v>979608</v>
      </c>
      <c r="CP124" s="293">
        <f t="shared" si="1468"/>
        <v>38977724</v>
      </c>
    </row>
    <row r="125" spans="1:94" ht="12" customHeight="1">
      <c r="A125" s="670"/>
      <c r="B125" s="645"/>
      <c r="C125" s="646"/>
      <c r="D125" s="647"/>
      <c r="E125" s="648"/>
      <c r="F125" s="642"/>
      <c r="G125" s="642"/>
      <c r="H125" s="643"/>
      <c r="I125" s="291"/>
      <c r="J125" s="295"/>
      <c r="K125" s="293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3"/>
      <c r="AA125" s="293"/>
      <c r="AB125" s="293"/>
      <c r="AC125" s="293"/>
      <c r="AD125" s="293"/>
      <c r="AE125" s="293"/>
      <c r="AF125" s="293"/>
      <c r="AG125" s="293"/>
      <c r="AH125" s="293"/>
      <c r="AI125" s="293"/>
      <c r="AJ125" s="293"/>
      <c r="AK125" s="293"/>
      <c r="AL125" s="293"/>
      <c r="AM125" s="293"/>
      <c r="AN125" s="293"/>
      <c r="AO125" s="293"/>
      <c r="AP125" s="293"/>
      <c r="AQ125" s="293"/>
      <c r="AR125" s="293"/>
      <c r="AS125" s="293"/>
      <c r="AT125" s="293"/>
      <c r="AU125" s="293"/>
      <c r="AV125" s="293"/>
      <c r="AW125" s="293"/>
      <c r="AX125" s="293"/>
      <c r="AY125" s="293"/>
      <c r="AZ125" s="293"/>
      <c r="BA125" s="293"/>
      <c r="BB125" s="293"/>
      <c r="BC125" s="293"/>
      <c r="BD125" s="293"/>
      <c r="BE125" s="293"/>
      <c r="BF125" s="293"/>
      <c r="BG125" s="293"/>
      <c r="BH125" s="293"/>
      <c r="BI125" s="293"/>
      <c r="BJ125" s="293"/>
      <c r="BK125" s="293"/>
      <c r="BL125" s="293"/>
      <c r="BM125" s="293"/>
      <c r="BN125" s="293"/>
      <c r="BO125" s="293"/>
      <c r="BP125" s="293"/>
      <c r="BQ125" s="293"/>
      <c r="BR125" s="293"/>
      <c r="BS125" s="293"/>
      <c r="BT125" s="293"/>
      <c r="BU125" s="293"/>
      <c r="BV125" s="293"/>
      <c r="BW125" s="293"/>
      <c r="BX125" s="293"/>
      <c r="BY125" s="293"/>
      <c r="BZ125" s="293"/>
      <c r="CA125" s="293"/>
      <c r="CB125" s="293"/>
      <c r="CC125" s="293"/>
      <c r="CD125" s="293"/>
      <c r="CE125" s="293"/>
      <c r="CF125" s="293"/>
      <c r="CG125" s="293"/>
      <c r="CH125" s="293"/>
      <c r="CI125" s="293"/>
      <c r="CJ125" s="293"/>
      <c r="CK125" s="293"/>
      <c r="CL125" s="293"/>
      <c r="CM125" s="293"/>
      <c r="CN125" s="293"/>
      <c r="CO125" s="293"/>
      <c r="CP125" s="293">
        <f t="shared" si="1468"/>
        <v>0</v>
      </c>
    </row>
    <row r="126" spans="1:94" ht="12" customHeight="1">
      <c r="A126" s="669">
        <v>63</v>
      </c>
      <c r="B126" s="645" t="s">
        <v>144</v>
      </c>
      <c r="C126" s="646" t="s">
        <v>729</v>
      </c>
      <c r="D126" s="647" t="s">
        <v>470</v>
      </c>
      <c r="E126" s="648" t="s">
        <v>455</v>
      </c>
      <c r="F126" s="642">
        <v>87.54</v>
      </c>
      <c r="G126" s="642">
        <v>20</v>
      </c>
      <c r="H126" s="643">
        <f>F126*G126*365</f>
        <v>639042.00000000012</v>
      </c>
      <c r="I126" s="291">
        <f>155766.5+11982.03</f>
        <v>167748.53</v>
      </c>
      <c r="J126" s="295">
        <f>ROUND(F126*G126*365/4,0)</f>
        <v>159761</v>
      </c>
      <c r="K126" s="295">
        <f>J126</f>
        <v>159761</v>
      </c>
      <c r="L126" s="292">
        <f>K126</f>
        <v>159761</v>
      </c>
      <c r="M126" s="293">
        <f>L126</f>
        <v>159761</v>
      </c>
      <c r="N126" s="293">
        <f>ROUND(M126*(1+取值表!$D$10)*取值表!$I$10,0)</f>
        <v>164316</v>
      </c>
      <c r="O126" s="293">
        <f>N126</f>
        <v>164316</v>
      </c>
      <c r="P126" s="293">
        <f>O126</f>
        <v>164316</v>
      </c>
      <c r="Q126" s="293">
        <f>P126</f>
        <v>164316</v>
      </c>
      <c r="R126" s="294">
        <f>ROUND(Q126*(1+取值表!$D$10),0)</f>
        <v>179597</v>
      </c>
      <c r="S126" s="293">
        <f t="shared" ref="S126:T126" si="2718">R126</f>
        <v>179597</v>
      </c>
      <c r="T126" s="293">
        <f t="shared" si="2718"/>
        <v>179597</v>
      </c>
      <c r="U126" s="293">
        <f>T126</f>
        <v>179597</v>
      </c>
      <c r="V126" s="295">
        <f>ROUND(U126*(1+取值表!$D$8),0)</f>
        <v>196300</v>
      </c>
      <c r="W126" s="293">
        <f t="shared" ref="W126:Y126" si="2719">V126</f>
        <v>196300</v>
      </c>
      <c r="X126" s="293">
        <f t="shared" si="2719"/>
        <v>196300</v>
      </c>
      <c r="Y126" s="293">
        <f t="shared" si="2719"/>
        <v>196300</v>
      </c>
      <c r="Z126" s="295">
        <f>ROUND(Y126*(1+取值表!$D$8),0)</f>
        <v>214556</v>
      </c>
      <c r="AA126" s="293">
        <f t="shared" ref="AA126" si="2720">Z126</f>
        <v>214556</v>
      </c>
      <c r="AB126" s="293">
        <f t="shared" ref="AB126" si="2721">AA126</f>
        <v>214556</v>
      </c>
      <c r="AC126" s="293">
        <f>AB126</f>
        <v>214556</v>
      </c>
      <c r="AD126" s="295">
        <f>ROUND(AC126*(1+取值表!$D$8),0)</f>
        <v>234510</v>
      </c>
      <c r="AE126" s="293">
        <f t="shared" ref="AE126" si="2722">AD126</f>
        <v>234510</v>
      </c>
      <c r="AF126" s="293">
        <f t="shared" ref="AF126" si="2723">AE126</f>
        <v>234510</v>
      </c>
      <c r="AG126" s="293">
        <f t="shared" ref="AG126" si="2724">AF126</f>
        <v>234510</v>
      </c>
      <c r="AH126" s="295">
        <f>ROUND(AG126*(1+取值表!$D$8),0)</f>
        <v>256319</v>
      </c>
      <c r="AI126" s="293">
        <f t="shared" ref="AI126" si="2725">AH126</f>
        <v>256319</v>
      </c>
      <c r="AJ126" s="293">
        <f t="shared" ref="AJ126" si="2726">AI126</f>
        <v>256319</v>
      </c>
      <c r="AK126" s="293">
        <f t="shared" ref="AK126" si="2727">AJ126</f>
        <v>256319</v>
      </c>
      <c r="AL126" s="295">
        <f>ROUND(AK126*(1+取值表!$D$8),0)</f>
        <v>280157</v>
      </c>
      <c r="AM126" s="293">
        <f t="shared" ref="AM126" si="2728">AL126</f>
        <v>280157</v>
      </c>
      <c r="AN126" s="293">
        <f t="shared" ref="AN126" si="2729">AM126</f>
        <v>280157</v>
      </c>
      <c r="AO126" s="293">
        <f t="shared" ref="AO126" si="2730">AN126</f>
        <v>280157</v>
      </c>
      <c r="AP126" s="295">
        <f>ROUND(AO126*(1+取值表!$D$8),0)</f>
        <v>306212</v>
      </c>
      <c r="AQ126" s="293">
        <f t="shared" ref="AQ126" si="2731">AP126</f>
        <v>306212</v>
      </c>
      <c r="AR126" s="293">
        <f t="shared" ref="AR126" si="2732">AQ126</f>
        <v>306212</v>
      </c>
      <c r="AS126" s="293">
        <f t="shared" ref="AS126" si="2733">AR126</f>
        <v>306212</v>
      </c>
      <c r="AT126" s="295">
        <f>ROUND(AS126*(1+取值表!$D$8),0)</f>
        <v>334690</v>
      </c>
      <c r="AU126" s="293">
        <f t="shared" ref="AU126" si="2734">AT126</f>
        <v>334690</v>
      </c>
      <c r="AV126" s="293">
        <f t="shared" ref="AV126" si="2735">AU126</f>
        <v>334690</v>
      </c>
      <c r="AW126" s="293">
        <f t="shared" ref="AW126" si="2736">AV126</f>
        <v>334690</v>
      </c>
      <c r="AX126" s="295">
        <f>ROUND(AW126*(1+取值表!$D$8),0)</f>
        <v>365816</v>
      </c>
      <c r="AY126" s="293">
        <f t="shared" ref="AY126" si="2737">AX126</f>
        <v>365816</v>
      </c>
      <c r="AZ126" s="293">
        <f t="shared" ref="AZ126" si="2738">AY126</f>
        <v>365816</v>
      </c>
      <c r="BA126" s="293">
        <f t="shared" ref="BA126" si="2739">AZ126</f>
        <v>365816</v>
      </c>
      <c r="BB126" s="295">
        <f>ROUND(BA126*(1+取值表!$D$8),0)</f>
        <v>399837</v>
      </c>
      <c r="BC126" s="293">
        <f>BB126</f>
        <v>399837</v>
      </c>
      <c r="BD126" s="293">
        <f t="shared" ref="BD126" si="2740">BC126</f>
        <v>399837</v>
      </c>
      <c r="BE126" s="293">
        <f>BD126</f>
        <v>399837</v>
      </c>
      <c r="BF126" s="295">
        <f>ROUND(BE126*(1+取值表!$D$8),0)</f>
        <v>437022</v>
      </c>
      <c r="BG126" s="293">
        <f>BF126</f>
        <v>437022</v>
      </c>
      <c r="BH126" s="293">
        <f t="shared" ref="BH126" si="2741">BG126</f>
        <v>437022</v>
      </c>
      <c r="BI126" s="293">
        <f t="shared" ref="BI126" si="2742">BH126</f>
        <v>437022</v>
      </c>
      <c r="BJ126" s="295">
        <f>ROUND(BI126*(1+取值表!$D$8),0)</f>
        <v>477665</v>
      </c>
      <c r="BK126" s="293">
        <f t="shared" ref="BK126" si="2743">BJ126</f>
        <v>477665</v>
      </c>
      <c r="BL126" s="293">
        <f t="shared" ref="BL126" si="2744">BK126</f>
        <v>477665</v>
      </c>
      <c r="BM126" s="293">
        <f t="shared" ref="BM126" si="2745">BL126</f>
        <v>477665</v>
      </c>
      <c r="BN126" s="295">
        <f>ROUND(BM126*(1+取值表!$D$8),0)</f>
        <v>522088</v>
      </c>
      <c r="BO126" s="293">
        <f t="shared" ref="BO126" si="2746">BN126</f>
        <v>522088</v>
      </c>
      <c r="BP126" s="293">
        <f t="shared" ref="BP126" si="2747">BO126</f>
        <v>522088</v>
      </c>
      <c r="BQ126" s="293">
        <f t="shared" ref="BQ126" si="2748">BP126</f>
        <v>522088</v>
      </c>
      <c r="BR126" s="295">
        <f>ROUND(BQ126*(1+取值表!$D$8),0)</f>
        <v>570642</v>
      </c>
      <c r="BS126" s="293">
        <f t="shared" ref="BS126" si="2749">BR126</f>
        <v>570642</v>
      </c>
      <c r="BT126" s="293">
        <f t="shared" ref="BT126" si="2750">BS126</f>
        <v>570642</v>
      </c>
      <c r="BU126" s="293">
        <f t="shared" ref="BU126" si="2751">BT126</f>
        <v>570642</v>
      </c>
      <c r="BV126" s="295">
        <f>ROUND(BU126*(1+取值表!$D$8),0)</f>
        <v>623712</v>
      </c>
      <c r="BW126" s="293">
        <f t="shared" ref="BW126" si="2752">BV126</f>
        <v>623712</v>
      </c>
      <c r="BX126" s="293">
        <f t="shared" ref="BX126" si="2753">BW126</f>
        <v>623712</v>
      </c>
      <c r="BY126" s="293">
        <f t="shared" ref="BY126" si="2754">BX126</f>
        <v>623712</v>
      </c>
      <c r="BZ126" s="295">
        <f>ROUND(BY126*(1+取值表!$D$8),0)</f>
        <v>681717</v>
      </c>
      <c r="CA126" s="293">
        <f t="shared" ref="CA126" si="2755">BZ126</f>
        <v>681717</v>
      </c>
      <c r="CB126" s="293">
        <f t="shared" ref="CB126" si="2756">CA126</f>
        <v>681717</v>
      </c>
      <c r="CC126" s="293">
        <f t="shared" ref="CC126" si="2757">CB126</f>
        <v>681717</v>
      </c>
      <c r="CD126" s="295">
        <f>ROUND(CC126*(1+取值表!$D$8),0)</f>
        <v>745117</v>
      </c>
      <c r="CE126" s="293">
        <f t="shared" ref="CE126" si="2758">CD126</f>
        <v>745117</v>
      </c>
      <c r="CF126" s="293">
        <f t="shared" ref="CF126" si="2759">CE126</f>
        <v>745117</v>
      </c>
      <c r="CG126" s="293">
        <f t="shared" ref="CG126" si="2760">CF126</f>
        <v>745117</v>
      </c>
      <c r="CH126" s="295">
        <f>ROUND(CG126*(1+取值表!$D$8),0)</f>
        <v>814413</v>
      </c>
      <c r="CI126" s="293">
        <f>CH126</f>
        <v>814413</v>
      </c>
      <c r="CJ126" s="293">
        <f t="shared" ref="CJ126" si="2761">CI126</f>
        <v>814413</v>
      </c>
      <c r="CK126" s="293">
        <f t="shared" ref="CK126" si="2762">CJ126</f>
        <v>814413</v>
      </c>
      <c r="CL126" s="295">
        <f>ROUND(CK126*(1+取值表!$D$8),0)</f>
        <v>890153</v>
      </c>
      <c r="CM126" s="293">
        <f>CL126</f>
        <v>890153</v>
      </c>
      <c r="CN126" s="293">
        <f t="shared" ref="CN126" si="2763">CM126</f>
        <v>890153</v>
      </c>
      <c r="CO126" s="293">
        <f t="shared" ref="CO126" si="2764">CN126</f>
        <v>890153</v>
      </c>
      <c r="CP126" s="293">
        <f t="shared" si="1468"/>
        <v>35418400</v>
      </c>
    </row>
    <row r="127" spans="1:94" ht="12" customHeight="1">
      <c r="A127" s="670"/>
      <c r="B127" s="645"/>
      <c r="C127" s="646"/>
      <c r="D127" s="647"/>
      <c r="E127" s="648"/>
      <c r="F127" s="642"/>
      <c r="G127" s="642"/>
      <c r="H127" s="643"/>
      <c r="I127" s="291"/>
      <c r="J127" s="295"/>
      <c r="K127" s="295"/>
      <c r="L127" s="293"/>
      <c r="M127" s="293"/>
      <c r="N127" s="293"/>
      <c r="O127" s="293"/>
      <c r="P127" s="293"/>
      <c r="Q127" s="293"/>
      <c r="R127" s="293"/>
      <c r="S127" s="293"/>
      <c r="T127" s="293"/>
      <c r="U127" s="293"/>
      <c r="V127" s="293"/>
      <c r="W127" s="293"/>
      <c r="X127" s="293"/>
      <c r="Y127" s="293"/>
      <c r="Z127" s="293"/>
      <c r="AA127" s="293"/>
      <c r="AB127" s="293"/>
      <c r="AC127" s="293"/>
      <c r="AD127" s="293"/>
      <c r="AE127" s="293"/>
      <c r="AF127" s="293"/>
      <c r="AG127" s="293"/>
      <c r="AH127" s="293"/>
      <c r="AI127" s="293"/>
      <c r="AJ127" s="293"/>
      <c r="AK127" s="293"/>
      <c r="AL127" s="293"/>
      <c r="AM127" s="293"/>
      <c r="AN127" s="293"/>
      <c r="AO127" s="293"/>
      <c r="AP127" s="293"/>
      <c r="AQ127" s="293"/>
      <c r="AR127" s="293"/>
      <c r="AS127" s="293"/>
      <c r="AT127" s="293"/>
      <c r="AU127" s="293"/>
      <c r="AV127" s="293"/>
      <c r="AW127" s="293"/>
      <c r="AX127" s="293"/>
      <c r="AY127" s="293"/>
      <c r="AZ127" s="293"/>
      <c r="BA127" s="293"/>
      <c r="BB127" s="293"/>
      <c r="BC127" s="293"/>
      <c r="BD127" s="293"/>
      <c r="BE127" s="293"/>
      <c r="BF127" s="293"/>
      <c r="BG127" s="293"/>
      <c r="BH127" s="293"/>
      <c r="BI127" s="293"/>
      <c r="BJ127" s="293"/>
      <c r="BK127" s="293"/>
      <c r="BL127" s="293"/>
      <c r="BM127" s="293"/>
      <c r="BN127" s="293"/>
      <c r="BO127" s="293"/>
      <c r="BP127" s="293"/>
      <c r="BQ127" s="293"/>
      <c r="BR127" s="293"/>
      <c r="BS127" s="293"/>
      <c r="BT127" s="293"/>
      <c r="BU127" s="293"/>
      <c r="BV127" s="293"/>
      <c r="BW127" s="293"/>
      <c r="BX127" s="293"/>
      <c r="BY127" s="293"/>
      <c r="BZ127" s="293"/>
      <c r="CA127" s="293"/>
      <c r="CB127" s="293"/>
      <c r="CC127" s="293"/>
      <c r="CD127" s="293"/>
      <c r="CE127" s="293"/>
      <c r="CF127" s="293"/>
      <c r="CG127" s="293"/>
      <c r="CH127" s="293"/>
      <c r="CI127" s="293"/>
      <c r="CJ127" s="293"/>
      <c r="CK127" s="293"/>
      <c r="CL127" s="293"/>
      <c r="CM127" s="293"/>
      <c r="CN127" s="293"/>
      <c r="CO127" s="293"/>
      <c r="CP127" s="293">
        <f t="shared" si="1468"/>
        <v>0</v>
      </c>
    </row>
    <row r="128" spans="1:94" ht="12" customHeight="1">
      <c r="A128" s="669">
        <v>64</v>
      </c>
      <c r="B128" s="645" t="s">
        <v>145</v>
      </c>
      <c r="C128" s="646" t="s">
        <v>146</v>
      </c>
      <c r="D128" s="647" t="s">
        <v>407</v>
      </c>
      <c r="E128" s="648" t="s">
        <v>455</v>
      </c>
      <c r="F128" s="642">
        <v>111.33</v>
      </c>
      <c r="G128" s="642">
        <v>26</v>
      </c>
      <c r="H128" s="643">
        <f>F128*G128*365</f>
        <v>1056521.7</v>
      </c>
      <c r="I128" s="291">
        <v>252899.37</v>
      </c>
      <c r="J128" s="295">
        <f>ROUND(F128*G128*365/4,0)</f>
        <v>264130</v>
      </c>
      <c r="K128" s="292">
        <f>J128</f>
        <v>264130</v>
      </c>
      <c r="L128" s="293">
        <f>K128</f>
        <v>264130</v>
      </c>
      <c r="M128" s="293">
        <f>L128</f>
        <v>264130</v>
      </c>
      <c r="N128" s="293">
        <f>ROUND(M128*(1+取值表!$D$10)*取值表!$I$10,0)</f>
        <v>271661</v>
      </c>
      <c r="O128" s="293">
        <f>N128</f>
        <v>271661</v>
      </c>
      <c r="P128" s="293">
        <f>O128</f>
        <v>271661</v>
      </c>
      <c r="Q128" s="293">
        <f>P128</f>
        <v>271661</v>
      </c>
      <c r="R128" s="294">
        <f>ROUND(Q128*(1+取值表!$D$10),0)</f>
        <v>296925</v>
      </c>
      <c r="S128" s="293">
        <f t="shared" ref="S128:T128" si="2765">R128</f>
        <v>296925</v>
      </c>
      <c r="T128" s="293">
        <f t="shared" si="2765"/>
        <v>296925</v>
      </c>
      <c r="U128" s="293">
        <f>T128</f>
        <v>296925</v>
      </c>
      <c r="V128" s="295">
        <f>ROUND(U128*(1+取值表!$D$8),0)</f>
        <v>324539</v>
      </c>
      <c r="W128" s="293">
        <f t="shared" ref="W128:Y128" si="2766">V128</f>
        <v>324539</v>
      </c>
      <c r="X128" s="293">
        <f t="shared" si="2766"/>
        <v>324539</v>
      </c>
      <c r="Y128" s="293">
        <f t="shared" si="2766"/>
        <v>324539</v>
      </c>
      <c r="Z128" s="295">
        <f>ROUND(Y128*(1+取值表!$D$8),0)</f>
        <v>354721</v>
      </c>
      <c r="AA128" s="293">
        <f t="shared" ref="AA128" si="2767">Z128</f>
        <v>354721</v>
      </c>
      <c r="AB128" s="293">
        <f t="shared" ref="AB128" si="2768">AA128</f>
        <v>354721</v>
      </c>
      <c r="AC128" s="293">
        <f>AB128</f>
        <v>354721</v>
      </c>
      <c r="AD128" s="295">
        <f>ROUND(AC128*(1+取值表!$D$8),0)</f>
        <v>387710</v>
      </c>
      <c r="AE128" s="293">
        <f t="shared" ref="AE128" si="2769">AD128</f>
        <v>387710</v>
      </c>
      <c r="AF128" s="293">
        <f t="shared" ref="AF128" si="2770">AE128</f>
        <v>387710</v>
      </c>
      <c r="AG128" s="293">
        <f t="shared" ref="AG128" si="2771">AF128</f>
        <v>387710</v>
      </c>
      <c r="AH128" s="295">
        <f>ROUND(AG128*(1+取值表!$D$8),0)</f>
        <v>423767</v>
      </c>
      <c r="AI128" s="293">
        <f t="shared" ref="AI128" si="2772">AH128</f>
        <v>423767</v>
      </c>
      <c r="AJ128" s="293">
        <f t="shared" ref="AJ128" si="2773">AI128</f>
        <v>423767</v>
      </c>
      <c r="AK128" s="293">
        <f t="shared" ref="AK128" si="2774">AJ128</f>
        <v>423767</v>
      </c>
      <c r="AL128" s="295">
        <f>ROUND(AK128*(1+取值表!$D$8),0)</f>
        <v>463177</v>
      </c>
      <c r="AM128" s="293">
        <f t="shared" ref="AM128" si="2775">AL128</f>
        <v>463177</v>
      </c>
      <c r="AN128" s="293">
        <f t="shared" ref="AN128" si="2776">AM128</f>
        <v>463177</v>
      </c>
      <c r="AO128" s="293">
        <f t="shared" ref="AO128" si="2777">AN128</f>
        <v>463177</v>
      </c>
      <c r="AP128" s="295">
        <f>ROUND(AO128*(1+取值表!$D$8),0)</f>
        <v>506252</v>
      </c>
      <c r="AQ128" s="293">
        <f t="shared" ref="AQ128" si="2778">AP128</f>
        <v>506252</v>
      </c>
      <c r="AR128" s="293">
        <f t="shared" ref="AR128" si="2779">AQ128</f>
        <v>506252</v>
      </c>
      <c r="AS128" s="293">
        <f t="shared" ref="AS128" si="2780">AR128</f>
        <v>506252</v>
      </c>
      <c r="AT128" s="295">
        <f>ROUND(AS128*(1+取值表!$D$8),0)</f>
        <v>553333</v>
      </c>
      <c r="AU128" s="293">
        <f t="shared" ref="AU128" si="2781">AT128</f>
        <v>553333</v>
      </c>
      <c r="AV128" s="293">
        <f t="shared" ref="AV128" si="2782">AU128</f>
        <v>553333</v>
      </c>
      <c r="AW128" s="293">
        <f t="shared" ref="AW128" si="2783">AV128</f>
        <v>553333</v>
      </c>
      <c r="AX128" s="295">
        <f>ROUND(AW128*(1+取值表!$D$8),0)</f>
        <v>604793</v>
      </c>
      <c r="AY128" s="293">
        <f t="shared" ref="AY128" si="2784">AX128</f>
        <v>604793</v>
      </c>
      <c r="AZ128" s="293">
        <f t="shared" ref="AZ128" si="2785">AY128</f>
        <v>604793</v>
      </c>
      <c r="BA128" s="293">
        <f t="shared" ref="BA128" si="2786">AZ128</f>
        <v>604793</v>
      </c>
      <c r="BB128" s="295">
        <f>ROUND(BA128*(1+取值表!$D$8),0)</f>
        <v>661039</v>
      </c>
      <c r="BC128" s="293">
        <f>BB128</f>
        <v>661039</v>
      </c>
      <c r="BD128" s="293">
        <f t="shared" ref="BD128" si="2787">BC128</f>
        <v>661039</v>
      </c>
      <c r="BE128" s="293">
        <f>BD128</f>
        <v>661039</v>
      </c>
      <c r="BF128" s="295">
        <f>ROUND(BE128*(1+取值表!$D$8),0)</f>
        <v>722516</v>
      </c>
      <c r="BG128" s="293">
        <f>BF128</f>
        <v>722516</v>
      </c>
      <c r="BH128" s="293">
        <f t="shared" ref="BH128" si="2788">BG128</f>
        <v>722516</v>
      </c>
      <c r="BI128" s="293">
        <f t="shared" ref="BI128" si="2789">BH128</f>
        <v>722516</v>
      </c>
      <c r="BJ128" s="295">
        <f>ROUND(BI128*(1+取值表!$D$8),0)</f>
        <v>789710</v>
      </c>
      <c r="BK128" s="293">
        <f t="shared" ref="BK128" si="2790">BJ128</f>
        <v>789710</v>
      </c>
      <c r="BL128" s="293">
        <f t="shared" ref="BL128" si="2791">BK128</f>
        <v>789710</v>
      </c>
      <c r="BM128" s="293">
        <f t="shared" ref="BM128" si="2792">BL128</f>
        <v>789710</v>
      </c>
      <c r="BN128" s="295">
        <f>ROUND(BM128*(1+取值表!$D$8),0)</f>
        <v>863153</v>
      </c>
      <c r="BO128" s="293">
        <f t="shared" ref="BO128" si="2793">BN128</f>
        <v>863153</v>
      </c>
      <c r="BP128" s="293">
        <f t="shared" ref="BP128" si="2794">BO128</f>
        <v>863153</v>
      </c>
      <c r="BQ128" s="293">
        <f t="shared" ref="BQ128" si="2795">BP128</f>
        <v>863153</v>
      </c>
      <c r="BR128" s="295">
        <f>ROUND(BQ128*(1+取值表!$D$8),0)</f>
        <v>943426</v>
      </c>
      <c r="BS128" s="293">
        <f t="shared" ref="BS128" si="2796">BR128</f>
        <v>943426</v>
      </c>
      <c r="BT128" s="293">
        <f t="shared" ref="BT128" si="2797">BS128</f>
        <v>943426</v>
      </c>
      <c r="BU128" s="293">
        <f t="shared" ref="BU128" si="2798">BT128</f>
        <v>943426</v>
      </c>
      <c r="BV128" s="295">
        <f>ROUND(BU128*(1+取值表!$D$8),0)</f>
        <v>1031165</v>
      </c>
      <c r="BW128" s="293">
        <f t="shared" ref="BW128" si="2799">BV128</f>
        <v>1031165</v>
      </c>
      <c r="BX128" s="293">
        <f t="shared" ref="BX128" si="2800">BW128</f>
        <v>1031165</v>
      </c>
      <c r="BY128" s="293">
        <f t="shared" ref="BY128" si="2801">BX128</f>
        <v>1031165</v>
      </c>
      <c r="BZ128" s="295">
        <f>ROUND(BY128*(1+取值表!$D$8),0)</f>
        <v>1127063</v>
      </c>
      <c r="CA128" s="293">
        <f t="shared" ref="CA128" si="2802">BZ128</f>
        <v>1127063</v>
      </c>
      <c r="CB128" s="293">
        <f t="shared" ref="CB128" si="2803">CA128</f>
        <v>1127063</v>
      </c>
      <c r="CC128" s="293">
        <f t="shared" ref="CC128" si="2804">CB128</f>
        <v>1127063</v>
      </c>
      <c r="CD128" s="295">
        <f>ROUND(CC128*(1+取值表!$D$8),0)</f>
        <v>1231880</v>
      </c>
      <c r="CE128" s="293">
        <f t="shared" ref="CE128" si="2805">CD128</f>
        <v>1231880</v>
      </c>
      <c r="CF128" s="293">
        <f t="shared" ref="CF128" si="2806">CE128</f>
        <v>1231880</v>
      </c>
      <c r="CG128" s="293">
        <f t="shared" ref="CG128" si="2807">CF128</f>
        <v>1231880</v>
      </c>
      <c r="CH128" s="295">
        <f>ROUND(CG128*(1+取值表!$D$8),0)</f>
        <v>1346445</v>
      </c>
      <c r="CI128" s="293">
        <f>CH128</f>
        <v>1346445</v>
      </c>
      <c r="CJ128" s="293">
        <f t="shared" ref="CJ128" si="2808">CI128</f>
        <v>1346445</v>
      </c>
      <c r="CK128" s="293">
        <f t="shared" ref="CK128" si="2809">CJ128</f>
        <v>1346445</v>
      </c>
      <c r="CL128" s="295">
        <f>ROUND(CK128*(1+取值表!$D$8),0)</f>
        <v>1471664</v>
      </c>
      <c r="CM128" s="293">
        <f>CL128</f>
        <v>1471664</v>
      </c>
      <c r="CN128" s="293">
        <f t="shared" ref="CN128" si="2810">CM128</f>
        <v>1471664</v>
      </c>
      <c r="CO128" s="293">
        <f t="shared" ref="CO128" si="2811">CN128</f>
        <v>1471664</v>
      </c>
      <c r="CP128" s="293">
        <f t="shared" si="1468"/>
        <v>58556276</v>
      </c>
    </row>
    <row r="129" spans="1:95" ht="12" customHeight="1">
      <c r="A129" s="670"/>
      <c r="B129" s="645"/>
      <c r="C129" s="646"/>
      <c r="D129" s="647"/>
      <c r="E129" s="648"/>
      <c r="F129" s="642"/>
      <c r="G129" s="642"/>
      <c r="H129" s="643"/>
      <c r="I129" s="291"/>
      <c r="J129" s="295"/>
      <c r="K129" s="293"/>
      <c r="L129" s="293"/>
      <c r="M129" s="293"/>
      <c r="N129" s="293"/>
      <c r="O129" s="293"/>
      <c r="P129" s="293"/>
      <c r="Q129" s="293"/>
      <c r="R129" s="293"/>
      <c r="S129" s="293"/>
      <c r="T129" s="293"/>
      <c r="U129" s="293"/>
      <c r="V129" s="293"/>
      <c r="W129" s="293"/>
      <c r="X129" s="293"/>
      <c r="Y129" s="293"/>
      <c r="Z129" s="293"/>
      <c r="AA129" s="293"/>
      <c r="AB129" s="293"/>
      <c r="AC129" s="293"/>
      <c r="AD129" s="293"/>
      <c r="AE129" s="293"/>
      <c r="AF129" s="293"/>
      <c r="AG129" s="293"/>
      <c r="AH129" s="293"/>
      <c r="AI129" s="293"/>
      <c r="AJ129" s="293"/>
      <c r="AK129" s="293"/>
      <c r="AL129" s="293"/>
      <c r="AM129" s="293"/>
      <c r="AN129" s="293"/>
      <c r="AO129" s="293"/>
      <c r="AP129" s="293"/>
      <c r="AQ129" s="293"/>
      <c r="AR129" s="293"/>
      <c r="AS129" s="293"/>
      <c r="AT129" s="293"/>
      <c r="AU129" s="293"/>
      <c r="AV129" s="293"/>
      <c r="AW129" s="293"/>
      <c r="AX129" s="293"/>
      <c r="AY129" s="293"/>
      <c r="AZ129" s="293"/>
      <c r="BA129" s="293"/>
      <c r="BB129" s="293"/>
      <c r="BC129" s="293"/>
      <c r="BD129" s="293"/>
      <c r="BE129" s="293"/>
      <c r="BF129" s="293"/>
      <c r="BG129" s="293"/>
      <c r="BH129" s="293"/>
      <c r="BI129" s="293"/>
      <c r="BJ129" s="293"/>
      <c r="BK129" s="293"/>
      <c r="BL129" s="293"/>
      <c r="BM129" s="293"/>
      <c r="BN129" s="293"/>
      <c r="BO129" s="293"/>
      <c r="BP129" s="293"/>
      <c r="BQ129" s="293"/>
      <c r="BR129" s="293"/>
      <c r="BS129" s="293"/>
      <c r="BT129" s="293"/>
      <c r="BU129" s="293"/>
      <c r="BV129" s="293"/>
      <c r="BW129" s="293"/>
      <c r="BX129" s="293"/>
      <c r="BY129" s="293"/>
      <c r="BZ129" s="293"/>
      <c r="CA129" s="293"/>
      <c r="CB129" s="293"/>
      <c r="CC129" s="293"/>
      <c r="CD129" s="293"/>
      <c r="CE129" s="293"/>
      <c r="CF129" s="293"/>
      <c r="CG129" s="293"/>
      <c r="CH129" s="293"/>
      <c r="CI129" s="293"/>
      <c r="CJ129" s="293"/>
      <c r="CK129" s="293"/>
      <c r="CL129" s="293"/>
      <c r="CM129" s="293"/>
      <c r="CN129" s="293"/>
      <c r="CO129" s="293"/>
      <c r="CP129" s="293">
        <f t="shared" si="1468"/>
        <v>0</v>
      </c>
    </row>
    <row r="130" spans="1:95" s="314" customFormat="1">
      <c r="A130" s="669">
        <v>65</v>
      </c>
      <c r="B130" s="645" t="s">
        <v>147</v>
      </c>
      <c r="C130" s="646" t="s">
        <v>148</v>
      </c>
      <c r="D130" s="647" t="s">
        <v>149</v>
      </c>
      <c r="E130" s="648" t="s">
        <v>455</v>
      </c>
      <c r="F130" s="642">
        <v>38.200000000000003</v>
      </c>
      <c r="G130" s="642">
        <v>36</v>
      </c>
      <c r="H130" s="643">
        <f>F130*G130*365</f>
        <v>501948</v>
      </c>
      <c r="I130" s="291">
        <v>125487</v>
      </c>
      <c r="J130" s="295">
        <f>ROUND(F130*G130*365/4,0)</f>
        <v>125487</v>
      </c>
      <c r="K130" s="293">
        <f t="shared" ref="K130:N130" si="2812">J130</f>
        <v>125487</v>
      </c>
      <c r="L130" s="293">
        <f t="shared" si="2812"/>
        <v>125487</v>
      </c>
      <c r="M130" s="293">
        <f t="shared" si="2812"/>
        <v>125487</v>
      </c>
      <c r="N130" s="292">
        <f t="shared" si="2812"/>
        <v>125487</v>
      </c>
      <c r="O130" s="293">
        <f>N130</f>
        <v>125487</v>
      </c>
      <c r="P130" s="293">
        <f>O130</f>
        <v>125487</v>
      </c>
      <c r="Q130" s="293">
        <f>P130</f>
        <v>125487</v>
      </c>
      <c r="R130" s="293">
        <f>ROUND(Q130*(1+取值表!$D$10)*取值表!$I$10,0)</f>
        <v>129065</v>
      </c>
      <c r="S130" s="293">
        <f>R130</f>
        <v>129065</v>
      </c>
      <c r="T130" s="293">
        <f>S130</f>
        <v>129065</v>
      </c>
      <c r="U130" s="293">
        <f>T130</f>
        <v>129065</v>
      </c>
      <c r="V130" s="294">
        <f>ROUND(U130*(1+取值表!$D$10),0)</f>
        <v>141068</v>
      </c>
      <c r="W130" s="293">
        <f t="shared" ref="W130:Y130" si="2813">V130</f>
        <v>141068</v>
      </c>
      <c r="X130" s="293">
        <f t="shared" si="2813"/>
        <v>141068</v>
      </c>
      <c r="Y130" s="293">
        <f t="shared" si="2813"/>
        <v>141068</v>
      </c>
      <c r="Z130" s="295">
        <f>ROUND(Y130*(1+取值表!$D$8),0)</f>
        <v>154187</v>
      </c>
      <c r="AA130" s="293">
        <f t="shared" ref="AA130:AB130" si="2814">Z130</f>
        <v>154187</v>
      </c>
      <c r="AB130" s="293">
        <f t="shared" si="2814"/>
        <v>154187</v>
      </c>
      <c r="AC130" s="293">
        <f>AB130</f>
        <v>154187</v>
      </c>
      <c r="AD130" s="295">
        <f>ROUND(AC130*(1+取值表!$D$8),0)</f>
        <v>168526</v>
      </c>
      <c r="AE130" s="293">
        <f t="shared" ref="AE130" si="2815">AD130</f>
        <v>168526</v>
      </c>
      <c r="AF130" s="293">
        <f t="shared" ref="AF130" si="2816">AE130</f>
        <v>168526</v>
      </c>
      <c r="AG130" s="293">
        <f t="shared" ref="AG130" si="2817">AF130</f>
        <v>168526</v>
      </c>
      <c r="AH130" s="295">
        <f>ROUND(AG130*(1+取值表!$D$8),0)</f>
        <v>184199</v>
      </c>
      <c r="AI130" s="293">
        <f t="shared" ref="AI130" si="2818">AH130</f>
        <v>184199</v>
      </c>
      <c r="AJ130" s="293">
        <f t="shared" ref="AJ130" si="2819">AI130</f>
        <v>184199</v>
      </c>
      <c r="AK130" s="293">
        <f t="shared" ref="AK130" si="2820">AJ130</f>
        <v>184199</v>
      </c>
      <c r="AL130" s="295">
        <f>ROUND(AK130*(1+取值表!$D$8),0)</f>
        <v>201330</v>
      </c>
      <c r="AM130" s="293">
        <f t="shared" ref="AM130" si="2821">AL130</f>
        <v>201330</v>
      </c>
      <c r="AN130" s="293">
        <f t="shared" ref="AN130" si="2822">AM130</f>
        <v>201330</v>
      </c>
      <c r="AO130" s="293">
        <f t="shared" ref="AO130" si="2823">AN130</f>
        <v>201330</v>
      </c>
      <c r="AP130" s="295">
        <f>ROUND(AO130*(1+取值表!$D$8),0)</f>
        <v>220054</v>
      </c>
      <c r="AQ130" s="293">
        <f t="shared" ref="AQ130" si="2824">AP130</f>
        <v>220054</v>
      </c>
      <c r="AR130" s="293">
        <f t="shared" ref="AR130" si="2825">AQ130</f>
        <v>220054</v>
      </c>
      <c r="AS130" s="293">
        <f t="shared" ref="AS130" si="2826">AR130</f>
        <v>220054</v>
      </c>
      <c r="AT130" s="295">
        <f>ROUND(AS130*(1+取值表!$D$8),0)</f>
        <v>240519</v>
      </c>
      <c r="AU130" s="293">
        <f t="shared" ref="AU130" si="2827">AT130</f>
        <v>240519</v>
      </c>
      <c r="AV130" s="293">
        <f t="shared" ref="AV130" si="2828">AU130</f>
        <v>240519</v>
      </c>
      <c r="AW130" s="293">
        <f t="shared" ref="AW130" si="2829">AV130</f>
        <v>240519</v>
      </c>
      <c r="AX130" s="295">
        <f>ROUND(AW130*(1+取值表!$D$8),0)</f>
        <v>262887</v>
      </c>
      <c r="AY130" s="293">
        <f t="shared" ref="AY130" si="2830">AX130</f>
        <v>262887</v>
      </c>
      <c r="AZ130" s="293">
        <f t="shared" ref="AZ130" si="2831">AY130</f>
        <v>262887</v>
      </c>
      <c r="BA130" s="293">
        <f t="shared" ref="BA130" si="2832">AZ130</f>
        <v>262887</v>
      </c>
      <c r="BB130" s="295">
        <f>ROUND(BA130*(1+取值表!$D$8),0)</f>
        <v>287335</v>
      </c>
      <c r="BC130" s="293">
        <f>BB130</f>
        <v>287335</v>
      </c>
      <c r="BD130" s="293">
        <f t="shared" ref="BD130" si="2833">BC130</f>
        <v>287335</v>
      </c>
      <c r="BE130" s="293">
        <f>BD130</f>
        <v>287335</v>
      </c>
      <c r="BF130" s="295">
        <f>ROUND(BE130*(1+取值表!$D$8),0)</f>
        <v>314057</v>
      </c>
      <c r="BG130" s="293">
        <f>BF130</f>
        <v>314057</v>
      </c>
      <c r="BH130" s="293">
        <f t="shared" ref="BH130" si="2834">BG130</f>
        <v>314057</v>
      </c>
      <c r="BI130" s="293">
        <f t="shared" ref="BI130" si="2835">BH130</f>
        <v>314057</v>
      </c>
      <c r="BJ130" s="295">
        <f>ROUND(BI130*(1+取值表!$D$8),0)</f>
        <v>343264</v>
      </c>
      <c r="BK130" s="293">
        <f t="shared" ref="BK130" si="2836">BJ130</f>
        <v>343264</v>
      </c>
      <c r="BL130" s="293">
        <f t="shared" ref="BL130" si="2837">BK130</f>
        <v>343264</v>
      </c>
      <c r="BM130" s="293">
        <f t="shared" ref="BM130" si="2838">BL130</f>
        <v>343264</v>
      </c>
      <c r="BN130" s="295">
        <f>ROUND(BM130*(1+取值表!$D$8),0)</f>
        <v>375188</v>
      </c>
      <c r="BO130" s="293">
        <f t="shared" ref="BO130" si="2839">BN130</f>
        <v>375188</v>
      </c>
      <c r="BP130" s="293">
        <f t="shared" ref="BP130" si="2840">BO130</f>
        <v>375188</v>
      </c>
      <c r="BQ130" s="293">
        <f t="shared" ref="BQ130" si="2841">BP130</f>
        <v>375188</v>
      </c>
      <c r="BR130" s="295">
        <f>ROUND(BQ130*(1+取值表!$D$8),0)</f>
        <v>410080</v>
      </c>
      <c r="BS130" s="293">
        <f t="shared" ref="BS130" si="2842">BR130</f>
        <v>410080</v>
      </c>
      <c r="BT130" s="293">
        <f t="shared" ref="BT130" si="2843">BS130</f>
        <v>410080</v>
      </c>
      <c r="BU130" s="293">
        <f t="shared" ref="BU130" si="2844">BT130</f>
        <v>410080</v>
      </c>
      <c r="BV130" s="295">
        <f>ROUND(BU130*(1+取值表!$D$8),0)</f>
        <v>448217</v>
      </c>
      <c r="BW130" s="293">
        <f t="shared" ref="BW130" si="2845">BV130</f>
        <v>448217</v>
      </c>
      <c r="BX130" s="293">
        <f t="shared" ref="BX130" si="2846">BW130</f>
        <v>448217</v>
      </c>
      <c r="BY130" s="293">
        <f t="shared" ref="BY130" si="2847">BX130</f>
        <v>448217</v>
      </c>
      <c r="BZ130" s="295">
        <f>ROUND(BY130*(1+取值表!$D$8),0)</f>
        <v>489901</v>
      </c>
      <c r="CA130" s="293">
        <f t="shared" ref="CA130" si="2848">BZ130</f>
        <v>489901</v>
      </c>
      <c r="CB130" s="293">
        <f t="shared" ref="CB130" si="2849">CA130</f>
        <v>489901</v>
      </c>
      <c r="CC130" s="293">
        <f t="shared" ref="CC130" si="2850">CB130</f>
        <v>489901</v>
      </c>
      <c r="CD130" s="295">
        <f>ROUND(CC130*(1+取值表!$D$8),0)</f>
        <v>535462</v>
      </c>
      <c r="CE130" s="293">
        <f t="shared" ref="CE130" si="2851">CD130</f>
        <v>535462</v>
      </c>
      <c r="CF130" s="293">
        <f t="shared" ref="CF130" si="2852">CE130</f>
        <v>535462</v>
      </c>
      <c r="CG130" s="293">
        <f t="shared" ref="CG130" si="2853">CF130</f>
        <v>535462</v>
      </c>
      <c r="CH130" s="295">
        <f>ROUND(CG130*(1+取值表!$D$8),0)</f>
        <v>585260</v>
      </c>
      <c r="CI130" s="293">
        <f>CH130</f>
        <v>585260</v>
      </c>
      <c r="CJ130" s="293">
        <f t="shared" ref="CJ130" si="2854">CI130</f>
        <v>585260</v>
      </c>
      <c r="CK130" s="293">
        <f t="shared" ref="CK130" si="2855">CJ130</f>
        <v>585260</v>
      </c>
      <c r="CL130" s="295">
        <f>ROUND(CK130*(1+取值表!$D$8),0)</f>
        <v>639689</v>
      </c>
      <c r="CM130" s="293">
        <f>CL130</f>
        <v>639689</v>
      </c>
      <c r="CN130" s="293">
        <f t="shared" ref="CN130" si="2856">CM130</f>
        <v>639689</v>
      </c>
      <c r="CO130" s="293">
        <f t="shared" ref="CO130" si="2857">CN130</f>
        <v>639689</v>
      </c>
      <c r="CP130" s="293">
        <f t="shared" si="1468"/>
        <v>25525048</v>
      </c>
      <c r="CQ130" s="289"/>
    </row>
    <row r="131" spans="1:95" s="314" customFormat="1">
      <c r="A131" s="670"/>
      <c r="B131" s="645"/>
      <c r="C131" s="646"/>
      <c r="D131" s="647"/>
      <c r="E131" s="648"/>
      <c r="F131" s="642"/>
      <c r="G131" s="642"/>
      <c r="H131" s="643"/>
      <c r="I131" s="291"/>
      <c r="J131" s="295"/>
      <c r="K131" s="293"/>
      <c r="L131" s="293"/>
      <c r="M131" s="293"/>
      <c r="N131" s="293"/>
      <c r="O131" s="293"/>
      <c r="P131" s="293"/>
      <c r="Q131" s="293"/>
      <c r="R131" s="293"/>
      <c r="S131" s="293"/>
      <c r="T131" s="293"/>
      <c r="U131" s="293"/>
      <c r="V131" s="293"/>
      <c r="W131" s="293"/>
      <c r="X131" s="293"/>
      <c r="Y131" s="293"/>
      <c r="Z131" s="293"/>
      <c r="AA131" s="293"/>
      <c r="AB131" s="293"/>
      <c r="AC131" s="293"/>
      <c r="AD131" s="293"/>
      <c r="AE131" s="293"/>
      <c r="AF131" s="293"/>
      <c r="AG131" s="293"/>
      <c r="AH131" s="293"/>
      <c r="AI131" s="293"/>
      <c r="AJ131" s="293"/>
      <c r="AK131" s="293"/>
      <c r="AL131" s="293"/>
      <c r="AM131" s="293"/>
      <c r="AN131" s="293"/>
      <c r="AO131" s="293"/>
      <c r="AP131" s="293"/>
      <c r="AQ131" s="293"/>
      <c r="AR131" s="293"/>
      <c r="AS131" s="293"/>
      <c r="AT131" s="293"/>
      <c r="AU131" s="293"/>
      <c r="AV131" s="293"/>
      <c r="AW131" s="293"/>
      <c r="AX131" s="293"/>
      <c r="AY131" s="293"/>
      <c r="AZ131" s="293"/>
      <c r="BA131" s="293"/>
      <c r="BB131" s="293"/>
      <c r="BC131" s="293"/>
      <c r="BD131" s="293"/>
      <c r="BE131" s="293"/>
      <c r="BF131" s="293"/>
      <c r="BG131" s="293"/>
      <c r="BH131" s="293"/>
      <c r="BI131" s="293"/>
      <c r="BJ131" s="293"/>
      <c r="BK131" s="293"/>
      <c r="BL131" s="293"/>
      <c r="BM131" s="293"/>
      <c r="BN131" s="293"/>
      <c r="BO131" s="293"/>
      <c r="BP131" s="293"/>
      <c r="BQ131" s="293"/>
      <c r="BR131" s="293"/>
      <c r="BS131" s="293"/>
      <c r="BT131" s="293"/>
      <c r="BU131" s="293"/>
      <c r="BV131" s="293"/>
      <c r="BW131" s="293"/>
      <c r="BX131" s="293"/>
      <c r="BY131" s="293"/>
      <c r="BZ131" s="293"/>
      <c r="CA131" s="293"/>
      <c r="CB131" s="293"/>
      <c r="CC131" s="293"/>
      <c r="CD131" s="293"/>
      <c r="CE131" s="293"/>
      <c r="CF131" s="293"/>
      <c r="CG131" s="293"/>
      <c r="CH131" s="293"/>
      <c r="CI131" s="293"/>
      <c r="CJ131" s="293"/>
      <c r="CK131" s="293"/>
      <c r="CL131" s="293"/>
      <c r="CM131" s="293"/>
      <c r="CN131" s="293"/>
      <c r="CO131" s="293"/>
      <c r="CP131" s="293">
        <f t="shared" ref="CP131:CP194" si="2858">SUM(J131:CO131)</f>
        <v>0</v>
      </c>
      <c r="CQ131" s="289"/>
    </row>
    <row r="132" spans="1:95" ht="12" customHeight="1">
      <c r="A132" s="669">
        <v>66</v>
      </c>
      <c r="B132" s="645" t="s">
        <v>150</v>
      </c>
      <c r="C132" s="646" t="s">
        <v>151</v>
      </c>
      <c r="D132" s="647" t="s">
        <v>152</v>
      </c>
      <c r="E132" s="648" t="s">
        <v>455</v>
      </c>
      <c r="F132" s="642">
        <v>151.66</v>
      </c>
      <c r="G132" s="642">
        <v>22</v>
      </c>
      <c r="H132" s="643">
        <f>F132*G132*365</f>
        <v>1217829.8</v>
      </c>
      <c r="I132" s="291">
        <v>290618.48</v>
      </c>
      <c r="J132" s="295">
        <f>ROUND(F132*G132*365/4,0)</f>
        <v>304457</v>
      </c>
      <c r="K132" s="292">
        <f>J132</f>
        <v>304457</v>
      </c>
      <c r="L132" s="293">
        <f>K132</f>
        <v>304457</v>
      </c>
      <c r="M132" s="293">
        <f>L132</f>
        <v>304457</v>
      </c>
      <c r="N132" s="293">
        <f>ROUND(M132*(1+取值表!$D$10)*取值表!$I$10,0)</f>
        <v>313138</v>
      </c>
      <c r="O132" s="293">
        <f>N132</f>
        <v>313138</v>
      </c>
      <c r="P132" s="293">
        <f>O132</f>
        <v>313138</v>
      </c>
      <c r="Q132" s="293">
        <f>P132</f>
        <v>313138</v>
      </c>
      <c r="R132" s="294">
        <f>ROUND(Q132*(1+取值表!$D$10),0)</f>
        <v>342260</v>
      </c>
      <c r="S132" s="293">
        <f t="shared" ref="S132:T132" si="2859">R132</f>
        <v>342260</v>
      </c>
      <c r="T132" s="293">
        <f t="shared" si="2859"/>
        <v>342260</v>
      </c>
      <c r="U132" s="293">
        <f>T132</f>
        <v>342260</v>
      </c>
      <c r="V132" s="295">
        <f>ROUND(U132*(1+取值表!$D$8),0)</f>
        <v>374090</v>
      </c>
      <c r="W132" s="293">
        <f t="shared" ref="W132:Y132" si="2860">V132</f>
        <v>374090</v>
      </c>
      <c r="X132" s="293">
        <f t="shared" si="2860"/>
        <v>374090</v>
      </c>
      <c r="Y132" s="293">
        <f t="shared" si="2860"/>
        <v>374090</v>
      </c>
      <c r="Z132" s="295">
        <f>ROUND(Y132*(1+取值表!$D$8),0)</f>
        <v>408880</v>
      </c>
      <c r="AA132" s="293">
        <f t="shared" ref="AA132:AB132" si="2861">Z132</f>
        <v>408880</v>
      </c>
      <c r="AB132" s="293">
        <f t="shared" si="2861"/>
        <v>408880</v>
      </c>
      <c r="AC132" s="293">
        <f>AB132</f>
        <v>408880</v>
      </c>
      <c r="AD132" s="295">
        <f>ROUND(AC132*(1+取值表!$D$8),0)</f>
        <v>446906</v>
      </c>
      <c r="AE132" s="293">
        <f t="shared" ref="AE132" si="2862">AD132</f>
        <v>446906</v>
      </c>
      <c r="AF132" s="293">
        <f t="shared" ref="AF132" si="2863">AE132</f>
        <v>446906</v>
      </c>
      <c r="AG132" s="293">
        <f t="shared" ref="AG132" si="2864">AF132</f>
        <v>446906</v>
      </c>
      <c r="AH132" s="295">
        <f>ROUND(AG132*(1+取值表!$D$8),0)</f>
        <v>488468</v>
      </c>
      <c r="AI132" s="293">
        <f t="shared" ref="AI132" si="2865">AH132</f>
        <v>488468</v>
      </c>
      <c r="AJ132" s="293">
        <f t="shared" ref="AJ132" si="2866">AI132</f>
        <v>488468</v>
      </c>
      <c r="AK132" s="293">
        <f t="shared" ref="AK132" si="2867">AJ132</f>
        <v>488468</v>
      </c>
      <c r="AL132" s="295">
        <f>ROUND(AK132*(1+取值表!$D$8),0)</f>
        <v>533896</v>
      </c>
      <c r="AM132" s="293">
        <f t="shared" ref="AM132" si="2868">AL132</f>
        <v>533896</v>
      </c>
      <c r="AN132" s="293">
        <f t="shared" ref="AN132" si="2869">AM132</f>
        <v>533896</v>
      </c>
      <c r="AO132" s="293">
        <f t="shared" ref="AO132" si="2870">AN132</f>
        <v>533896</v>
      </c>
      <c r="AP132" s="295">
        <f>ROUND(AO132*(1+取值表!$D$8),0)</f>
        <v>583548</v>
      </c>
      <c r="AQ132" s="293">
        <f t="shared" ref="AQ132" si="2871">AP132</f>
        <v>583548</v>
      </c>
      <c r="AR132" s="293">
        <f t="shared" ref="AR132" si="2872">AQ132</f>
        <v>583548</v>
      </c>
      <c r="AS132" s="293">
        <f t="shared" ref="AS132" si="2873">AR132</f>
        <v>583548</v>
      </c>
      <c r="AT132" s="295">
        <f>ROUND(AS132*(1+取值表!$D$8),0)</f>
        <v>637818</v>
      </c>
      <c r="AU132" s="293">
        <f t="shared" ref="AU132" si="2874">AT132</f>
        <v>637818</v>
      </c>
      <c r="AV132" s="293">
        <f t="shared" ref="AV132" si="2875">AU132</f>
        <v>637818</v>
      </c>
      <c r="AW132" s="293">
        <f t="shared" ref="AW132" si="2876">AV132</f>
        <v>637818</v>
      </c>
      <c r="AX132" s="295">
        <f>ROUND(AW132*(1+取值表!$D$8),0)</f>
        <v>697135</v>
      </c>
      <c r="AY132" s="293">
        <f t="shared" ref="AY132" si="2877">AX132</f>
        <v>697135</v>
      </c>
      <c r="AZ132" s="293">
        <f t="shared" ref="AZ132" si="2878">AY132</f>
        <v>697135</v>
      </c>
      <c r="BA132" s="293">
        <f t="shared" ref="BA132" si="2879">AZ132</f>
        <v>697135</v>
      </c>
      <c r="BB132" s="295">
        <f>ROUND(BA132*(1+取值表!$D$8),0)</f>
        <v>761969</v>
      </c>
      <c r="BC132" s="293">
        <f>BB132</f>
        <v>761969</v>
      </c>
      <c r="BD132" s="293">
        <f t="shared" ref="BD132" si="2880">BC132</f>
        <v>761969</v>
      </c>
      <c r="BE132" s="293">
        <f>BD132</f>
        <v>761969</v>
      </c>
      <c r="BF132" s="295">
        <f>ROUND(BE132*(1+取值表!$D$8),0)</f>
        <v>832832</v>
      </c>
      <c r="BG132" s="293">
        <f>BF132</f>
        <v>832832</v>
      </c>
      <c r="BH132" s="293">
        <f t="shared" ref="BH132" si="2881">BG132</f>
        <v>832832</v>
      </c>
      <c r="BI132" s="293">
        <f t="shared" ref="BI132" si="2882">BH132</f>
        <v>832832</v>
      </c>
      <c r="BJ132" s="295">
        <f>ROUND(BI132*(1+取值表!$D$8),0)</f>
        <v>910285</v>
      </c>
      <c r="BK132" s="293">
        <f t="shared" ref="BK132" si="2883">BJ132</f>
        <v>910285</v>
      </c>
      <c r="BL132" s="293">
        <f t="shared" ref="BL132" si="2884">BK132</f>
        <v>910285</v>
      </c>
      <c r="BM132" s="293">
        <f t="shared" ref="BM132" si="2885">BL132</f>
        <v>910285</v>
      </c>
      <c r="BN132" s="295">
        <f>ROUND(BM132*(1+取值表!$D$8),0)</f>
        <v>994942</v>
      </c>
      <c r="BO132" s="293">
        <f t="shared" ref="BO132" si="2886">BN132</f>
        <v>994942</v>
      </c>
      <c r="BP132" s="293">
        <f t="shared" ref="BP132" si="2887">BO132</f>
        <v>994942</v>
      </c>
      <c r="BQ132" s="293">
        <f t="shared" ref="BQ132" si="2888">BP132</f>
        <v>994942</v>
      </c>
      <c r="BR132" s="295">
        <f>ROUND(BQ132*(1+取值表!$D$8),0)</f>
        <v>1087472</v>
      </c>
      <c r="BS132" s="293">
        <f t="shared" ref="BS132" si="2889">BR132</f>
        <v>1087472</v>
      </c>
      <c r="BT132" s="293">
        <f t="shared" ref="BT132" si="2890">BS132</f>
        <v>1087472</v>
      </c>
      <c r="BU132" s="293">
        <f t="shared" ref="BU132" si="2891">BT132</f>
        <v>1087472</v>
      </c>
      <c r="BV132" s="295">
        <f>ROUND(BU132*(1+取值表!$D$8),0)</f>
        <v>1188607</v>
      </c>
      <c r="BW132" s="293">
        <f t="shared" ref="BW132" si="2892">BV132</f>
        <v>1188607</v>
      </c>
      <c r="BX132" s="293">
        <f t="shared" ref="BX132" si="2893">BW132</f>
        <v>1188607</v>
      </c>
      <c r="BY132" s="293">
        <f t="shared" ref="BY132" si="2894">BX132</f>
        <v>1188607</v>
      </c>
      <c r="BZ132" s="295">
        <f>ROUND(BY132*(1+取值表!$D$8),0)</f>
        <v>1299147</v>
      </c>
      <c r="CA132" s="293">
        <f t="shared" ref="CA132" si="2895">BZ132</f>
        <v>1299147</v>
      </c>
      <c r="CB132" s="293">
        <f t="shared" ref="CB132" si="2896">CA132</f>
        <v>1299147</v>
      </c>
      <c r="CC132" s="293">
        <f t="shared" ref="CC132" si="2897">CB132</f>
        <v>1299147</v>
      </c>
      <c r="CD132" s="295">
        <f>ROUND(CC132*(1+取值表!$D$8),0)</f>
        <v>1419968</v>
      </c>
      <c r="CE132" s="293">
        <f t="shared" ref="CE132" si="2898">CD132</f>
        <v>1419968</v>
      </c>
      <c r="CF132" s="293">
        <f t="shared" ref="CF132" si="2899">CE132</f>
        <v>1419968</v>
      </c>
      <c r="CG132" s="293">
        <f t="shared" ref="CG132" si="2900">CF132</f>
        <v>1419968</v>
      </c>
      <c r="CH132" s="295">
        <f>ROUND(CG132*(1+取值表!$D$8),0)</f>
        <v>1552025</v>
      </c>
      <c r="CI132" s="293">
        <f>CH132</f>
        <v>1552025</v>
      </c>
      <c r="CJ132" s="293">
        <f t="shared" ref="CJ132" si="2901">CI132</f>
        <v>1552025</v>
      </c>
      <c r="CK132" s="293">
        <f t="shared" ref="CK132" si="2902">CJ132</f>
        <v>1552025</v>
      </c>
      <c r="CL132" s="295">
        <f>ROUND(CK132*(1+取值表!$D$8),0)</f>
        <v>1696363</v>
      </c>
      <c r="CM132" s="293">
        <f>CL132</f>
        <v>1696363</v>
      </c>
      <c r="CN132" s="293">
        <f t="shared" ref="CN132" si="2903">CM132</f>
        <v>1696363</v>
      </c>
      <c r="CO132" s="293">
        <f t="shared" ref="CO132" si="2904">CN132</f>
        <v>1696363</v>
      </c>
      <c r="CP132" s="293">
        <f t="shared" si="2858"/>
        <v>67496824</v>
      </c>
    </row>
    <row r="133" spans="1:95">
      <c r="A133" s="670"/>
      <c r="B133" s="645"/>
      <c r="C133" s="646"/>
      <c r="D133" s="647"/>
      <c r="E133" s="648"/>
      <c r="F133" s="642"/>
      <c r="G133" s="642"/>
      <c r="H133" s="643"/>
      <c r="I133" s="291"/>
      <c r="J133" s="295"/>
      <c r="K133" s="293"/>
      <c r="L133" s="293"/>
      <c r="M133" s="293"/>
      <c r="N133" s="293"/>
      <c r="O133" s="293"/>
      <c r="P133" s="293"/>
      <c r="Q133" s="293"/>
      <c r="R133" s="293"/>
      <c r="S133" s="293"/>
      <c r="T133" s="293"/>
      <c r="U133" s="293"/>
      <c r="V133" s="293"/>
      <c r="W133" s="293"/>
      <c r="X133" s="293"/>
      <c r="Y133" s="293"/>
      <c r="Z133" s="293"/>
      <c r="AA133" s="293"/>
      <c r="AB133" s="293"/>
      <c r="AC133" s="293"/>
      <c r="AD133" s="293"/>
      <c r="AE133" s="293"/>
      <c r="AF133" s="293"/>
      <c r="AG133" s="293"/>
      <c r="AH133" s="293"/>
      <c r="AI133" s="293"/>
      <c r="AJ133" s="293"/>
      <c r="AK133" s="293"/>
      <c r="AL133" s="293"/>
      <c r="AM133" s="293"/>
      <c r="AN133" s="293"/>
      <c r="AO133" s="293"/>
      <c r="AP133" s="293"/>
      <c r="AQ133" s="293"/>
      <c r="AR133" s="293"/>
      <c r="AS133" s="293"/>
      <c r="AT133" s="293"/>
      <c r="AU133" s="293"/>
      <c r="AV133" s="293"/>
      <c r="AW133" s="293"/>
      <c r="AX133" s="293"/>
      <c r="AY133" s="293"/>
      <c r="AZ133" s="293"/>
      <c r="BA133" s="293"/>
      <c r="BB133" s="293"/>
      <c r="BC133" s="293"/>
      <c r="BD133" s="293"/>
      <c r="BE133" s="293"/>
      <c r="BF133" s="293"/>
      <c r="BG133" s="293"/>
      <c r="BH133" s="293"/>
      <c r="BI133" s="293"/>
      <c r="BJ133" s="293"/>
      <c r="BK133" s="293"/>
      <c r="BL133" s="293"/>
      <c r="BM133" s="293"/>
      <c r="BN133" s="293"/>
      <c r="BO133" s="293"/>
      <c r="BP133" s="293"/>
      <c r="BQ133" s="293"/>
      <c r="BR133" s="293"/>
      <c r="BS133" s="293"/>
      <c r="BT133" s="293"/>
      <c r="BU133" s="293"/>
      <c r="BV133" s="293"/>
      <c r="BW133" s="293"/>
      <c r="BX133" s="293"/>
      <c r="BY133" s="293"/>
      <c r="BZ133" s="293"/>
      <c r="CA133" s="293"/>
      <c r="CB133" s="293"/>
      <c r="CC133" s="293"/>
      <c r="CD133" s="293"/>
      <c r="CE133" s="293"/>
      <c r="CF133" s="293"/>
      <c r="CG133" s="293"/>
      <c r="CH133" s="293"/>
      <c r="CI133" s="293"/>
      <c r="CJ133" s="293"/>
      <c r="CK133" s="293"/>
      <c r="CL133" s="293"/>
      <c r="CM133" s="293"/>
      <c r="CN133" s="293"/>
      <c r="CO133" s="293"/>
      <c r="CP133" s="293">
        <f t="shared" si="2858"/>
        <v>0</v>
      </c>
    </row>
    <row r="134" spans="1:95" ht="12" customHeight="1">
      <c r="A134" s="669">
        <v>67</v>
      </c>
      <c r="B134" s="658" t="s">
        <v>153</v>
      </c>
      <c r="C134" s="646" t="s">
        <v>154</v>
      </c>
      <c r="D134" s="647" t="s">
        <v>471</v>
      </c>
      <c r="E134" s="648" t="s">
        <v>455</v>
      </c>
      <c r="F134" s="642">
        <v>311</v>
      </c>
      <c r="G134" s="642">
        <v>13</v>
      </c>
      <c r="H134" s="643">
        <f>F134*G134*365</f>
        <v>1475695</v>
      </c>
      <c r="I134" s="291">
        <v>255408.8</v>
      </c>
      <c r="J134" s="295">
        <f>ROUND(F134*G134*365/4,0)</f>
        <v>368924</v>
      </c>
      <c r="K134" s="292">
        <f>J134</f>
        <v>368924</v>
      </c>
      <c r="L134" s="293">
        <f>K134</f>
        <v>368924</v>
      </c>
      <c r="M134" s="293">
        <f>L134</f>
        <v>368924</v>
      </c>
      <c r="N134" s="293">
        <f>ROUND(M134*(1+取值表!$D$10)*取值表!$I$10,0)</f>
        <v>379443</v>
      </c>
      <c r="O134" s="293">
        <f>N134</f>
        <v>379443</v>
      </c>
      <c r="P134" s="293">
        <f>O134</f>
        <v>379443</v>
      </c>
      <c r="Q134" s="293">
        <f>P134</f>
        <v>379443</v>
      </c>
      <c r="R134" s="294">
        <f>ROUND(Q134*(1+取值表!$D$10),0)</f>
        <v>414731</v>
      </c>
      <c r="S134" s="293">
        <f t="shared" ref="S134:T134" si="2905">R134</f>
        <v>414731</v>
      </c>
      <c r="T134" s="293">
        <f t="shared" si="2905"/>
        <v>414731</v>
      </c>
      <c r="U134" s="293">
        <f>T134</f>
        <v>414731</v>
      </c>
      <c r="V134" s="295">
        <f>ROUND(U134*(1+取值表!$D$8),0)</f>
        <v>453301</v>
      </c>
      <c r="W134" s="293">
        <f t="shared" ref="W134:Y134" si="2906">V134</f>
        <v>453301</v>
      </c>
      <c r="X134" s="293">
        <f t="shared" si="2906"/>
        <v>453301</v>
      </c>
      <c r="Y134" s="293">
        <f t="shared" si="2906"/>
        <v>453301</v>
      </c>
      <c r="Z134" s="295">
        <f>ROUND(Y134*(1+取值表!$D$8),0)</f>
        <v>495458</v>
      </c>
      <c r="AA134" s="293">
        <f t="shared" ref="AA134:AB134" si="2907">Z134</f>
        <v>495458</v>
      </c>
      <c r="AB134" s="293">
        <f t="shared" si="2907"/>
        <v>495458</v>
      </c>
      <c r="AC134" s="293">
        <f>AB134</f>
        <v>495458</v>
      </c>
      <c r="AD134" s="295">
        <f>ROUND(AC134*(1+取值表!$D$8),0)</f>
        <v>541536</v>
      </c>
      <c r="AE134" s="293">
        <f t="shared" ref="AE134" si="2908">AD134</f>
        <v>541536</v>
      </c>
      <c r="AF134" s="293">
        <f t="shared" ref="AF134" si="2909">AE134</f>
        <v>541536</v>
      </c>
      <c r="AG134" s="293">
        <f t="shared" ref="AG134" si="2910">AF134</f>
        <v>541536</v>
      </c>
      <c r="AH134" s="295">
        <f>ROUND(AG134*(1+取值表!$D$8),0)</f>
        <v>591899</v>
      </c>
      <c r="AI134" s="293">
        <f t="shared" ref="AI134" si="2911">AH134</f>
        <v>591899</v>
      </c>
      <c r="AJ134" s="293">
        <f t="shared" ref="AJ134" si="2912">AI134</f>
        <v>591899</v>
      </c>
      <c r="AK134" s="293">
        <f t="shared" ref="AK134" si="2913">AJ134</f>
        <v>591899</v>
      </c>
      <c r="AL134" s="295">
        <f>ROUND(AK134*(1+取值表!$D$8),0)</f>
        <v>646946</v>
      </c>
      <c r="AM134" s="293">
        <f t="shared" ref="AM134" si="2914">AL134</f>
        <v>646946</v>
      </c>
      <c r="AN134" s="293">
        <f t="shared" ref="AN134" si="2915">AM134</f>
        <v>646946</v>
      </c>
      <c r="AO134" s="293">
        <f t="shared" ref="AO134" si="2916">AN134</f>
        <v>646946</v>
      </c>
      <c r="AP134" s="295">
        <f>ROUND(AO134*(1+取值表!$D$8),0)</f>
        <v>707112</v>
      </c>
      <c r="AQ134" s="293">
        <f t="shared" ref="AQ134" si="2917">AP134</f>
        <v>707112</v>
      </c>
      <c r="AR134" s="293">
        <f t="shared" ref="AR134" si="2918">AQ134</f>
        <v>707112</v>
      </c>
      <c r="AS134" s="293">
        <f t="shared" ref="AS134" si="2919">AR134</f>
        <v>707112</v>
      </c>
      <c r="AT134" s="295">
        <f>ROUND(AS134*(1+取值表!$D$8),0)</f>
        <v>772873</v>
      </c>
      <c r="AU134" s="293">
        <f t="shared" ref="AU134" si="2920">AT134</f>
        <v>772873</v>
      </c>
      <c r="AV134" s="293">
        <f t="shared" ref="AV134" si="2921">AU134</f>
        <v>772873</v>
      </c>
      <c r="AW134" s="293">
        <f t="shared" ref="AW134" si="2922">AV134</f>
        <v>772873</v>
      </c>
      <c r="AX134" s="295">
        <f>ROUND(AW134*(1+取值表!$D$8),0)</f>
        <v>844750</v>
      </c>
      <c r="AY134" s="293">
        <f t="shared" ref="AY134" si="2923">AX134</f>
        <v>844750</v>
      </c>
      <c r="AZ134" s="293">
        <f t="shared" ref="AZ134" si="2924">AY134</f>
        <v>844750</v>
      </c>
      <c r="BA134" s="293">
        <f t="shared" ref="BA134" si="2925">AZ134</f>
        <v>844750</v>
      </c>
      <c r="BB134" s="295">
        <f>ROUND(BA134*(1+取值表!$D$8),0)</f>
        <v>923312</v>
      </c>
      <c r="BC134" s="293">
        <f>BB134</f>
        <v>923312</v>
      </c>
      <c r="BD134" s="293">
        <f t="shared" ref="BD134" si="2926">BC134</f>
        <v>923312</v>
      </c>
      <c r="BE134" s="293">
        <f>BD134</f>
        <v>923312</v>
      </c>
      <c r="BF134" s="295">
        <f>ROUND(BE134*(1+取值表!$D$8),0)</f>
        <v>1009180</v>
      </c>
      <c r="BG134" s="293">
        <f>BF134</f>
        <v>1009180</v>
      </c>
      <c r="BH134" s="293">
        <f t="shared" ref="BH134" si="2927">BG134</f>
        <v>1009180</v>
      </c>
      <c r="BI134" s="293">
        <f t="shared" ref="BI134" si="2928">BH134</f>
        <v>1009180</v>
      </c>
      <c r="BJ134" s="295">
        <f>ROUND(BI134*(1+取值表!$D$8),0)</f>
        <v>1103034</v>
      </c>
      <c r="BK134" s="293">
        <f t="shared" ref="BK134" si="2929">BJ134</f>
        <v>1103034</v>
      </c>
      <c r="BL134" s="293">
        <f t="shared" ref="BL134" si="2930">BK134</f>
        <v>1103034</v>
      </c>
      <c r="BM134" s="293">
        <f t="shared" ref="BM134" si="2931">BL134</f>
        <v>1103034</v>
      </c>
      <c r="BN134" s="295">
        <f>ROUND(BM134*(1+取值表!$D$8),0)</f>
        <v>1205616</v>
      </c>
      <c r="BO134" s="293">
        <f t="shared" ref="BO134" si="2932">BN134</f>
        <v>1205616</v>
      </c>
      <c r="BP134" s="293">
        <f t="shared" ref="BP134" si="2933">BO134</f>
        <v>1205616</v>
      </c>
      <c r="BQ134" s="293">
        <f t="shared" ref="BQ134" si="2934">BP134</f>
        <v>1205616</v>
      </c>
      <c r="BR134" s="295">
        <f>ROUND(BQ134*(1+取值表!$D$8),0)</f>
        <v>1317738</v>
      </c>
      <c r="BS134" s="293">
        <f t="shared" ref="BS134" si="2935">BR134</f>
        <v>1317738</v>
      </c>
      <c r="BT134" s="293">
        <f t="shared" ref="BT134" si="2936">BS134</f>
        <v>1317738</v>
      </c>
      <c r="BU134" s="293">
        <f t="shared" ref="BU134" si="2937">BT134</f>
        <v>1317738</v>
      </c>
      <c r="BV134" s="295">
        <f>ROUND(BU134*(1+取值表!$D$8),0)</f>
        <v>1440288</v>
      </c>
      <c r="BW134" s="293">
        <f t="shared" ref="BW134" si="2938">BV134</f>
        <v>1440288</v>
      </c>
      <c r="BX134" s="293">
        <f t="shared" ref="BX134" si="2939">BW134</f>
        <v>1440288</v>
      </c>
      <c r="BY134" s="293">
        <f t="shared" ref="BY134" si="2940">BX134</f>
        <v>1440288</v>
      </c>
      <c r="BZ134" s="295">
        <f>ROUND(BY134*(1+取值表!$D$8),0)</f>
        <v>1574235</v>
      </c>
      <c r="CA134" s="293">
        <f t="shared" ref="CA134" si="2941">BZ134</f>
        <v>1574235</v>
      </c>
      <c r="CB134" s="293">
        <f t="shared" ref="CB134" si="2942">CA134</f>
        <v>1574235</v>
      </c>
      <c r="CC134" s="293">
        <f t="shared" ref="CC134" si="2943">CB134</f>
        <v>1574235</v>
      </c>
      <c r="CD134" s="295">
        <f>ROUND(CC134*(1+取值表!$D$8),0)</f>
        <v>1720639</v>
      </c>
      <c r="CE134" s="293">
        <f t="shared" ref="CE134" si="2944">CD134</f>
        <v>1720639</v>
      </c>
      <c r="CF134" s="293">
        <f t="shared" ref="CF134" si="2945">CE134</f>
        <v>1720639</v>
      </c>
      <c r="CG134" s="293">
        <f t="shared" ref="CG134" si="2946">CF134</f>
        <v>1720639</v>
      </c>
      <c r="CH134" s="295">
        <f>ROUND(CG134*(1+取值表!$D$8),0)</f>
        <v>1880658</v>
      </c>
      <c r="CI134" s="293">
        <f>CH134</f>
        <v>1880658</v>
      </c>
      <c r="CJ134" s="293">
        <f t="shared" ref="CJ134" si="2947">CI134</f>
        <v>1880658</v>
      </c>
      <c r="CK134" s="293">
        <f t="shared" ref="CK134" si="2948">CJ134</f>
        <v>1880658</v>
      </c>
      <c r="CL134" s="295">
        <f>ROUND(CK134*(1+取值表!$D$8),0)</f>
        <v>2055559</v>
      </c>
      <c r="CM134" s="293">
        <f>CL134</f>
        <v>2055559</v>
      </c>
      <c r="CN134" s="293">
        <f t="shared" ref="CN134" si="2949">CM134</f>
        <v>2055559</v>
      </c>
      <c r="CO134" s="293">
        <f t="shared" ref="CO134" si="2950">CN134</f>
        <v>2055559</v>
      </c>
      <c r="CP134" s="293">
        <f t="shared" si="2858"/>
        <v>81788928</v>
      </c>
    </row>
    <row r="135" spans="1:95">
      <c r="A135" s="670"/>
      <c r="B135" s="658"/>
      <c r="C135" s="646"/>
      <c r="D135" s="647"/>
      <c r="E135" s="648"/>
      <c r="F135" s="642"/>
      <c r="G135" s="642"/>
      <c r="H135" s="643"/>
      <c r="I135" s="291"/>
      <c r="J135" s="295"/>
      <c r="K135" s="293"/>
      <c r="L135" s="293"/>
      <c r="M135" s="293"/>
      <c r="N135" s="293"/>
      <c r="O135" s="293"/>
      <c r="P135" s="293"/>
      <c r="Q135" s="293"/>
      <c r="R135" s="293"/>
      <c r="S135" s="293"/>
      <c r="T135" s="293"/>
      <c r="U135" s="293"/>
      <c r="V135" s="293"/>
      <c r="W135" s="293"/>
      <c r="X135" s="293"/>
      <c r="Y135" s="293"/>
      <c r="Z135" s="293"/>
      <c r="AA135" s="293"/>
      <c r="AB135" s="293"/>
      <c r="AC135" s="293"/>
      <c r="AD135" s="293"/>
      <c r="AE135" s="293"/>
      <c r="AF135" s="293"/>
      <c r="AG135" s="293"/>
      <c r="AH135" s="293"/>
      <c r="AI135" s="293"/>
      <c r="AJ135" s="293"/>
      <c r="AK135" s="293"/>
      <c r="AL135" s="293"/>
      <c r="AM135" s="293"/>
      <c r="AN135" s="293"/>
      <c r="AO135" s="293"/>
      <c r="AP135" s="293"/>
      <c r="AQ135" s="293"/>
      <c r="AR135" s="293"/>
      <c r="AS135" s="293"/>
      <c r="AT135" s="293"/>
      <c r="AU135" s="293"/>
      <c r="AV135" s="293"/>
      <c r="AW135" s="293"/>
      <c r="AX135" s="293"/>
      <c r="AY135" s="293"/>
      <c r="AZ135" s="293"/>
      <c r="BA135" s="293"/>
      <c r="BB135" s="293"/>
      <c r="BC135" s="293"/>
      <c r="BD135" s="293"/>
      <c r="BE135" s="293"/>
      <c r="BF135" s="293"/>
      <c r="BG135" s="293"/>
      <c r="BH135" s="293"/>
      <c r="BI135" s="293"/>
      <c r="BJ135" s="293"/>
      <c r="BK135" s="293"/>
      <c r="BL135" s="293"/>
      <c r="BM135" s="293"/>
      <c r="BN135" s="293"/>
      <c r="BO135" s="293"/>
      <c r="BP135" s="293"/>
      <c r="BQ135" s="293"/>
      <c r="BR135" s="293"/>
      <c r="BS135" s="293"/>
      <c r="BT135" s="293"/>
      <c r="BU135" s="293"/>
      <c r="BV135" s="293"/>
      <c r="BW135" s="293"/>
      <c r="BX135" s="293"/>
      <c r="BY135" s="293"/>
      <c r="BZ135" s="293"/>
      <c r="CA135" s="293"/>
      <c r="CB135" s="293"/>
      <c r="CC135" s="293"/>
      <c r="CD135" s="293"/>
      <c r="CE135" s="293"/>
      <c r="CF135" s="293"/>
      <c r="CG135" s="293"/>
      <c r="CH135" s="293"/>
      <c r="CI135" s="293"/>
      <c r="CJ135" s="293"/>
      <c r="CK135" s="293"/>
      <c r="CL135" s="293"/>
      <c r="CM135" s="293"/>
      <c r="CN135" s="293"/>
      <c r="CO135" s="293"/>
      <c r="CP135" s="293">
        <f t="shared" si="2858"/>
        <v>0</v>
      </c>
    </row>
    <row r="136" spans="1:95" ht="12" customHeight="1">
      <c r="A136" s="669">
        <v>68</v>
      </c>
      <c r="B136" s="645" t="s">
        <v>155</v>
      </c>
      <c r="C136" s="646" t="s">
        <v>156</v>
      </c>
      <c r="D136" s="647" t="s">
        <v>472</v>
      </c>
      <c r="E136" s="648" t="s">
        <v>455</v>
      </c>
      <c r="F136" s="642">
        <v>79.28</v>
      </c>
      <c r="G136" s="642">
        <v>30</v>
      </c>
      <c r="H136" s="643">
        <f>F136*G136*365</f>
        <v>868116</v>
      </c>
      <c r="I136" s="291">
        <v>213411.85</v>
      </c>
      <c r="J136" s="295">
        <f>ROUND(F136*G136*365/4,0)</f>
        <v>217029</v>
      </c>
      <c r="K136" s="293">
        <f t="shared" ref="K136:N136" si="2951">J136</f>
        <v>217029</v>
      </c>
      <c r="L136" s="293">
        <f t="shared" si="2951"/>
        <v>217029</v>
      </c>
      <c r="M136" s="293">
        <f t="shared" si="2951"/>
        <v>217029</v>
      </c>
      <c r="N136" s="292">
        <f t="shared" si="2951"/>
        <v>217029</v>
      </c>
      <c r="O136" s="293">
        <f>N136</f>
        <v>217029</v>
      </c>
      <c r="P136" s="293">
        <f>O136</f>
        <v>217029</v>
      </c>
      <c r="Q136" s="293">
        <f>P136</f>
        <v>217029</v>
      </c>
      <c r="R136" s="293">
        <f>ROUND(Q136*(1+取值表!$D$10)*取值表!$I$10,0)</f>
        <v>223217</v>
      </c>
      <c r="S136" s="293">
        <f>R136</f>
        <v>223217</v>
      </c>
      <c r="T136" s="293">
        <f>S136</f>
        <v>223217</v>
      </c>
      <c r="U136" s="293">
        <f>T136</f>
        <v>223217</v>
      </c>
      <c r="V136" s="294">
        <f>ROUND(U136*(1+取值表!$D$10),0)</f>
        <v>243976</v>
      </c>
      <c r="W136" s="293">
        <f t="shared" ref="W136:Y136" si="2952">V136</f>
        <v>243976</v>
      </c>
      <c r="X136" s="293">
        <f t="shared" si="2952"/>
        <v>243976</v>
      </c>
      <c r="Y136" s="293">
        <f t="shared" si="2952"/>
        <v>243976</v>
      </c>
      <c r="Z136" s="295">
        <f>ROUND(Y136*(1+取值表!$D$8),0)</f>
        <v>266666</v>
      </c>
      <c r="AA136" s="293">
        <f t="shared" ref="AA136:AB136" si="2953">Z136</f>
        <v>266666</v>
      </c>
      <c r="AB136" s="293">
        <f t="shared" si="2953"/>
        <v>266666</v>
      </c>
      <c r="AC136" s="293">
        <f>AB136</f>
        <v>266666</v>
      </c>
      <c r="AD136" s="295">
        <f>ROUND(AC136*(1+取值表!$D$8),0)</f>
        <v>291466</v>
      </c>
      <c r="AE136" s="293">
        <f t="shared" ref="AE136" si="2954">AD136</f>
        <v>291466</v>
      </c>
      <c r="AF136" s="293">
        <f t="shared" ref="AF136" si="2955">AE136</f>
        <v>291466</v>
      </c>
      <c r="AG136" s="293">
        <f t="shared" ref="AG136" si="2956">AF136</f>
        <v>291466</v>
      </c>
      <c r="AH136" s="295">
        <f>ROUND(AG136*(1+取值表!$D$8),0)</f>
        <v>318572</v>
      </c>
      <c r="AI136" s="293">
        <f t="shared" ref="AI136" si="2957">AH136</f>
        <v>318572</v>
      </c>
      <c r="AJ136" s="293">
        <f t="shared" ref="AJ136" si="2958">AI136</f>
        <v>318572</v>
      </c>
      <c r="AK136" s="293">
        <f t="shared" ref="AK136" si="2959">AJ136</f>
        <v>318572</v>
      </c>
      <c r="AL136" s="295">
        <f>ROUND(AK136*(1+取值表!$D$8),0)</f>
        <v>348199</v>
      </c>
      <c r="AM136" s="293">
        <f t="shared" ref="AM136" si="2960">AL136</f>
        <v>348199</v>
      </c>
      <c r="AN136" s="293">
        <f t="shared" ref="AN136" si="2961">AM136</f>
        <v>348199</v>
      </c>
      <c r="AO136" s="293">
        <f t="shared" ref="AO136" si="2962">AN136</f>
        <v>348199</v>
      </c>
      <c r="AP136" s="295">
        <f>ROUND(AO136*(1+取值表!$D$8),0)</f>
        <v>380582</v>
      </c>
      <c r="AQ136" s="293">
        <f t="shared" ref="AQ136" si="2963">AP136</f>
        <v>380582</v>
      </c>
      <c r="AR136" s="293">
        <f t="shared" ref="AR136" si="2964">AQ136</f>
        <v>380582</v>
      </c>
      <c r="AS136" s="293">
        <f t="shared" ref="AS136" si="2965">AR136</f>
        <v>380582</v>
      </c>
      <c r="AT136" s="295">
        <f>ROUND(AS136*(1+取值表!$D$8),0)</f>
        <v>415976</v>
      </c>
      <c r="AU136" s="293">
        <f t="shared" ref="AU136" si="2966">AT136</f>
        <v>415976</v>
      </c>
      <c r="AV136" s="293">
        <f t="shared" ref="AV136" si="2967">AU136</f>
        <v>415976</v>
      </c>
      <c r="AW136" s="293">
        <f t="shared" ref="AW136" si="2968">AV136</f>
        <v>415976</v>
      </c>
      <c r="AX136" s="295">
        <f>ROUND(AW136*(1+取值表!$D$8),0)</f>
        <v>454662</v>
      </c>
      <c r="AY136" s="293">
        <f t="shared" ref="AY136" si="2969">AX136</f>
        <v>454662</v>
      </c>
      <c r="AZ136" s="293">
        <f t="shared" ref="AZ136" si="2970">AY136</f>
        <v>454662</v>
      </c>
      <c r="BA136" s="293">
        <f t="shared" ref="BA136" si="2971">AZ136</f>
        <v>454662</v>
      </c>
      <c r="BB136" s="295">
        <f>ROUND(BA136*(1+取值表!$D$8),0)</f>
        <v>496946</v>
      </c>
      <c r="BC136" s="293">
        <f>BB136</f>
        <v>496946</v>
      </c>
      <c r="BD136" s="293">
        <f t="shared" ref="BD136" si="2972">BC136</f>
        <v>496946</v>
      </c>
      <c r="BE136" s="293">
        <f>BD136</f>
        <v>496946</v>
      </c>
      <c r="BF136" s="295">
        <f>ROUND(BE136*(1+取值表!$D$8),0)</f>
        <v>543162</v>
      </c>
      <c r="BG136" s="293">
        <f>BF136</f>
        <v>543162</v>
      </c>
      <c r="BH136" s="293">
        <f t="shared" ref="BH136" si="2973">BG136</f>
        <v>543162</v>
      </c>
      <c r="BI136" s="293">
        <f t="shared" ref="BI136" si="2974">BH136</f>
        <v>543162</v>
      </c>
      <c r="BJ136" s="295">
        <f>ROUND(BI136*(1+取值表!$D$8),0)</f>
        <v>593676</v>
      </c>
      <c r="BK136" s="293">
        <f t="shared" ref="BK136" si="2975">BJ136</f>
        <v>593676</v>
      </c>
      <c r="BL136" s="293">
        <f t="shared" ref="BL136" si="2976">BK136</f>
        <v>593676</v>
      </c>
      <c r="BM136" s="293">
        <f t="shared" ref="BM136" si="2977">BL136</f>
        <v>593676</v>
      </c>
      <c r="BN136" s="295">
        <f>ROUND(BM136*(1+取值表!$D$8),0)</f>
        <v>648888</v>
      </c>
      <c r="BO136" s="293">
        <f t="shared" ref="BO136" si="2978">BN136</f>
        <v>648888</v>
      </c>
      <c r="BP136" s="293">
        <f t="shared" ref="BP136" si="2979">BO136</f>
        <v>648888</v>
      </c>
      <c r="BQ136" s="293">
        <f t="shared" ref="BQ136" si="2980">BP136</f>
        <v>648888</v>
      </c>
      <c r="BR136" s="295">
        <f>ROUND(BQ136*(1+取值表!$D$8),0)</f>
        <v>709235</v>
      </c>
      <c r="BS136" s="293">
        <f t="shared" ref="BS136" si="2981">BR136</f>
        <v>709235</v>
      </c>
      <c r="BT136" s="293">
        <f t="shared" ref="BT136" si="2982">BS136</f>
        <v>709235</v>
      </c>
      <c r="BU136" s="293">
        <f t="shared" ref="BU136" si="2983">BT136</f>
        <v>709235</v>
      </c>
      <c r="BV136" s="295">
        <f>ROUND(BU136*(1+取值表!$D$8),0)</f>
        <v>775194</v>
      </c>
      <c r="BW136" s="293">
        <f t="shared" ref="BW136" si="2984">BV136</f>
        <v>775194</v>
      </c>
      <c r="BX136" s="293">
        <f t="shared" ref="BX136" si="2985">BW136</f>
        <v>775194</v>
      </c>
      <c r="BY136" s="293">
        <f t="shared" ref="BY136" si="2986">BX136</f>
        <v>775194</v>
      </c>
      <c r="BZ136" s="295">
        <f>ROUND(BY136*(1+取值表!$D$8),0)</f>
        <v>847287</v>
      </c>
      <c r="CA136" s="293">
        <f t="shared" ref="CA136" si="2987">BZ136</f>
        <v>847287</v>
      </c>
      <c r="CB136" s="293">
        <f t="shared" ref="CB136" si="2988">CA136</f>
        <v>847287</v>
      </c>
      <c r="CC136" s="293">
        <f t="shared" ref="CC136" si="2989">CB136</f>
        <v>847287</v>
      </c>
      <c r="CD136" s="295">
        <f>ROUND(CC136*(1+取值表!$D$8),0)</f>
        <v>926085</v>
      </c>
      <c r="CE136" s="293">
        <f t="shared" ref="CE136" si="2990">CD136</f>
        <v>926085</v>
      </c>
      <c r="CF136" s="293">
        <f t="shared" ref="CF136" si="2991">CE136</f>
        <v>926085</v>
      </c>
      <c r="CG136" s="293">
        <f t="shared" ref="CG136" si="2992">CF136</f>
        <v>926085</v>
      </c>
      <c r="CH136" s="295">
        <f>ROUND(CG136*(1+取值表!$D$8),0)</f>
        <v>1012211</v>
      </c>
      <c r="CI136" s="293">
        <f>CH136</f>
        <v>1012211</v>
      </c>
      <c r="CJ136" s="293">
        <f t="shared" ref="CJ136" si="2993">CI136</f>
        <v>1012211</v>
      </c>
      <c r="CK136" s="293">
        <f t="shared" ref="CK136" si="2994">CJ136</f>
        <v>1012211</v>
      </c>
      <c r="CL136" s="295">
        <f>ROUND(CK136*(1+取值表!$D$8),0)</f>
        <v>1106347</v>
      </c>
      <c r="CM136" s="293">
        <f>CL136</f>
        <v>1106347</v>
      </c>
      <c r="CN136" s="293">
        <f t="shared" ref="CN136" si="2995">CM136</f>
        <v>1106347</v>
      </c>
      <c r="CO136" s="293">
        <f t="shared" ref="CO136" si="2996">CN136</f>
        <v>1106347</v>
      </c>
      <c r="CP136" s="293">
        <f t="shared" si="2858"/>
        <v>44145620</v>
      </c>
    </row>
    <row r="137" spans="1:95">
      <c r="A137" s="670"/>
      <c r="B137" s="645"/>
      <c r="C137" s="646"/>
      <c r="D137" s="647"/>
      <c r="E137" s="648"/>
      <c r="F137" s="642"/>
      <c r="G137" s="642"/>
      <c r="H137" s="643"/>
      <c r="I137" s="291"/>
      <c r="J137" s="295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>
        <f t="shared" si="2858"/>
        <v>0</v>
      </c>
    </row>
    <row r="138" spans="1:95" ht="12" customHeight="1">
      <c r="A138" s="669">
        <v>69</v>
      </c>
      <c r="B138" s="658" t="s">
        <v>157</v>
      </c>
      <c r="C138" s="646" t="s">
        <v>158</v>
      </c>
      <c r="D138" s="647" t="s">
        <v>159</v>
      </c>
      <c r="E138" s="648" t="s">
        <v>455</v>
      </c>
      <c r="F138" s="642">
        <v>82.05</v>
      </c>
      <c r="G138" s="642">
        <v>27.5</v>
      </c>
      <c r="H138" s="643">
        <f>F138*G138*365</f>
        <v>823576.875</v>
      </c>
      <c r="I138" s="291">
        <v>205894.22</v>
      </c>
      <c r="J138" s="295">
        <f>ROUND(F138*G138*365/4,0)</f>
        <v>205894</v>
      </c>
      <c r="K138" s="293">
        <f t="shared" ref="K138:N138" si="2997">J138</f>
        <v>205894</v>
      </c>
      <c r="L138" s="293">
        <f t="shared" si="2997"/>
        <v>205894</v>
      </c>
      <c r="M138" s="293">
        <f t="shared" si="2997"/>
        <v>205894</v>
      </c>
      <c r="N138" s="292">
        <f t="shared" si="2997"/>
        <v>205894</v>
      </c>
      <c r="O138" s="293">
        <f>N138</f>
        <v>205894</v>
      </c>
      <c r="P138" s="293">
        <f>O138</f>
        <v>205894</v>
      </c>
      <c r="Q138" s="293">
        <f>P138</f>
        <v>205894</v>
      </c>
      <c r="R138" s="293">
        <f>ROUND(Q138*(1+取值表!$D$10)*取值表!$I$10,0)</f>
        <v>211765</v>
      </c>
      <c r="S138" s="293">
        <f>R138</f>
        <v>211765</v>
      </c>
      <c r="T138" s="293">
        <f>S138</f>
        <v>211765</v>
      </c>
      <c r="U138" s="293">
        <f>T138</f>
        <v>211765</v>
      </c>
      <c r="V138" s="294">
        <f>ROUND(U138*(1+取值表!$D$10),0)</f>
        <v>231459</v>
      </c>
      <c r="W138" s="293">
        <f t="shared" ref="W138:Y138" si="2998">V138</f>
        <v>231459</v>
      </c>
      <c r="X138" s="293">
        <f t="shared" si="2998"/>
        <v>231459</v>
      </c>
      <c r="Y138" s="293">
        <f t="shared" si="2998"/>
        <v>231459</v>
      </c>
      <c r="Z138" s="295">
        <f>ROUND(Y138*(1+取值表!$D$8),0)</f>
        <v>252985</v>
      </c>
      <c r="AA138" s="293">
        <f t="shared" ref="AA138:AB138" si="2999">Z138</f>
        <v>252985</v>
      </c>
      <c r="AB138" s="293">
        <f t="shared" si="2999"/>
        <v>252985</v>
      </c>
      <c r="AC138" s="293">
        <f>AB138</f>
        <v>252985</v>
      </c>
      <c r="AD138" s="295">
        <f>ROUND(AC138*(1+取值表!$D$8),0)</f>
        <v>276513</v>
      </c>
      <c r="AE138" s="293">
        <f t="shared" ref="AE138" si="3000">AD138</f>
        <v>276513</v>
      </c>
      <c r="AF138" s="293">
        <f t="shared" ref="AF138" si="3001">AE138</f>
        <v>276513</v>
      </c>
      <c r="AG138" s="293">
        <f t="shared" ref="AG138" si="3002">AF138</f>
        <v>276513</v>
      </c>
      <c r="AH138" s="295">
        <f>ROUND(AG138*(1+取值表!$D$8),0)</f>
        <v>302229</v>
      </c>
      <c r="AI138" s="293">
        <f t="shared" ref="AI138" si="3003">AH138</f>
        <v>302229</v>
      </c>
      <c r="AJ138" s="293">
        <f t="shared" ref="AJ138" si="3004">AI138</f>
        <v>302229</v>
      </c>
      <c r="AK138" s="293">
        <f t="shared" ref="AK138" si="3005">AJ138</f>
        <v>302229</v>
      </c>
      <c r="AL138" s="295">
        <f>ROUND(AK138*(1+取值表!$D$8),0)</f>
        <v>330336</v>
      </c>
      <c r="AM138" s="293">
        <f t="shared" ref="AM138" si="3006">AL138</f>
        <v>330336</v>
      </c>
      <c r="AN138" s="293">
        <f t="shared" ref="AN138" si="3007">AM138</f>
        <v>330336</v>
      </c>
      <c r="AO138" s="293">
        <f t="shared" ref="AO138" si="3008">AN138</f>
        <v>330336</v>
      </c>
      <c r="AP138" s="295">
        <f>ROUND(AO138*(1+取值表!$D$8),0)</f>
        <v>361057</v>
      </c>
      <c r="AQ138" s="293">
        <f t="shared" ref="AQ138" si="3009">AP138</f>
        <v>361057</v>
      </c>
      <c r="AR138" s="293">
        <f t="shared" ref="AR138" si="3010">AQ138</f>
        <v>361057</v>
      </c>
      <c r="AS138" s="293">
        <f t="shared" ref="AS138" si="3011">AR138</f>
        <v>361057</v>
      </c>
      <c r="AT138" s="295">
        <f>ROUND(AS138*(1+取值表!$D$8),0)</f>
        <v>394635</v>
      </c>
      <c r="AU138" s="293">
        <f t="shared" ref="AU138" si="3012">AT138</f>
        <v>394635</v>
      </c>
      <c r="AV138" s="293">
        <f t="shared" ref="AV138" si="3013">AU138</f>
        <v>394635</v>
      </c>
      <c r="AW138" s="293">
        <f t="shared" ref="AW138" si="3014">AV138</f>
        <v>394635</v>
      </c>
      <c r="AX138" s="295">
        <f>ROUND(AW138*(1+取值表!$D$8),0)</f>
        <v>431336</v>
      </c>
      <c r="AY138" s="293">
        <f t="shared" ref="AY138" si="3015">AX138</f>
        <v>431336</v>
      </c>
      <c r="AZ138" s="293">
        <f t="shared" ref="AZ138" si="3016">AY138</f>
        <v>431336</v>
      </c>
      <c r="BA138" s="293">
        <f t="shared" ref="BA138" si="3017">AZ138</f>
        <v>431336</v>
      </c>
      <c r="BB138" s="295">
        <f>ROUND(BA138*(1+取值表!$D$8),0)</f>
        <v>471450</v>
      </c>
      <c r="BC138" s="293">
        <f>BB138</f>
        <v>471450</v>
      </c>
      <c r="BD138" s="293">
        <f t="shared" ref="BD138" si="3018">BC138</f>
        <v>471450</v>
      </c>
      <c r="BE138" s="293">
        <f>BD138</f>
        <v>471450</v>
      </c>
      <c r="BF138" s="295">
        <f>ROUND(BE138*(1+取值表!$D$8),0)</f>
        <v>515295</v>
      </c>
      <c r="BG138" s="293">
        <f>BF138</f>
        <v>515295</v>
      </c>
      <c r="BH138" s="293">
        <f t="shared" ref="BH138" si="3019">BG138</f>
        <v>515295</v>
      </c>
      <c r="BI138" s="293">
        <f t="shared" ref="BI138" si="3020">BH138</f>
        <v>515295</v>
      </c>
      <c r="BJ138" s="295">
        <f>ROUND(BI138*(1+取值表!$D$8),0)</f>
        <v>563217</v>
      </c>
      <c r="BK138" s="293">
        <f t="shared" ref="BK138" si="3021">BJ138</f>
        <v>563217</v>
      </c>
      <c r="BL138" s="293">
        <f t="shared" ref="BL138" si="3022">BK138</f>
        <v>563217</v>
      </c>
      <c r="BM138" s="293">
        <f t="shared" ref="BM138" si="3023">BL138</f>
        <v>563217</v>
      </c>
      <c r="BN138" s="295">
        <f>ROUND(BM138*(1+取值表!$D$8),0)</f>
        <v>615596</v>
      </c>
      <c r="BO138" s="293">
        <f t="shared" ref="BO138" si="3024">BN138</f>
        <v>615596</v>
      </c>
      <c r="BP138" s="293">
        <f t="shared" ref="BP138" si="3025">BO138</f>
        <v>615596</v>
      </c>
      <c r="BQ138" s="293">
        <f t="shared" ref="BQ138" si="3026">BP138</f>
        <v>615596</v>
      </c>
      <c r="BR138" s="295">
        <f>ROUND(BQ138*(1+取值表!$D$8),0)</f>
        <v>672846</v>
      </c>
      <c r="BS138" s="293">
        <f t="shared" ref="BS138" si="3027">BR138</f>
        <v>672846</v>
      </c>
      <c r="BT138" s="293">
        <f t="shared" ref="BT138" si="3028">BS138</f>
        <v>672846</v>
      </c>
      <c r="BU138" s="293">
        <f t="shared" ref="BU138" si="3029">BT138</f>
        <v>672846</v>
      </c>
      <c r="BV138" s="295">
        <f>ROUND(BU138*(1+取值表!$D$8),0)</f>
        <v>735421</v>
      </c>
      <c r="BW138" s="293">
        <f t="shared" ref="BW138" si="3030">BV138</f>
        <v>735421</v>
      </c>
      <c r="BX138" s="293">
        <f t="shared" ref="BX138" si="3031">BW138</f>
        <v>735421</v>
      </c>
      <c r="BY138" s="293">
        <f t="shared" ref="BY138" si="3032">BX138</f>
        <v>735421</v>
      </c>
      <c r="BZ138" s="295">
        <f>ROUND(BY138*(1+取值表!$D$8),0)</f>
        <v>803815</v>
      </c>
      <c r="CA138" s="293">
        <f t="shared" ref="CA138" si="3033">BZ138</f>
        <v>803815</v>
      </c>
      <c r="CB138" s="293">
        <f t="shared" ref="CB138" si="3034">CA138</f>
        <v>803815</v>
      </c>
      <c r="CC138" s="293">
        <f t="shared" ref="CC138" si="3035">CB138</f>
        <v>803815</v>
      </c>
      <c r="CD138" s="295">
        <f>ROUND(CC138*(1+取值表!$D$8),0)</f>
        <v>878570</v>
      </c>
      <c r="CE138" s="293">
        <f t="shared" ref="CE138" si="3036">CD138</f>
        <v>878570</v>
      </c>
      <c r="CF138" s="293">
        <f t="shared" ref="CF138" si="3037">CE138</f>
        <v>878570</v>
      </c>
      <c r="CG138" s="293">
        <f t="shared" ref="CG138" si="3038">CF138</f>
        <v>878570</v>
      </c>
      <c r="CH138" s="295">
        <f>ROUND(CG138*(1+取值表!$D$8),0)</f>
        <v>960277</v>
      </c>
      <c r="CI138" s="293">
        <f>CH138</f>
        <v>960277</v>
      </c>
      <c r="CJ138" s="293">
        <f t="shared" ref="CJ138" si="3039">CI138</f>
        <v>960277</v>
      </c>
      <c r="CK138" s="293">
        <f t="shared" ref="CK138" si="3040">CJ138</f>
        <v>960277</v>
      </c>
      <c r="CL138" s="295">
        <f>ROUND(CK138*(1+取值表!$D$8),0)</f>
        <v>1049583</v>
      </c>
      <c r="CM138" s="293">
        <f>CL138</f>
        <v>1049583</v>
      </c>
      <c r="CN138" s="293">
        <f t="shared" ref="CN138" si="3041">CM138</f>
        <v>1049583</v>
      </c>
      <c r="CO138" s="293">
        <f t="shared" ref="CO138" si="3042">CN138</f>
        <v>1049583</v>
      </c>
      <c r="CP138" s="293">
        <f t="shared" si="2858"/>
        <v>41880692</v>
      </c>
    </row>
    <row r="139" spans="1:95">
      <c r="A139" s="670"/>
      <c r="B139" s="658"/>
      <c r="C139" s="646"/>
      <c r="D139" s="647"/>
      <c r="E139" s="648"/>
      <c r="F139" s="642"/>
      <c r="G139" s="642"/>
      <c r="H139" s="643"/>
      <c r="I139" s="291"/>
      <c r="J139" s="295"/>
      <c r="K139" s="293"/>
      <c r="L139" s="293"/>
      <c r="M139" s="293"/>
      <c r="N139" s="293"/>
      <c r="O139" s="293"/>
      <c r="P139" s="293"/>
      <c r="Q139" s="293"/>
      <c r="R139" s="293"/>
      <c r="S139" s="293"/>
      <c r="T139" s="293"/>
      <c r="U139" s="293"/>
      <c r="V139" s="293"/>
      <c r="W139" s="293"/>
      <c r="X139" s="293"/>
      <c r="Y139" s="293"/>
      <c r="Z139" s="293"/>
      <c r="AA139" s="293"/>
      <c r="AB139" s="293"/>
      <c r="AC139" s="293"/>
      <c r="AD139" s="295"/>
      <c r="AE139" s="293"/>
      <c r="AF139" s="293"/>
      <c r="AG139" s="293"/>
      <c r="AH139" s="295"/>
      <c r="AI139" s="293"/>
      <c r="AJ139" s="293"/>
      <c r="AK139" s="293"/>
      <c r="AL139" s="295"/>
      <c r="AM139" s="293"/>
      <c r="AN139" s="293"/>
      <c r="AO139" s="293"/>
      <c r="AP139" s="295"/>
      <c r="AQ139" s="293"/>
      <c r="AR139" s="293"/>
      <c r="AS139" s="293"/>
      <c r="AT139" s="295"/>
      <c r="AU139" s="293"/>
      <c r="AV139" s="293"/>
      <c r="AW139" s="293"/>
      <c r="AX139" s="295"/>
      <c r="AY139" s="293"/>
      <c r="AZ139" s="293"/>
      <c r="BA139" s="293"/>
      <c r="BB139" s="295"/>
      <c r="BC139" s="293"/>
      <c r="BD139" s="293"/>
      <c r="BE139" s="293"/>
      <c r="BF139" s="295"/>
      <c r="BG139" s="293"/>
      <c r="BH139" s="293"/>
      <c r="BI139" s="293"/>
      <c r="BJ139" s="295"/>
      <c r="BK139" s="293"/>
      <c r="BL139" s="293"/>
      <c r="BM139" s="293"/>
      <c r="BN139" s="295"/>
      <c r="BO139" s="293"/>
      <c r="BP139" s="293"/>
      <c r="BQ139" s="293"/>
      <c r="BR139" s="295"/>
      <c r="BS139" s="293"/>
      <c r="BT139" s="293"/>
      <c r="BU139" s="293"/>
      <c r="BV139" s="295"/>
      <c r="BW139" s="293"/>
      <c r="BX139" s="293"/>
      <c r="BY139" s="293"/>
      <c r="BZ139" s="295"/>
      <c r="CA139" s="293"/>
      <c r="CB139" s="293"/>
      <c r="CC139" s="293"/>
      <c r="CD139" s="295"/>
      <c r="CE139" s="293"/>
      <c r="CF139" s="293"/>
      <c r="CG139" s="293"/>
      <c r="CH139" s="295"/>
      <c r="CI139" s="293"/>
      <c r="CJ139" s="293"/>
      <c r="CK139" s="293"/>
      <c r="CL139" s="295"/>
      <c r="CM139" s="293"/>
      <c r="CN139" s="293"/>
      <c r="CO139" s="293"/>
      <c r="CP139" s="293">
        <f t="shared" si="2858"/>
        <v>0</v>
      </c>
    </row>
    <row r="140" spans="1:95" ht="12" customHeight="1">
      <c r="A140" s="669">
        <v>70</v>
      </c>
      <c r="B140" s="645" t="s">
        <v>160</v>
      </c>
      <c r="C140" s="646" t="s">
        <v>730</v>
      </c>
      <c r="D140" s="647" t="s">
        <v>473</v>
      </c>
      <c r="E140" s="648" t="s">
        <v>455</v>
      </c>
      <c r="F140" s="642">
        <v>166.3</v>
      </c>
      <c r="G140" s="642">
        <v>20</v>
      </c>
      <c r="H140" s="643">
        <f>F140*G140*365</f>
        <v>1213990</v>
      </c>
      <c r="I140" s="291">
        <v>328839.53999999998</v>
      </c>
      <c r="J140" s="295">
        <f>ROUND(F140*G140*365/4,0)</f>
        <v>303498</v>
      </c>
      <c r="K140" s="293">
        <f t="shared" ref="K140:R140" si="3043">J140</f>
        <v>303498</v>
      </c>
      <c r="L140" s="293">
        <f t="shared" si="3043"/>
        <v>303498</v>
      </c>
      <c r="M140" s="293">
        <f t="shared" si="3043"/>
        <v>303498</v>
      </c>
      <c r="N140" s="293">
        <f t="shared" si="3043"/>
        <v>303498</v>
      </c>
      <c r="O140" s="293">
        <f>N140</f>
        <v>303498</v>
      </c>
      <c r="P140" s="293">
        <f>O140</f>
        <v>303498</v>
      </c>
      <c r="Q140" s="293">
        <f>P140</f>
        <v>303498</v>
      </c>
      <c r="R140" s="292">
        <f t="shared" si="3043"/>
        <v>303498</v>
      </c>
      <c r="S140" s="293">
        <f>R140</f>
        <v>303498</v>
      </c>
      <c r="T140" s="295">
        <f>S140</f>
        <v>303498</v>
      </c>
      <c r="U140" s="293">
        <f>T140</f>
        <v>303498</v>
      </c>
      <c r="V140" s="293">
        <f>ROUND(U140*(1+取值表!$D$10)*取值表!$I$10,0)</f>
        <v>312152</v>
      </c>
      <c r="W140" s="293">
        <f>V140</f>
        <v>312152</v>
      </c>
      <c r="X140" s="293">
        <f>W140</f>
        <v>312152</v>
      </c>
      <c r="Y140" s="293">
        <f>X140</f>
        <v>312152</v>
      </c>
      <c r="Z140" s="294">
        <f>ROUND(Y140*(1+取值表!$D$10),0)</f>
        <v>341182</v>
      </c>
      <c r="AA140" s="293">
        <f t="shared" ref="AA140:AB140" si="3044">Z140</f>
        <v>341182</v>
      </c>
      <c r="AB140" s="293">
        <f t="shared" si="3044"/>
        <v>341182</v>
      </c>
      <c r="AC140" s="293">
        <f>AB140</f>
        <v>341182</v>
      </c>
      <c r="AD140" s="295">
        <f>ROUND(AC140*(1+取值表!$D$8),0)</f>
        <v>372912</v>
      </c>
      <c r="AE140" s="293">
        <f t="shared" ref="AE140:AG140" si="3045">AD140</f>
        <v>372912</v>
      </c>
      <c r="AF140" s="293">
        <f t="shared" si="3045"/>
        <v>372912</v>
      </c>
      <c r="AG140" s="293">
        <f t="shared" si="3045"/>
        <v>372912</v>
      </c>
      <c r="AH140" s="295">
        <f>ROUND(AG140*(1+取值表!$D$8),0)</f>
        <v>407593</v>
      </c>
      <c r="AI140" s="293">
        <f t="shared" ref="AI140" si="3046">AH140</f>
        <v>407593</v>
      </c>
      <c r="AJ140" s="293">
        <f t="shared" ref="AJ140" si="3047">AI140</f>
        <v>407593</v>
      </c>
      <c r="AK140" s="293">
        <f t="shared" ref="AK140" si="3048">AJ140</f>
        <v>407593</v>
      </c>
      <c r="AL140" s="295">
        <f>ROUND(AK140*(1+取值表!$D$8),0)</f>
        <v>445499</v>
      </c>
      <c r="AM140" s="293">
        <f t="shared" ref="AM140" si="3049">AL140</f>
        <v>445499</v>
      </c>
      <c r="AN140" s="293">
        <f t="shared" ref="AN140" si="3050">AM140</f>
        <v>445499</v>
      </c>
      <c r="AO140" s="293">
        <f t="shared" ref="AO140" si="3051">AN140</f>
        <v>445499</v>
      </c>
      <c r="AP140" s="295">
        <f>ROUND(AO140*(1+取值表!$D$8),0)</f>
        <v>486930</v>
      </c>
      <c r="AQ140" s="293">
        <f t="shared" ref="AQ140" si="3052">AP140</f>
        <v>486930</v>
      </c>
      <c r="AR140" s="293">
        <f t="shared" ref="AR140" si="3053">AQ140</f>
        <v>486930</v>
      </c>
      <c r="AS140" s="293">
        <f t="shared" ref="AS140" si="3054">AR140</f>
        <v>486930</v>
      </c>
      <c r="AT140" s="295">
        <f>ROUND(AS140*(1+取值表!$D$8),0)</f>
        <v>532214</v>
      </c>
      <c r="AU140" s="293">
        <f t="shared" ref="AU140" si="3055">AT140</f>
        <v>532214</v>
      </c>
      <c r="AV140" s="293">
        <f t="shared" ref="AV140" si="3056">AU140</f>
        <v>532214</v>
      </c>
      <c r="AW140" s="293">
        <f t="shared" ref="AW140" si="3057">AV140</f>
        <v>532214</v>
      </c>
      <c r="AX140" s="295">
        <f>ROUND(AW140*(1+取值表!$D$8),0)</f>
        <v>581710</v>
      </c>
      <c r="AY140" s="293">
        <f t="shared" ref="AY140" si="3058">AX140</f>
        <v>581710</v>
      </c>
      <c r="AZ140" s="293">
        <f t="shared" ref="AZ140" si="3059">AY140</f>
        <v>581710</v>
      </c>
      <c r="BA140" s="293">
        <f t="shared" ref="BA140" si="3060">AZ140</f>
        <v>581710</v>
      </c>
      <c r="BB140" s="295">
        <f>ROUND(BA140*(1+取值表!$D$8),0)</f>
        <v>635809</v>
      </c>
      <c r="BC140" s="293">
        <f>BB140</f>
        <v>635809</v>
      </c>
      <c r="BD140" s="293">
        <f t="shared" ref="BD140" si="3061">BC140</f>
        <v>635809</v>
      </c>
      <c r="BE140" s="293">
        <f>BD140</f>
        <v>635809</v>
      </c>
      <c r="BF140" s="295">
        <f>ROUND(BE140*(1+取值表!$D$8),0)</f>
        <v>694939</v>
      </c>
      <c r="BG140" s="293">
        <f>BF140</f>
        <v>694939</v>
      </c>
      <c r="BH140" s="293">
        <f t="shared" ref="BH140" si="3062">BG140</f>
        <v>694939</v>
      </c>
      <c r="BI140" s="293">
        <f t="shared" ref="BI140" si="3063">BH140</f>
        <v>694939</v>
      </c>
      <c r="BJ140" s="295">
        <f>ROUND(BI140*(1+取值表!$D$8),0)</f>
        <v>759568</v>
      </c>
      <c r="BK140" s="293">
        <f t="shared" ref="BK140" si="3064">BJ140</f>
        <v>759568</v>
      </c>
      <c r="BL140" s="293">
        <f t="shared" ref="BL140" si="3065">BK140</f>
        <v>759568</v>
      </c>
      <c r="BM140" s="293">
        <f t="shared" ref="BM140" si="3066">BL140</f>
        <v>759568</v>
      </c>
      <c r="BN140" s="295">
        <f>ROUND(BM140*(1+取值表!$D$8),0)</f>
        <v>830208</v>
      </c>
      <c r="BO140" s="293">
        <f t="shared" ref="BO140" si="3067">BN140</f>
        <v>830208</v>
      </c>
      <c r="BP140" s="293">
        <f t="shared" ref="BP140" si="3068">BO140</f>
        <v>830208</v>
      </c>
      <c r="BQ140" s="293">
        <f t="shared" ref="BQ140" si="3069">BP140</f>
        <v>830208</v>
      </c>
      <c r="BR140" s="295">
        <f>ROUND(BQ140*(1+取值表!$D$8),0)</f>
        <v>907417</v>
      </c>
      <c r="BS140" s="293">
        <f t="shared" ref="BS140" si="3070">BR140</f>
        <v>907417</v>
      </c>
      <c r="BT140" s="293">
        <f t="shared" ref="BT140" si="3071">BS140</f>
        <v>907417</v>
      </c>
      <c r="BU140" s="293">
        <f t="shared" ref="BU140" si="3072">BT140</f>
        <v>907417</v>
      </c>
      <c r="BV140" s="295">
        <f>ROUND(BU140*(1+取值表!$D$8),0)</f>
        <v>991807</v>
      </c>
      <c r="BW140" s="293">
        <f t="shared" ref="BW140" si="3073">BV140</f>
        <v>991807</v>
      </c>
      <c r="BX140" s="293">
        <f t="shared" ref="BX140" si="3074">BW140</f>
        <v>991807</v>
      </c>
      <c r="BY140" s="293">
        <f t="shared" ref="BY140" si="3075">BX140</f>
        <v>991807</v>
      </c>
      <c r="BZ140" s="295">
        <f>ROUND(BY140*(1+取值表!$D$8),0)</f>
        <v>1084045</v>
      </c>
      <c r="CA140" s="293">
        <f t="shared" ref="CA140" si="3076">BZ140</f>
        <v>1084045</v>
      </c>
      <c r="CB140" s="293">
        <f t="shared" ref="CB140" si="3077">CA140</f>
        <v>1084045</v>
      </c>
      <c r="CC140" s="293">
        <f t="shared" ref="CC140" si="3078">CB140</f>
        <v>1084045</v>
      </c>
      <c r="CD140" s="295">
        <f>ROUND(CC140*(1+取值表!$D$8),0)</f>
        <v>1184861</v>
      </c>
      <c r="CE140" s="293">
        <f t="shared" ref="CE140" si="3079">CD140</f>
        <v>1184861</v>
      </c>
      <c r="CF140" s="293">
        <f t="shared" ref="CF140" si="3080">CE140</f>
        <v>1184861</v>
      </c>
      <c r="CG140" s="293">
        <f t="shared" ref="CG140" si="3081">CF140</f>
        <v>1184861</v>
      </c>
      <c r="CH140" s="295">
        <f>ROUND(CG140*(1+取值表!$D$8),0)</f>
        <v>1295053</v>
      </c>
      <c r="CI140" s="293">
        <f>CH140</f>
        <v>1295053</v>
      </c>
      <c r="CJ140" s="293">
        <f t="shared" ref="CJ140" si="3082">CI140</f>
        <v>1295053</v>
      </c>
      <c r="CK140" s="293">
        <f t="shared" ref="CK140" si="3083">CJ140</f>
        <v>1295053</v>
      </c>
      <c r="CL140" s="295">
        <f>ROUND(CK140*(1+取值表!$D$8),0)</f>
        <v>1415493</v>
      </c>
      <c r="CM140" s="293">
        <f>CL140</f>
        <v>1415493</v>
      </c>
      <c r="CN140" s="293">
        <f t="shared" ref="CN140" si="3084">CM140</f>
        <v>1415493</v>
      </c>
      <c r="CO140" s="293">
        <f t="shared" ref="CO140" si="3085">CN140</f>
        <v>1415493</v>
      </c>
      <c r="CP140" s="293">
        <f t="shared" si="2858"/>
        <v>56759544</v>
      </c>
    </row>
    <row r="141" spans="1:95">
      <c r="A141" s="670"/>
      <c r="B141" s="645"/>
      <c r="C141" s="646"/>
      <c r="D141" s="647"/>
      <c r="E141" s="648"/>
      <c r="F141" s="642"/>
      <c r="G141" s="642"/>
      <c r="H141" s="643"/>
      <c r="I141" s="291"/>
      <c r="J141" s="295"/>
      <c r="K141" s="293"/>
      <c r="L141" s="293"/>
      <c r="M141" s="293"/>
      <c r="N141" s="293"/>
      <c r="O141" s="293"/>
      <c r="P141" s="293"/>
      <c r="Q141" s="293"/>
      <c r="R141" s="293"/>
      <c r="S141" s="293"/>
      <c r="T141" s="293"/>
      <c r="U141" s="293"/>
      <c r="V141" s="293"/>
      <c r="W141" s="293"/>
      <c r="X141" s="293"/>
      <c r="Y141" s="293"/>
      <c r="Z141" s="293"/>
      <c r="AA141" s="293"/>
      <c r="AB141" s="293"/>
      <c r="AC141" s="293"/>
      <c r="AD141" s="293"/>
      <c r="AE141" s="293"/>
      <c r="AF141" s="293"/>
      <c r="AG141" s="293"/>
      <c r="AH141" s="293"/>
      <c r="AI141" s="293"/>
      <c r="AJ141" s="293"/>
      <c r="AK141" s="293"/>
      <c r="AL141" s="293"/>
      <c r="AM141" s="293"/>
      <c r="AN141" s="293"/>
      <c r="AO141" s="293"/>
      <c r="AP141" s="293"/>
      <c r="AQ141" s="293"/>
      <c r="AR141" s="293"/>
      <c r="AS141" s="293"/>
      <c r="AT141" s="293"/>
      <c r="AU141" s="293"/>
      <c r="AV141" s="293"/>
      <c r="AW141" s="293"/>
      <c r="AX141" s="293"/>
      <c r="AY141" s="293"/>
      <c r="AZ141" s="293"/>
      <c r="BA141" s="293"/>
      <c r="BB141" s="293"/>
      <c r="BC141" s="293"/>
      <c r="BD141" s="293"/>
      <c r="BE141" s="293"/>
      <c r="BF141" s="293"/>
      <c r="BG141" s="293"/>
      <c r="BH141" s="293"/>
      <c r="BI141" s="293"/>
      <c r="BJ141" s="293"/>
      <c r="BK141" s="293"/>
      <c r="BL141" s="293"/>
      <c r="BM141" s="293"/>
      <c r="BN141" s="293"/>
      <c r="BO141" s="293"/>
      <c r="BP141" s="293"/>
      <c r="BQ141" s="293"/>
      <c r="BR141" s="293"/>
      <c r="BS141" s="293"/>
      <c r="BT141" s="293"/>
      <c r="BU141" s="293"/>
      <c r="BV141" s="293"/>
      <c r="BW141" s="293"/>
      <c r="BX141" s="293"/>
      <c r="BY141" s="293"/>
      <c r="BZ141" s="293"/>
      <c r="CA141" s="293"/>
      <c r="CB141" s="293"/>
      <c r="CC141" s="293"/>
      <c r="CD141" s="293"/>
      <c r="CE141" s="293"/>
      <c r="CF141" s="293"/>
      <c r="CG141" s="293"/>
      <c r="CH141" s="293"/>
      <c r="CI141" s="293"/>
      <c r="CJ141" s="293"/>
      <c r="CK141" s="293"/>
      <c r="CL141" s="293"/>
      <c r="CM141" s="293"/>
      <c r="CN141" s="293"/>
      <c r="CO141" s="293"/>
      <c r="CP141" s="293">
        <f t="shared" si="2858"/>
        <v>0</v>
      </c>
    </row>
    <row r="142" spans="1:95" ht="12" customHeight="1">
      <c r="A142" s="669">
        <v>71</v>
      </c>
      <c r="B142" s="645" t="s">
        <v>161</v>
      </c>
      <c r="C142" s="646" t="s">
        <v>162</v>
      </c>
      <c r="D142" s="647" t="s">
        <v>474</v>
      </c>
      <c r="E142" s="648" t="s">
        <v>455</v>
      </c>
      <c r="F142" s="642">
        <v>287.75</v>
      </c>
      <c r="G142" s="642">
        <v>12</v>
      </c>
      <c r="H142" s="643">
        <f>F142*G142*365</f>
        <v>1260345</v>
      </c>
      <c r="I142" s="291">
        <v>451623.63</v>
      </c>
      <c r="J142" s="295">
        <f>ROUND(F142*G142*365/4,0)</f>
        <v>315086</v>
      </c>
      <c r="K142" s="293">
        <f>J142</f>
        <v>315086</v>
      </c>
      <c r="L142" s="293">
        <f>K142</f>
        <v>315086</v>
      </c>
      <c r="M142" s="293">
        <f t="shared" ref="M142:Z142" si="3086">L142</f>
        <v>315086</v>
      </c>
      <c r="N142" s="293">
        <f t="shared" si="3086"/>
        <v>315086</v>
      </c>
      <c r="O142" s="293">
        <f>N142</f>
        <v>315086</v>
      </c>
      <c r="P142" s="293">
        <f>O142</f>
        <v>315086</v>
      </c>
      <c r="Q142" s="293">
        <f>P142</f>
        <v>315086</v>
      </c>
      <c r="R142" s="293">
        <f t="shared" si="3086"/>
        <v>315086</v>
      </c>
      <c r="S142" s="293">
        <f t="shared" si="3086"/>
        <v>315086</v>
      </c>
      <c r="T142" s="293">
        <f t="shared" si="3086"/>
        <v>315086</v>
      </c>
      <c r="U142" s="293">
        <f>T142</f>
        <v>315086</v>
      </c>
      <c r="V142" s="293">
        <f t="shared" si="3086"/>
        <v>315086</v>
      </c>
      <c r="W142" s="293">
        <f t="shared" si="3086"/>
        <v>315086</v>
      </c>
      <c r="X142" s="293">
        <f t="shared" si="3086"/>
        <v>315086</v>
      </c>
      <c r="Y142" s="293">
        <f t="shared" si="3086"/>
        <v>315086</v>
      </c>
      <c r="Z142" s="292">
        <f t="shared" si="3086"/>
        <v>315086</v>
      </c>
      <c r="AA142" s="293">
        <f>Z142</f>
        <v>315086</v>
      </c>
      <c r="AB142" s="293">
        <f>AA142</f>
        <v>315086</v>
      </c>
      <c r="AC142" s="293">
        <f>AB142</f>
        <v>315086</v>
      </c>
      <c r="AD142" s="293">
        <f>ROUND(AC142*(1+取值表!$E$8)*取值表!$I$8,0)</f>
        <v>324070</v>
      </c>
      <c r="AE142" s="293">
        <f>AD142</f>
        <v>324070</v>
      </c>
      <c r="AF142" s="293">
        <f>AE142</f>
        <v>324070</v>
      </c>
      <c r="AG142" s="293">
        <f>AF142</f>
        <v>324070</v>
      </c>
      <c r="AH142" s="294">
        <f>ROUND(AG142*(1+取值表!$D$10),0)</f>
        <v>354209</v>
      </c>
      <c r="AI142" s="293">
        <f t="shared" ref="AI142:AK142" si="3087">AH142</f>
        <v>354209</v>
      </c>
      <c r="AJ142" s="293">
        <f t="shared" si="3087"/>
        <v>354209</v>
      </c>
      <c r="AK142" s="293">
        <f t="shared" si="3087"/>
        <v>354209</v>
      </c>
      <c r="AL142" s="295">
        <f>ROUND(AK142*(1+取值表!$D$8),0)</f>
        <v>387150</v>
      </c>
      <c r="AM142" s="293">
        <f t="shared" ref="AM142:AO142" si="3088">AL142</f>
        <v>387150</v>
      </c>
      <c r="AN142" s="293">
        <f t="shared" si="3088"/>
        <v>387150</v>
      </c>
      <c r="AO142" s="293">
        <f t="shared" si="3088"/>
        <v>387150</v>
      </c>
      <c r="AP142" s="295">
        <f>ROUND(AO142*(1+取值表!$D$8),0)</f>
        <v>423155</v>
      </c>
      <c r="AQ142" s="293">
        <f t="shared" ref="AQ142:AS142" si="3089">AP142</f>
        <v>423155</v>
      </c>
      <c r="AR142" s="293">
        <f t="shared" si="3089"/>
        <v>423155</v>
      </c>
      <c r="AS142" s="293">
        <f t="shared" si="3089"/>
        <v>423155</v>
      </c>
      <c r="AT142" s="295">
        <f>ROUND(AS142*(1+取值表!$D$8),0)</f>
        <v>462508</v>
      </c>
      <c r="AU142" s="293">
        <f t="shared" ref="AU142:AW142" si="3090">AT142</f>
        <v>462508</v>
      </c>
      <c r="AV142" s="293">
        <f t="shared" si="3090"/>
        <v>462508</v>
      </c>
      <c r="AW142" s="293">
        <f t="shared" si="3090"/>
        <v>462508</v>
      </c>
      <c r="AX142" s="295">
        <f>ROUND(AW142*(1+取值表!$D$8),0)</f>
        <v>505521</v>
      </c>
      <c r="AY142" s="293">
        <f t="shared" ref="AY142:BA142" si="3091">AX142</f>
        <v>505521</v>
      </c>
      <c r="AZ142" s="293">
        <f t="shared" si="3091"/>
        <v>505521</v>
      </c>
      <c r="BA142" s="293">
        <f t="shared" si="3091"/>
        <v>505521</v>
      </c>
      <c r="BB142" s="295">
        <f>ROUND(BA142*(1+取值表!$D$8),0)</f>
        <v>552534</v>
      </c>
      <c r="BC142" s="293">
        <f>BB142</f>
        <v>552534</v>
      </c>
      <c r="BD142" s="293">
        <f t="shared" ref="BD142" si="3092">BC142</f>
        <v>552534</v>
      </c>
      <c r="BE142" s="293">
        <f>BD142</f>
        <v>552534</v>
      </c>
      <c r="BF142" s="295">
        <f>ROUND(BE142*(1+取值表!$D$8),0)</f>
        <v>603920</v>
      </c>
      <c r="BG142" s="293">
        <f>BF142</f>
        <v>603920</v>
      </c>
      <c r="BH142" s="293">
        <f t="shared" ref="BH142:BI142" si="3093">BG142</f>
        <v>603920</v>
      </c>
      <c r="BI142" s="293">
        <f t="shared" si="3093"/>
        <v>603920</v>
      </c>
      <c r="BJ142" s="295">
        <f>ROUND(BI142*(1+取值表!$D$8),0)</f>
        <v>660085</v>
      </c>
      <c r="BK142" s="293">
        <f t="shared" ref="BK142" si="3094">BJ142</f>
        <v>660085</v>
      </c>
      <c r="BL142" s="293">
        <f t="shared" ref="BL142" si="3095">BK142</f>
        <v>660085</v>
      </c>
      <c r="BM142" s="293">
        <f t="shared" ref="BM142" si="3096">BL142</f>
        <v>660085</v>
      </c>
      <c r="BN142" s="295">
        <f>ROUND(BM142*(1+取值表!$D$8),0)</f>
        <v>721473</v>
      </c>
      <c r="BO142" s="293">
        <f t="shared" ref="BO142" si="3097">BN142</f>
        <v>721473</v>
      </c>
      <c r="BP142" s="293">
        <f t="shared" ref="BP142" si="3098">BO142</f>
        <v>721473</v>
      </c>
      <c r="BQ142" s="293">
        <f t="shared" ref="BQ142" si="3099">BP142</f>
        <v>721473</v>
      </c>
      <c r="BR142" s="295">
        <f>ROUND(BQ142*(1+取值表!$D$8),0)</f>
        <v>788570</v>
      </c>
      <c r="BS142" s="293">
        <f t="shared" ref="BS142" si="3100">BR142</f>
        <v>788570</v>
      </c>
      <c r="BT142" s="293">
        <f t="shared" ref="BT142" si="3101">BS142</f>
        <v>788570</v>
      </c>
      <c r="BU142" s="293">
        <f t="shared" ref="BU142" si="3102">BT142</f>
        <v>788570</v>
      </c>
      <c r="BV142" s="295">
        <f>ROUND(BU142*(1+取值表!$D$8),0)</f>
        <v>861907</v>
      </c>
      <c r="BW142" s="293">
        <f t="shared" ref="BW142" si="3103">BV142</f>
        <v>861907</v>
      </c>
      <c r="BX142" s="293">
        <f t="shared" ref="BX142" si="3104">BW142</f>
        <v>861907</v>
      </c>
      <c r="BY142" s="293">
        <f t="shared" ref="BY142" si="3105">BX142</f>
        <v>861907</v>
      </c>
      <c r="BZ142" s="295">
        <f>ROUND(BY142*(1+取值表!$D$8),0)</f>
        <v>942064</v>
      </c>
      <c r="CA142" s="293">
        <f t="shared" ref="CA142" si="3106">BZ142</f>
        <v>942064</v>
      </c>
      <c r="CB142" s="293">
        <f t="shared" ref="CB142" si="3107">CA142</f>
        <v>942064</v>
      </c>
      <c r="CC142" s="293">
        <f t="shared" ref="CC142" si="3108">CB142</f>
        <v>942064</v>
      </c>
      <c r="CD142" s="295">
        <f>ROUND(CC142*(1+取值表!$D$8),0)</f>
        <v>1029676</v>
      </c>
      <c r="CE142" s="293">
        <f t="shared" ref="CE142" si="3109">CD142</f>
        <v>1029676</v>
      </c>
      <c r="CF142" s="293">
        <f t="shared" ref="CF142" si="3110">CE142</f>
        <v>1029676</v>
      </c>
      <c r="CG142" s="293">
        <f t="shared" ref="CG142" si="3111">CF142</f>
        <v>1029676</v>
      </c>
      <c r="CH142" s="295">
        <f>ROUND(CG142*(1+取值表!$D$8),0)</f>
        <v>1125436</v>
      </c>
      <c r="CI142" s="293">
        <f>CH142</f>
        <v>1125436</v>
      </c>
      <c r="CJ142" s="293">
        <f t="shared" ref="CJ142" si="3112">CI142</f>
        <v>1125436</v>
      </c>
      <c r="CK142" s="293">
        <f t="shared" ref="CK142" si="3113">CJ142</f>
        <v>1125436</v>
      </c>
      <c r="CL142" s="295">
        <f>ROUND(CK142*(1+取值表!$D$8),0)</f>
        <v>1230102</v>
      </c>
      <c r="CM142" s="293">
        <f>CL142</f>
        <v>1230102</v>
      </c>
      <c r="CN142" s="293">
        <f t="shared" ref="CN142" si="3114">CM142</f>
        <v>1230102</v>
      </c>
      <c r="CO142" s="293">
        <f t="shared" ref="CO142" si="3115">CN142</f>
        <v>1230102</v>
      </c>
      <c r="CP142" s="293">
        <f t="shared" si="2858"/>
        <v>50191240</v>
      </c>
    </row>
    <row r="143" spans="1:95">
      <c r="A143" s="670"/>
      <c r="B143" s="645"/>
      <c r="C143" s="646"/>
      <c r="D143" s="647"/>
      <c r="E143" s="648"/>
      <c r="F143" s="642"/>
      <c r="G143" s="642"/>
      <c r="H143" s="643"/>
      <c r="I143" s="291"/>
      <c r="J143" s="295"/>
      <c r="K143" s="293"/>
      <c r="L143" s="293"/>
      <c r="M143" s="293"/>
      <c r="N143" s="293"/>
      <c r="O143" s="293"/>
      <c r="P143" s="293"/>
      <c r="Q143" s="293"/>
      <c r="R143" s="293"/>
      <c r="S143" s="293"/>
      <c r="T143" s="293"/>
      <c r="U143" s="293"/>
      <c r="V143" s="293"/>
      <c r="W143" s="293"/>
      <c r="X143" s="293"/>
      <c r="Y143" s="293"/>
      <c r="Z143" s="293"/>
      <c r="AA143" s="293"/>
      <c r="AB143" s="293"/>
      <c r="AC143" s="293"/>
      <c r="AD143" s="293"/>
      <c r="AE143" s="293"/>
      <c r="AF143" s="293"/>
      <c r="AG143" s="293"/>
      <c r="AH143" s="293"/>
      <c r="AI143" s="293"/>
      <c r="AJ143" s="293"/>
      <c r="AK143" s="293"/>
      <c r="AL143" s="293"/>
      <c r="AM143" s="293"/>
      <c r="AN143" s="293"/>
      <c r="AO143" s="293"/>
      <c r="AP143" s="293"/>
      <c r="AQ143" s="293"/>
      <c r="AR143" s="293"/>
      <c r="AS143" s="293"/>
      <c r="AT143" s="293"/>
      <c r="AU143" s="293"/>
      <c r="AV143" s="293"/>
      <c r="AW143" s="293"/>
      <c r="AX143" s="293"/>
      <c r="AY143" s="293"/>
      <c r="AZ143" s="293"/>
      <c r="BA143" s="293"/>
      <c r="BB143" s="293"/>
      <c r="BC143" s="293"/>
      <c r="BD143" s="293"/>
      <c r="BE143" s="293"/>
      <c r="BF143" s="293"/>
      <c r="BG143" s="293"/>
      <c r="BH143" s="293"/>
      <c r="BI143" s="293"/>
      <c r="BJ143" s="293"/>
      <c r="BK143" s="293"/>
      <c r="BL143" s="293"/>
      <c r="BM143" s="293"/>
      <c r="BN143" s="293"/>
      <c r="BO143" s="293"/>
      <c r="BP143" s="293"/>
      <c r="BQ143" s="293"/>
      <c r="BR143" s="293"/>
      <c r="BS143" s="293"/>
      <c r="BT143" s="293"/>
      <c r="BU143" s="293"/>
      <c r="BV143" s="293"/>
      <c r="BW143" s="293"/>
      <c r="BX143" s="293"/>
      <c r="BY143" s="293"/>
      <c r="BZ143" s="293"/>
      <c r="CA143" s="293"/>
      <c r="CB143" s="293"/>
      <c r="CC143" s="293"/>
      <c r="CD143" s="293"/>
      <c r="CE143" s="293"/>
      <c r="CF143" s="293"/>
      <c r="CG143" s="293"/>
      <c r="CH143" s="293"/>
      <c r="CI143" s="293"/>
      <c r="CJ143" s="293"/>
      <c r="CK143" s="293"/>
      <c r="CL143" s="293"/>
      <c r="CM143" s="293"/>
      <c r="CN143" s="293"/>
      <c r="CO143" s="293"/>
      <c r="CP143" s="293">
        <f t="shared" si="2858"/>
        <v>0</v>
      </c>
    </row>
    <row r="144" spans="1:95" ht="12" customHeight="1">
      <c r="A144" s="669">
        <v>72</v>
      </c>
      <c r="B144" s="645" t="s">
        <v>163</v>
      </c>
      <c r="C144" s="646" t="s">
        <v>14</v>
      </c>
      <c r="D144" s="647" t="s">
        <v>475</v>
      </c>
      <c r="E144" s="648" t="s">
        <v>455</v>
      </c>
      <c r="F144" s="642">
        <v>374.5</v>
      </c>
      <c r="G144" s="642">
        <f>AVERAGE(12,13,14)</f>
        <v>13</v>
      </c>
      <c r="H144" s="643">
        <f>F144*G144*365</f>
        <v>1777002.5</v>
      </c>
      <c r="I144" s="291">
        <v>451085.25</v>
      </c>
      <c r="J144" s="295">
        <f t="shared" ref="J144:M144" si="3116">K144</f>
        <v>444251</v>
      </c>
      <c r="K144" s="293">
        <f t="shared" si="3116"/>
        <v>444251</v>
      </c>
      <c r="L144" s="293">
        <f t="shared" si="3116"/>
        <v>444251</v>
      </c>
      <c r="M144" s="293">
        <f t="shared" si="3116"/>
        <v>444251</v>
      </c>
      <c r="N144" s="293">
        <f>O144</f>
        <v>444251</v>
      </c>
      <c r="O144" s="293">
        <f>P144</f>
        <v>444251</v>
      </c>
      <c r="P144" s="293">
        <f>ROUND(13*F144*365/4,0)</f>
        <v>444251</v>
      </c>
      <c r="Q144" s="293">
        <f t="shared" ref="Q144:W144" si="3117">R144</f>
        <v>478424</v>
      </c>
      <c r="R144" s="293">
        <f t="shared" si="3117"/>
        <v>478424</v>
      </c>
      <c r="S144" s="293">
        <f t="shared" si="3117"/>
        <v>478424</v>
      </c>
      <c r="T144" s="293">
        <f>U144</f>
        <v>478424</v>
      </c>
      <c r="U144" s="293">
        <f t="shared" si="3117"/>
        <v>478424</v>
      </c>
      <c r="V144" s="293">
        <f t="shared" si="3117"/>
        <v>478424</v>
      </c>
      <c r="W144" s="293">
        <f t="shared" si="3117"/>
        <v>478424</v>
      </c>
      <c r="X144" s="292">
        <f>ROUND(14*365*F144/4,0)</f>
        <v>478424</v>
      </c>
      <c r="Y144" s="293">
        <f>X144</f>
        <v>478424</v>
      </c>
      <c r="Z144" s="293">
        <f>ROUND(Y144*(1+取值表!$D$10)*取值表!$I$10,0)</f>
        <v>492065</v>
      </c>
      <c r="AA144" s="293">
        <f>Z144</f>
        <v>492065</v>
      </c>
      <c r="AB144" s="293">
        <f>AA144</f>
        <v>492065</v>
      </c>
      <c r="AC144" s="293">
        <f>AB144</f>
        <v>492065</v>
      </c>
      <c r="AD144" s="294">
        <f>ROUND(AC144*(1+取值表!$D$10),0)</f>
        <v>537827</v>
      </c>
      <c r="AE144" s="293">
        <f t="shared" ref="AE144:AG144" si="3118">AD144</f>
        <v>537827</v>
      </c>
      <c r="AF144" s="293">
        <f t="shared" si="3118"/>
        <v>537827</v>
      </c>
      <c r="AG144" s="293">
        <f t="shared" si="3118"/>
        <v>537827</v>
      </c>
      <c r="AH144" s="295">
        <f>ROUND(AG144*(1+取值表!$D$10),0)</f>
        <v>587845</v>
      </c>
      <c r="AI144" s="293">
        <f t="shared" ref="AI144" si="3119">AH144</f>
        <v>587845</v>
      </c>
      <c r="AJ144" s="293">
        <f t="shared" ref="AJ144" si="3120">AI144</f>
        <v>587845</v>
      </c>
      <c r="AK144" s="293">
        <f t="shared" ref="AK144" si="3121">AJ144</f>
        <v>587845</v>
      </c>
      <c r="AL144" s="295">
        <f>ROUND(AK144*(1+取值表!$D$10),0)</f>
        <v>642515</v>
      </c>
      <c r="AM144" s="293">
        <f t="shared" ref="AM144" si="3122">AL144</f>
        <v>642515</v>
      </c>
      <c r="AN144" s="293">
        <f t="shared" ref="AN144" si="3123">AM144</f>
        <v>642515</v>
      </c>
      <c r="AO144" s="293">
        <f t="shared" ref="AO144" si="3124">AN144</f>
        <v>642515</v>
      </c>
      <c r="AP144" s="295">
        <f>ROUND(AO144*(1+取值表!$D$10),0)</f>
        <v>702269</v>
      </c>
      <c r="AQ144" s="293">
        <f t="shared" ref="AQ144" si="3125">AP144</f>
        <v>702269</v>
      </c>
      <c r="AR144" s="293">
        <f t="shared" ref="AR144" si="3126">AQ144</f>
        <v>702269</v>
      </c>
      <c r="AS144" s="293">
        <f t="shared" ref="AS144" si="3127">AR144</f>
        <v>702269</v>
      </c>
      <c r="AT144" s="295">
        <f>ROUND(AS144*(1+取值表!$D$10),0)</f>
        <v>767580</v>
      </c>
      <c r="AU144" s="293">
        <f t="shared" ref="AU144" si="3128">AT144</f>
        <v>767580</v>
      </c>
      <c r="AV144" s="293">
        <f t="shared" ref="AV144" si="3129">AU144</f>
        <v>767580</v>
      </c>
      <c r="AW144" s="293">
        <f t="shared" ref="AW144" si="3130">AV144</f>
        <v>767580</v>
      </c>
      <c r="AX144" s="295">
        <f>ROUND(AW144*(1+取值表!$D$10),0)</f>
        <v>838965</v>
      </c>
      <c r="AY144" s="293">
        <f t="shared" ref="AY144" si="3131">AX144</f>
        <v>838965</v>
      </c>
      <c r="AZ144" s="293">
        <f t="shared" ref="AZ144" si="3132">AY144</f>
        <v>838965</v>
      </c>
      <c r="BA144" s="293">
        <f t="shared" ref="BA144" si="3133">AZ144</f>
        <v>838965</v>
      </c>
      <c r="BB144" s="295">
        <f>ROUND(BA144*(1+取值表!$D$10),0)</f>
        <v>916989</v>
      </c>
      <c r="BC144" s="293">
        <f>BB144</f>
        <v>916989</v>
      </c>
      <c r="BD144" s="293">
        <f t="shared" ref="BD144" si="3134">BC144</f>
        <v>916989</v>
      </c>
      <c r="BE144" s="293">
        <f>BD144</f>
        <v>916989</v>
      </c>
      <c r="BF144" s="295">
        <f>ROUND(BE144*(1+取值表!$D$10),0)</f>
        <v>1002269</v>
      </c>
      <c r="BG144" s="293">
        <f>BF144</f>
        <v>1002269</v>
      </c>
      <c r="BH144" s="293">
        <f t="shared" ref="BH144" si="3135">BG144</f>
        <v>1002269</v>
      </c>
      <c r="BI144" s="293">
        <f t="shared" ref="BI144" si="3136">BH144</f>
        <v>1002269</v>
      </c>
      <c r="BJ144" s="295">
        <f>ROUND(BI144*(1+取值表!$D$10),0)</f>
        <v>1095480</v>
      </c>
      <c r="BK144" s="293">
        <f t="shared" ref="BK144" si="3137">BJ144</f>
        <v>1095480</v>
      </c>
      <c r="BL144" s="293">
        <f t="shared" ref="BL144" si="3138">BK144</f>
        <v>1095480</v>
      </c>
      <c r="BM144" s="293">
        <f t="shared" ref="BM144" si="3139">BL144</f>
        <v>1095480</v>
      </c>
      <c r="BN144" s="295">
        <f>ROUND(BM144*(1+取值表!$D$10),0)</f>
        <v>1197360</v>
      </c>
      <c r="BO144" s="293">
        <f t="shared" ref="BO144" si="3140">BN144</f>
        <v>1197360</v>
      </c>
      <c r="BP144" s="293">
        <f t="shared" ref="BP144" si="3141">BO144</f>
        <v>1197360</v>
      </c>
      <c r="BQ144" s="293">
        <f t="shared" ref="BQ144" si="3142">BP144</f>
        <v>1197360</v>
      </c>
      <c r="BR144" s="295">
        <f>ROUND(BQ144*(1+取值表!$D$10),0)</f>
        <v>1308714</v>
      </c>
      <c r="BS144" s="293">
        <f t="shared" ref="BS144" si="3143">BR144</f>
        <v>1308714</v>
      </c>
      <c r="BT144" s="293">
        <f t="shared" ref="BT144" si="3144">BS144</f>
        <v>1308714</v>
      </c>
      <c r="BU144" s="293">
        <f t="shared" ref="BU144" si="3145">BT144</f>
        <v>1308714</v>
      </c>
      <c r="BV144" s="295">
        <f>ROUND(BU144*(1+取值表!$D$10),0)</f>
        <v>1430424</v>
      </c>
      <c r="BW144" s="293">
        <f t="shared" ref="BW144" si="3146">BV144</f>
        <v>1430424</v>
      </c>
      <c r="BX144" s="293">
        <f t="shared" ref="BX144" si="3147">BW144</f>
        <v>1430424</v>
      </c>
      <c r="BY144" s="293">
        <f t="shared" ref="BY144" si="3148">BX144</f>
        <v>1430424</v>
      </c>
      <c r="BZ144" s="295">
        <f>ROUND(BY144*(1+取值表!$D$10),0)</f>
        <v>1563453</v>
      </c>
      <c r="CA144" s="293">
        <f t="shared" ref="CA144" si="3149">BZ144</f>
        <v>1563453</v>
      </c>
      <c r="CB144" s="293">
        <f t="shared" ref="CB144" si="3150">CA144</f>
        <v>1563453</v>
      </c>
      <c r="CC144" s="293">
        <f t="shared" ref="CC144" si="3151">CB144</f>
        <v>1563453</v>
      </c>
      <c r="CD144" s="295">
        <f>ROUND(CC144*(1+取值表!$D$10),0)</f>
        <v>1708854</v>
      </c>
      <c r="CE144" s="293">
        <f t="shared" ref="CE144" si="3152">CD144</f>
        <v>1708854</v>
      </c>
      <c r="CF144" s="293">
        <f t="shared" ref="CF144" si="3153">CE144</f>
        <v>1708854</v>
      </c>
      <c r="CG144" s="293">
        <f t="shared" ref="CG144" si="3154">CF144</f>
        <v>1708854</v>
      </c>
      <c r="CH144" s="295">
        <f>ROUND(CG144*(1+取值表!$D$10),0)</f>
        <v>1867777</v>
      </c>
      <c r="CI144" s="293">
        <f>CH144</f>
        <v>1867777</v>
      </c>
      <c r="CJ144" s="293">
        <f t="shared" ref="CJ144" si="3155">CI144</f>
        <v>1867777</v>
      </c>
      <c r="CK144" s="293">
        <f t="shared" ref="CK144" si="3156">CJ144</f>
        <v>1867777</v>
      </c>
      <c r="CL144" s="295">
        <f>ROUND(CK144*(1+取值表!$D$10),0)</f>
        <v>2041480</v>
      </c>
      <c r="CM144" s="293">
        <f>CL144</f>
        <v>2041480</v>
      </c>
      <c r="CN144" s="293">
        <f t="shared" ref="CN144" si="3157">CM144</f>
        <v>2041480</v>
      </c>
      <c r="CO144" s="293">
        <f t="shared" ref="CO144" si="3158">CN144</f>
        <v>2041480</v>
      </c>
      <c r="CP144" s="293">
        <f t="shared" si="2858"/>
        <v>82223037</v>
      </c>
    </row>
    <row r="145" spans="1:94">
      <c r="A145" s="670"/>
      <c r="B145" s="645"/>
      <c r="C145" s="646"/>
      <c r="D145" s="647"/>
      <c r="E145" s="648"/>
      <c r="F145" s="642"/>
      <c r="G145" s="642"/>
      <c r="H145" s="643"/>
      <c r="I145" s="291"/>
      <c r="J145" s="295"/>
      <c r="K145" s="293"/>
      <c r="L145" s="293"/>
      <c r="M145" s="293"/>
      <c r="N145" s="293"/>
      <c r="O145" s="293"/>
      <c r="P145" s="293"/>
      <c r="Q145" s="293"/>
      <c r="R145" s="293"/>
      <c r="S145" s="293"/>
      <c r="T145" s="293"/>
      <c r="U145" s="293"/>
      <c r="V145" s="293"/>
      <c r="W145" s="293"/>
      <c r="X145" s="293"/>
      <c r="Y145" s="293"/>
      <c r="Z145" s="293"/>
      <c r="AA145" s="293"/>
      <c r="AB145" s="293"/>
      <c r="AC145" s="293"/>
      <c r="AD145" s="295"/>
      <c r="AE145" s="293"/>
      <c r="AF145" s="293"/>
      <c r="AG145" s="293"/>
      <c r="AH145" s="295"/>
      <c r="AI145" s="293"/>
      <c r="AJ145" s="293"/>
      <c r="AK145" s="293"/>
      <c r="AL145" s="295"/>
      <c r="AM145" s="293"/>
      <c r="AN145" s="293"/>
      <c r="AO145" s="293"/>
      <c r="AP145" s="295"/>
      <c r="AQ145" s="293"/>
      <c r="AR145" s="293"/>
      <c r="AS145" s="293"/>
      <c r="AT145" s="295"/>
      <c r="AU145" s="293"/>
      <c r="AV145" s="293"/>
      <c r="AW145" s="293"/>
      <c r="AX145" s="295"/>
      <c r="AY145" s="293"/>
      <c r="AZ145" s="293"/>
      <c r="BA145" s="293"/>
      <c r="BB145" s="295"/>
      <c r="BC145" s="293"/>
      <c r="BD145" s="293"/>
      <c r="BE145" s="293"/>
      <c r="BF145" s="295"/>
      <c r="BG145" s="293"/>
      <c r="BH145" s="293"/>
      <c r="BI145" s="293"/>
      <c r="BJ145" s="295"/>
      <c r="BK145" s="293"/>
      <c r="BL145" s="293"/>
      <c r="BM145" s="293"/>
      <c r="BN145" s="295"/>
      <c r="BO145" s="293"/>
      <c r="BP145" s="293"/>
      <c r="BQ145" s="293"/>
      <c r="BR145" s="295"/>
      <c r="BS145" s="293"/>
      <c r="BT145" s="293"/>
      <c r="BU145" s="293"/>
      <c r="BV145" s="295"/>
      <c r="BW145" s="293"/>
      <c r="BX145" s="293"/>
      <c r="BY145" s="293"/>
      <c r="BZ145" s="295"/>
      <c r="CA145" s="293"/>
      <c r="CB145" s="293"/>
      <c r="CC145" s="293"/>
      <c r="CD145" s="295"/>
      <c r="CE145" s="293"/>
      <c r="CF145" s="293"/>
      <c r="CG145" s="293"/>
      <c r="CH145" s="295"/>
      <c r="CI145" s="293"/>
      <c r="CJ145" s="293"/>
      <c r="CK145" s="293"/>
      <c r="CL145" s="295"/>
      <c r="CM145" s="293"/>
      <c r="CN145" s="293"/>
      <c r="CO145" s="293"/>
      <c r="CP145" s="293">
        <f t="shared" si="2858"/>
        <v>0</v>
      </c>
    </row>
    <row r="146" spans="1:94" ht="12" customHeight="1">
      <c r="A146" s="669">
        <v>73</v>
      </c>
      <c r="B146" s="645" t="s">
        <v>164</v>
      </c>
      <c r="C146" s="646" t="s">
        <v>165</v>
      </c>
      <c r="D146" s="647" t="s">
        <v>166</v>
      </c>
      <c r="E146" s="648" t="s">
        <v>455</v>
      </c>
      <c r="F146" s="642">
        <v>424</v>
      </c>
      <c r="G146" s="642">
        <f>AVERAGE(13.5,14,14.5)</f>
        <v>14</v>
      </c>
      <c r="H146" s="643">
        <f>F146*G146*365</f>
        <v>2166640</v>
      </c>
      <c r="I146" s="291">
        <v>531987.5</v>
      </c>
      <c r="J146" s="295">
        <f>K146</f>
        <v>522315</v>
      </c>
      <c r="K146" s="293">
        <f>ROUND(13.5*365*F146/4,0)</f>
        <v>522315</v>
      </c>
      <c r="L146" s="293">
        <f>M146</f>
        <v>541660</v>
      </c>
      <c r="M146" s="293">
        <f>N146</f>
        <v>541660</v>
      </c>
      <c r="N146" s="293">
        <f>O146</f>
        <v>541660</v>
      </c>
      <c r="O146" s="293">
        <f>ROUND(14*365*F146/4,0)</f>
        <v>541660</v>
      </c>
      <c r="P146" s="293">
        <f>Q146</f>
        <v>561005</v>
      </c>
      <c r="Q146" s="293">
        <f>R146</f>
        <v>561005</v>
      </c>
      <c r="R146" s="293">
        <f>S146</f>
        <v>561005</v>
      </c>
      <c r="S146" s="292">
        <f>ROUND(14.5*365*F146/4,0)</f>
        <v>561005</v>
      </c>
      <c r="T146" s="293">
        <f>S146</f>
        <v>561005</v>
      </c>
      <c r="U146" s="293">
        <f>T146</f>
        <v>561005</v>
      </c>
      <c r="V146" s="293">
        <f>ROUND(U146*(1+取值表!$D$10)*取值表!$I$10,0)</f>
        <v>577001</v>
      </c>
      <c r="W146" s="293">
        <f>V146</f>
        <v>577001</v>
      </c>
      <c r="X146" s="293">
        <f>W146</f>
        <v>577001</v>
      </c>
      <c r="Y146" s="293">
        <f>X146</f>
        <v>577001</v>
      </c>
      <c r="Z146" s="294">
        <f>ROUND(Y146*(1+取值表!$D$10),0)</f>
        <v>630662</v>
      </c>
      <c r="AA146" s="293">
        <f t="shared" ref="AA146:AB146" si="3159">Z146</f>
        <v>630662</v>
      </c>
      <c r="AB146" s="293">
        <f t="shared" si="3159"/>
        <v>630662</v>
      </c>
      <c r="AC146" s="293">
        <f>AB146</f>
        <v>630662</v>
      </c>
      <c r="AD146" s="295">
        <f>ROUND(AC146*(1+取值表!$D$8),0)</f>
        <v>689314</v>
      </c>
      <c r="AE146" s="293">
        <f t="shared" ref="AE146:AG146" si="3160">AD146</f>
        <v>689314</v>
      </c>
      <c r="AF146" s="293">
        <f t="shared" si="3160"/>
        <v>689314</v>
      </c>
      <c r="AG146" s="293">
        <f t="shared" si="3160"/>
        <v>689314</v>
      </c>
      <c r="AH146" s="295">
        <f>ROUND(AG146*(1+取值表!$D$8),0)</f>
        <v>753420</v>
      </c>
      <c r="AI146" s="293">
        <f t="shared" ref="AI146" si="3161">AH146</f>
        <v>753420</v>
      </c>
      <c r="AJ146" s="293">
        <f t="shared" ref="AJ146" si="3162">AI146</f>
        <v>753420</v>
      </c>
      <c r="AK146" s="293">
        <f t="shared" ref="AK146" si="3163">AJ146</f>
        <v>753420</v>
      </c>
      <c r="AL146" s="295">
        <f>ROUND(AK146*(1+取值表!$D$8),0)</f>
        <v>823488</v>
      </c>
      <c r="AM146" s="293">
        <f t="shared" ref="AM146" si="3164">AL146</f>
        <v>823488</v>
      </c>
      <c r="AN146" s="293">
        <f t="shared" ref="AN146" si="3165">AM146</f>
        <v>823488</v>
      </c>
      <c r="AO146" s="293">
        <f t="shared" ref="AO146" si="3166">AN146</f>
        <v>823488</v>
      </c>
      <c r="AP146" s="295">
        <f>ROUND(AO146*(1+取值表!$D$8),0)</f>
        <v>900072</v>
      </c>
      <c r="AQ146" s="293">
        <f t="shared" ref="AQ146" si="3167">AP146</f>
        <v>900072</v>
      </c>
      <c r="AR146" s="293">
        <f t="shared" ref="AR146" si="3168">AQ146</f>
        <v>900072</v>
      </c>
      <c r="AS146" s="293">
        <f t="shared" ref="AS146" si="3169">AR146</f>
        <v>900072</v>
      </c>
      <c r="AT146" s="295">
        <f>ROUND(AS146*(1+取值表!$D$8),0)</f>
        <v>983779</v>
      </c>
      <c r="AU146" s="293">
        <f t="shared" ref="AU146" si="3170">AT146</f>
        <v>983779</v>
      </c>
      <c r="AV146" s="293">
        <f t="shared" ref="AV146" si="3171">AU146</f>
        <v>983779</v>
      </c>
      <c r="AW146" s="293">
        <f t="shared" ref="AW146" si="3172">AV146</f>
        <v>983779</v>
      </c>
      <c r="AX146" s="295">
        <f>ROUND(AW146*(1+取值表!$D$8),0)</f>
        <v>1075270</v>
      </c>
      <c r="AY146" s="293">
        <f t="shared" ref="AY146" si="3173">AX146</f>
        <v>1075270</v>
      </c>
      <c r="AZ146" s="293">
        <f t="shared" ref="AZ146" si="3174">AY146</f>
        <v>1075270</v>
      </c>
      <c r="BA146" s="293">
        <f t="shared" ref="BA146" si="3175">AZ146</f>
        <v>1075270</v>
      </c>
      <c r="BB146" s="295">
        <f>ROUND(BA146*(1+取值表!$D$8),0)</f>
        <v>1175270</v>
      </c>
      <c r="BC146" s="293">
        <f>BB146</f>
        <v>1175270</v>
      </c>
      <c r="BD146" s="293">
        <f t="shared" ref="BD146" si="3176">BC146</f>
        <v>1175270</v>
      </c>
      <c r="BE146" s="293">
        <f>BD146</f>
        <v>1175270</v>
      </c>
      <c r="BF146" s="295">
        <f>ROUND(BE146*(1+取值表!$D$8),0)</f>
        <v>1284570</v>
      </c>
      <c r="BG146" s="293">
        <f>BF146</f>
        <v>1284570</v>
      </c>
      <c r="BH146" s="293">
        <f t="shared" ref="BH146" si="3177">BG146</f>
        <v>1284570</v>
      </c>
      <c r="BI146" s="293">
        <f t="shared" ref="BI146" si="3178">BH146</f>
        <v>1284570</v>
      </c>
      <c r="BJ146" s="295">
        <f>ROUND(BI146*(1+取值表!$D$8),0)</f>
        <v>1404035</v>
      </c>
      <c r="BK146" s="293">
        <f t="shared" ref="BK146" si="3179">BJ146</f>
        <v>1404035</v>
      </c>
      <c r="BL146" s="293">
        <f t="shared" ref="BL146" si="3180">BK146</f>
        <v>1404035</v>
      </c>
      <c r="BM146" s="293">
        <f t="shared" ref="BM146" si="3181">BL146</f>
        <v>1404035</v>
      </c>
      <c r="BN146" s="295">
        <f>ROUND(BM146*(1+取值表!$D$8),0)</f>
        <v>1534610</v>
      </c>
      <c r="BO146" s="293">
        <f t="shared" ref="BO146" si="3182">BN146</f>
        <v>1534610</v>
      </c>
      <c r="BP146" s="293">
        <f t="shared" ref="BP146" si="3183">BO146</f>
        <v>1534610</v>
      </c>
      <c r="BQ146" s="293">
        <f t="shared" ref="BQ146" si="3184">BP146</f>
        <v>1534610</v>
      </c>
      <c r="BR146" s="295">
        <f>ROUND(BQ146*(1+取值表!$D$8),0)</f>
        <v>1677329</v>
      </c>
      <c r="BS146" s="293">
        <f t="shared" ref="BS146" si="3185">BR146</f>
        <v>1677329</v>
      </c>
      <c r="BT146" s="293">
        <f t="shared" ref="BT146" si="3186">BS146</f>
        <v>1677329</v>
      </c>
      <c r="BU146" s="293">
        <f t="shared" ref="BU146" si="3187">BT146</f>
        <v>1677329</v>
      </c>
      <c r="BV146" s="295">
        <f>ROUND(BU146*(1+取值表!$D$8),0)</f>
        <v>1833321</v>
      </c>
      <c r="BW146" s="293">
        <f t="shared" ref="BW146" si="3188">BV146</f>
        <v>1833321</v>
      </c>
      <c r="BX146" s="293">
        <f t="shared" ref="BX146" si="3189">BW146</f>
        <v>1833321</v>
      </c>
      <c r="BY146" s="293">
        <f t="shared" ref="BY146" si="3190">BX146</f>
        <v>1833321</v>
      </c>
      <c r="BZ146" s="295">
        <f>ROUND(BY146*(1+取值表!$D$8),0)</f>
        <v>2003820</v>
      </c>
      <c r="CA146" s="293">
        <f t="shared" ref="CA146" si="3191">BZ146</f>
        <v>2003820</v>
      </c>
      <c r="CB146" s="293">
        <f t="shared" ref="CB146" si="3192">CA146</f>
        <v>2003820</v>
      </c>
      <c r="CC146" s="293">
        <f t="shared" ref="CC146" si="3193">CB146</f>
        <v>2003820</v>
      </c>
      <c r="CD146" s="295">
        <f>ROUND(CC146*(1+取值表!$D$8),0)</f>
        <v>2190175</v>
      </c>
      <c r="CE146" s="293">
        <f t="shared" ref="CE146" si="3194">CD146</f>
        <v>2190175</v>
      </c>
      <c r="CF146" s="293">
        <f t="shared" ref="CF146" si="3195">CE146</f>
        <v>2190175</v>
      </c>
      <c r="CG146" s="293">
        <f t="shared" ref="CG146" si="3196">CF146</f>
        <v>2190175</v>
      </c>
      <c r="CH146" s="295">
        <f>ROUND(CG146*(1+取值表!$D$8),0)</f>
        <v>2393861</v>
      </c>
      <c r="CI146" s="293">
        <f>CH146</f>
        <v>2393861</v>
      </c>
      <c r="CJ146" s="293">
        <f t="shared" ref="CJ146" si="3197">CI146</f>
        <v>2393861</v>
      </c>
      <c r="CK146" s="293">
        <f t="shared" ref="CK146" si="3198">CJ146</f>
        <v>2393861</v>
      </c>
      <c r="CL146" s="295">
        <f>ROUND(CK146*(1+取值表!$D$8),0)</f>
        <v>2616490</v>
      </c>
      <c r="CM146" s="293">
        <f>CL146</f>
        <v>2616490</v>
      </c>
      <c r="CN146" s="293">
        <f t="shared" ref="CN146" si="3199">CM146</f>
        <v>2616490</v>
      </c>
      <c r="CO146" s="293">
        <f t="shared" ref="CO146" si="3200">CN146</f>
        <v>2616490</v>
      </c>
      <c r="CP146" s="293">
        <f t="shared" si="2858"/>
        <v>104763248</v>
      </c>
    </row>
    <row r="147" spans="1:94">
      <c r="A147" s="670"/>
      <c r="B147" s="645"/>
      <c r="C147" s="646"/>
      <c r="D147" s="647"/>
      <c r="E147" s="648"/>
      <c r="F147" s="642"/>
      <c r="G147" s="642"/>
      <c r="H147" s="643"/>
      <c r="I147" s="291">
        <v>0</v>
      </c>
      <c r="J147" s="295"/>
      <c r="K147" s="293"/>
      <c r="L147" s="293"/>
      <c r="M147" s="293"/>
      <c r="N147" s="293"/>
      <c r="O147" s="293"/>
      <c r="P147" s="293"/>
      <c r="Q147" s="293"/>
      <c r="R147" s="293"/>
      <c r="S147" s="293"/>
      <c r="T147" s="293"/>
      <c r="U147" s="293"/>
      <c r="V147" s="293"/>
      <c r="W147" s="293"/>
      <c r="X147" s="293"/>
      <c r="Y147" s="293"/>
      <c r="Z147" s="293"/>
      <c r="AA147" s="293"/>
      <c r="AB147" s="293"/>
      <c r="AC147" s="293"/>
      <c r="AD147" s="293"/>
      <c r="AE147" s="293"/>
      <c r="AF147" s="293"/>
      <c r="AG147" s="293"/>
      <c r="AH147" s="293"/>
      <c r="AI147" s="293"/>
      <c r="AJ147" s="293"/>
      <c r="AK147" s="293"/>
      <c r="AL147" s="293"/>
      <c r="AM147" s="293"/>
      <c r="AN147" s="293"/>
      <c r="AO147" s="293"/>
      <c r="AP147" s="293"/>
      <c r="AQ147" s="293"/>
      <c r="AR147" s="293"/>
      <c r="AS147" s="293"/>
      <c r="AT147" s="293"/>
      <c r="AU147" s="293"/>
      <c r="AV147" s="293"/>
      <c r="AW147" s="293"/>
      <c r="AX147" s="293"/>
      <c r="AY147" s="293"/>
      <c r="AZ147" s="293"/>
      <c r="BA147" s="293"/>
      <c r="BB147" s="293"/>
      <c r="BC147" s="293"/>
      <c r="BD147" s="293"/>
      <c r="BE147" s="293"/>
      <c r="BF147" s="293"/>
      <c r="BG147" s="293"/>
      <c r="BH147" s="293"/>
      <c r="BI147" s="293"/>
      <c r="BJ147" s="293"/>
      <c r="BK147" s="293"/>
      <c r="BL147" s="293"/>
      <c r="BM147" s="293"/>
      <c r="BN147" s="293"/>
      <c r="BO147" s="293"/>
      <c r="BP147" s="293"/>
      <c r="BQ147" s="293"/>
      <c r="BR147" s="293"/>
      <c r="BS147" s="293"/>
      <c r="BT147" s="293"/>
      <c r="BU147" s="293"/>
      <c r="BV147" s="293"/>
      <c r="BW147" s="293"/>
      <c r="BX147" s="293"/>
      <c r="BY147" s="293"/>
      <c r="BZ147" s="293"/>
      <c r="CA147" s="293"/>
      <c r="CB147" s="293"/>
      <c r="CC147" s="293"/>
      <c r="CD147" s="293"/>
      <c r="CE147" s="293"/>
      <c r="CF147" s="293"/>
      <c r="CG147" s="293"/>
      <c r="CH147" s="293"/>
      <c r="CI147" s="293"/>
      <c r="CJ147" s="293"/>
      <c r="CK147" s="293"/>
      <c r="CL147" s="293"/>
      <c r="CM147" s="293"/>
      <c r="CN147" s="293"/>
      <c r="CO147" s="293"/>
      <c r="CP147" s="293">
        <f t="shared" si="2858"/>
        <v>0</v>
      </c>
    </row>
    <row r="148" spans="1:94" ht="12" customHeight="1">
      <c r="A148" s="669">
        <v>74</v>
      </c>
      <c r="B148" s="645" t="s">
        <v>167</v>
      </c>
      <c r="C148" s="646" t="s">
        <v>29</v>
      </c>
      <c r="D148" s="647" t="s">
        <v>476</v>
      </c>
      <c r="E148" s="648" t="s">
        <v>455</v>
      </c>
      <c r="F148" s="642">
        <v>447</v>
      </c>
      <c r="G148" s="642">
        <f>AVERAGE(11,12,13)</f>
        <v>12</v>
      </c>
      <c r="H148" s="643">
        <f>F148*G148*365</f>
        <v>1957860</v>
      </c>
      <c r="I148" s="291">
        <v>489465</v>
      </c>
      <c r="J148" s="295">
        <f>K148</f>
        <v>448676</v>
      </c>
      <c r="K148" s="293">
        <f>ROUND(11*365*F148/4,0)</f>
        <v>448676</v>
      </c>
      <c r="L148" s="293">
        <f>M148</f>
        <v>489465</v>
      </c>
      <c r="M148" s="293">
        <f>N148</f>
        <v>489465</v>
      </c>
      <c r="N148" s="293">
        <f>O148</f>
        <v>489465</v>
      </c>
      <c r="O148" s="293">
        <f>ROUND(12*365*F148/4,0)</f>
        <v>489465</v>
      </c>
      <c r="P148" s="293">
        <f>Q148</f>
        <v>530254</v>
      </c>
      <c r="Q148" s="293">
        <f>R148</f>
        <v>530254</v>
      </c>
      <c r="R148" s="293">
        <f>S148</f>
        <v>530254</v>
      </c>
      <c r="S148" s="292">
        <f>ROUND(13*365*F148/4,0)</f>
        <v>530254</v>
      </c>
      <c r="T148" s="293">
        <f>S148</f>
        <v>530254</v>
      </c>
      <c r="U148" s="293">
        <f>T148</f>
        <v>530254</v>
      </c>
      <c r="V148" s="293">
        <f>ROUND(U148*(1+取值表!$D$10)*取值表!$I$10,0)</f>
        <v>545373</v>
      </c>
      <c r="W148" s="293">
        <f>V148</f>
        <v>545373</v>
      </c>
      <c r="X148" s="293">
        <f>W148</f>
        <v>545373</v>
      </c>
      <c r="Y148" s="293">
        <f>X148</f>
        <v>545373</v>
      </c>
      <c r="Z148" s="294">
        <f>ROUND(Y148*(1+取值表!$D$10),0)</f>
        <v>596093</v>
      </c>
      <c r="AA148" s="293">
        <f t="shared" ref="AA148:AB148" si="3201">Z148</f>
        <v>596093</v>
      </c>
      <c r="AB148" s="293">
        <f t="shared" si="3201"/>
        <v>596093</v>
      </c>
      <c r="AC148" s="293">
        <f>AB148</f>
        <v>596093</v>
      </c>
      <c r="AD148" s="295">
        <f>ROUND(AC148*(1+取值表!$D$8),0)</f>
        <v>651530</v>
      </c>
      <c r="AE148" s="293">
        <f t="shared" ref="AE148:AG148" si="3202">AD148</f>
        <v>651530</v>
      </c>
      <c r="AF148" s="293">
        <f t="shared" si="3202"/>
        <v>651530</v>
      </c>
      <c r="AG148" s="293">
        <f t="shared" si="3202"/>
        <v>651530</v>
      </c>
      <c r="AH148" s="295">
        <f>ROUND(AG148*(1+取值表!$D$8),0)</f>
        <v>712122</v>
      </c>
      <c r="AI148" s="293">
        <f t="shared" ref="AI148" si="3203">AH148</f>
        <v>712122</v>
      </c>
      <c r="AJ148" s="293">
        <f t="shared" ref="AJ148" si="3204">AI148</f>
        <v>712122</v>
      </c>
      <c r="AK148" s="293">
        <f t="shared" ref="AK148" si="3205">AJ148</f>
        <v>712122</v>
      </c>
      <c r="AL148" s="295">
        <f>ROUND(AK148*(1+取值表!$D$8),0)</f>
        <v>778349</v>
      </c>
      <c r="AM148" s="293">
        <f t="shared" ref="AM148" si="3206">AL148</f>
        <v>778349</v>
      </c>
      <c r="AN148" s="293">
        <f t="shared" ref="AN148" si="3207">AM148</f>
        <v>778349</v>
      </c>
      <c r="AO148" s="293">
        <f t="shared" ref="AO148" si="3208">AN148</f>
        <v>778349</v>
      </c>
      <c r="AP148" s="295">
        <f>ROUND(AO148*(1+取值表!$D$8),0)</f>
        <v>850735</v>
      </c>
      <c r="AQ148" s="293">
        <f t="shared" ref="AQ148" si="3209">AP148</f>
        <v>850735</v>
      </c>
      <c r="AR148" s="293">
        <f t="shared" ref="AR148" si="3210">AQ148</f>
        <v>850735</v>
      </c>
      <c r="AS148" s="293">
        <f t="shared" ref="AS148" si="3211">AR148</f>
        <v>850735</v>
      </c>
      <c r="AT148" s="295">
        <f>ROUND(AS148*(1+取值表!$D$8),0)</f>
        <v>929853</v>
      </c>
      <c r="AU148" s="293">
        <f t="shared" ref="AU148" si="3212">AT148</f>
        <v>929853</v>
      </c>
      <c r="AV148" s="293">
        <f t="shared" ref="AV148" si="3213">AU148</f>
        <v>929853</v>
      </c>
      <c r="AW148" s="293">
        <f t="shared" ref="AW148" si="3214">AV148</f>
        <v>929853</v>
      </c>
      <c r="AX148" s="295">
        <f>ROUND(AW148*(1+取值表!$D$8),0)</f>
        <v>1016329</v>
      </c>
      <c r="AY148" s="293">
        <f t="shared" ref="AY148" si="3215">AX148</f>
        <v>1016329</v>
      </c>
      <c r="AZ148" s="293">
        <f t="shared" ref="AZ148" si="3216">AY148</f>
        <v>1016329</v>
      </c>
      <c r="BA148" s="293">
        <f t="shared" ref="BA148" si="3217">AZ148</f>
        <v>1016329</v>
      </c>
      <c r="BB148" s="295">
        <f>ROUND(BA148*(1+取值表!$D$8),0)</f>
        <v>1110848</v>
      </c>
      <c r="BC148" s="293">
        <f>BB148</f>
        <v>1110848</v>
      </c>
      <c r="BD148" s="293">
        <f t="shared" ref="BD148" si="3218">BC148</f>
        <v>1110848</v>
      </c>
      <c r="BE148" s="293">
        <f>BD148</f>
        <v>1110848</v>
      </c>
      <c r="BF148" s="295">
        <f>ROUND(BE148*(1+取值表!$D$8),0)</f>
        <v>1214157</v>
      </c>
      <c r="BG148" s="293">
        <f>BF148</f>
        <v>1214157</v>
      </c>
      <c r="BH148" s="293">
        <f t="shared" ref="BH148" si="3219">BG148</f>
        <v>1214157</v>
      </c>
      <c r="BI148" s="293">
        <f t="shared" ref="BI148" si="3220">BH148</f>
        <v>1214157</v>
      </c>
      <c r="BJ148" s="295">
        <f>ROUND(BI148*(1+取值表!$D$8),0)</f>
        <v>1327074</v>
      </c>
      <c r="BK148" s="293">
        <f t="shared" ref="BK148" si="3221">BJ148</f>
        <v>1327074</v>
      </c>
      <c r="BL148" s="293">
        <f t="shared" ref="BL148" si="3222">BK148</f>
        <v>1327074</v>
      </c>
      <c r="BM148" s="293">
        <f t="shared" ref="BM148" si="3223">BL148</f>
        <v>1327074</v>
      </c>
      <c r="BN148" s="295">
        <f>ROUND(BM148*(1+取值表!$D$8),0)</f>
        <v>1450492</v>
      </c>
      <c r="BO148" s="293">
        <f t="shared" ref="BO148" si="3224">BN148</f>
        <v>1450492</v>
      </c>
      <c r="BP148" s="293">
        <f t="shared" ref="BP148" si="3225">BO148</f>
        <v>1450492</v>
      </c>
      <c r="BQ148" s="293">
        <f t="shared" ref="BQ148" si="3226">BP148</f>
        <v>1450492</v>
      </c>
      <c r="BR148" s="295">
        <f>ROUND(BQ148*(1+取值表!$D$8),0)</f>
        <v>1585388</v>
      </c>
      <c r="BS148" s="293">
        <f t="shared" ref="BS148" si="3227">BR148</f>
        <v>1585388</v>
      </c>
      <c r="BT148" s="293">
        <f t="shared" ref="BT148" si="3228">BS148</f>
        <v>1585388</v>
      </c>
      <c r="BU148" s="293">
        <f t="shared" ref="BU148" si="3229">BT148</f>
        <v>1585388</v>
      </c>
      <c r="BV148" s="295">
        <f>ROUND(BU148*(1+取值表!$D$8),0)</f>
        <v>1732829</v>
      </c>
      <c r="BW148" s="293">
        <f t="shared" ref="BW148" si="3230">BV148</f>
        <v>1732829</v>
      </c>
      <c r="BX148" s="293">
        <f t="shared" ref="BX148" si="3231">BW148</f>
        <v>1732829</v>
      </c>
      <c r="BY148" s="293">
        <f t="shared" ref="BY148" si="3232">BX148</f>
        <v>1732829</v>
      </c>
      <c r="BZ148" s="295">
        <f>ROUND(BY148*(1+取值表!$D$8),0)</f>
        <v>1893982</v>
      </c>
      <c r="CA148" s="293">
        <f t="shared" ref="CA148" si="3233">BZ148</f>
        <v>1893982</v>
      </c>
      <c r="CB148" s="293">
        <f t="shared" ref="CB148" si="3234">CA148</f>
        <v>1893982</v>
      </c>
      <c r="CC148" s="293">
        <f t="shared" ref="CC148" si="3235">CB148</f>
        <v>1893982</v>
      </c>
      <c r="CD148" s="295">
        <f>ROUND(CC148*(1+取值表!$D$8),0)</f>
        <v>2070122</v>
      </c>
      <c r="CE148" s="293">
        <f t="shared" ref="CE148" si="3236">CD148</f>
        <v>2070122</v>
      </c>
      <c r="CF148" s="293">
        <f t="shared" ref="CF148" si="3237">CE148</f>
        <v>2070122</v>
      </c>
      <c r="CG148" s="293">
        <f t="shared" ref="CG148" si="3238">CF148</f>
        <v>2070122</v>
      </c>
      <c r="CH148" s="295">
        <f>ROUND(CG148*(1+取值表!$D$8),0)</f>
        <v>2262643</v>
      </c>
      <c r="CI148" s="293">
        <f>CH148</f>
        <v>2262643</v>
      </c>
      <c r="CJ148" s="293">
        <f t="shared" ref="CJ148" si="3239">CI148</f>
        <v>2262643</v>
      </c>
      <c r="CK148" s="293">
        <f t="shared" ref="CK148" si="3240">CJ148</f>
        <v>2262643</v>
      </c>
      <c r="CL148" s="295">
        <f>ROUND(CK148*(1+取值表!$D$8),0)</f>
        <v>2473069</v>
      </c>
      <c r="CM148" s="293">
        <f>CL148</f>
        <v>2473069</v>
      </c>
      <c r="CN148" s="293">
        <f t="shared" ref="CN148" si="3241">CM148</f>
        <v>2473069</v>
      </c>
      <c r="CO148" s="293">
        <f t="shared" ref="CO148" si="3242">CN148</f>
        <v>2473069</v>
      </c>
      <c r="CP148" s="293">
        <f t="shared" si="2858"/>
        <v>98840688</v>
      </c>
    </row>
    <row r="149" spans="1:94">
      <c r="A149" s="670"/>
      <c r="B149" s="645"/>
      <c r="C149" s="646"/>
      <c r="D149" s="647"/>
      <c r="E149" s="648"/>
      <c r="F149" s="642"/>
      <c r="G149" s="642"/>
      <c r="H149" s="643"/>
      <c r="I149" s="291"/>
      <c r="J149" s="295"/>
      <c r="K149" s="293"/>
      <c r="L149" s="293"/>
      <c r="M149" s="293"/>
      <c r="N149" s="293"/>
      <c r="O149" s="293"/>
      <c r="P149" s="293"/>
      <c r="Q149" s="293"/>
      <c r="R149" s="293"/>
      <c r="S149" s="293"/>
      <c r="T149" s="293"/>
      <c r="U149" s="293"/>
      <c r="V149" s="293"/>
      <c r="W149" s="293"/>
      <c r="X149" s="293"/>
      <c r="Y149" s="293"/>
      <c r="Z149" s="293"/>
      <c r="AA149" s="293"/>
      <c r="AB149" s="293"/>
      <c r="AC149" s="293"/>
      <c r="AD149" s="293"/>
      <c r="AE149" s="293"/>
      <c r="AF149" s="293"/>
      <c r="AG149" s="293"/>
      <c r="AH149" s="293"/>
      <c r="AI149" s="293"/>
      <c r="AJ149" s="293"/>
      <c r="AK149" s="293"/>
      <c r="AL149" s="293"/>
      <c r="AM149" s="293"/>
      <c r="AN149" s="293"/>
      <c r="AO149" s="293"/>
      <c r="AP149" s="293"/>
      <c r="AQ149" s="293"/>
      <c r="AR149" s="293"/>
      <c r="AS149" s="293"/>
      <c r="AT149" s="293"/>
      <c r="AU149" s="293"/>
      <c r="AV149" s="293"/>
      <c r="AW149" s="293"/>
      <c r="AX149" s="293"/>
      <c r="AY149" s="293"/>
      <c r="AZ149" s="293"/>
      <c r="BA149" s="293"/>
      <c r="BB149" s="293"/>
      <c r="BC149" s="293"/>
      <c r="BD149" s="293"/>
      <c r="BE149" s="293"/>
      <c r="BF149" s="293"/>
      <c r="BG149" s="293"/>
      <c r="BH149" s="293"/>
      <c r="BI149" s="293"/>
      <c r="BJ149" s="293"/>
      <c r="BK149" s="293"/>
      <c r="BL149" s="293"/>
      <c r="BM149" s="293"/>
      <c r="BN149" s="293"/>
      <c r="BO149" s="293"/>
      <c r="BP149" s="293"/>
      <c r="BQ149" s="293"/>
      <c r="BR149" s="293"/>
      <c r="BS149" s="293"/>
      <c r="BT149" s="293"/>
      <c r="BU149" s="293"/>
      <c r="BV149" s="293"/>
      <c r="BW149" s="293"/>
      <c r="BX149" s="293"/>
      <c r="BY149" s="293"/>
      <c r="BZ149" s="293"/>
      <c r="CA149" s="293"/>
      <c r="CB149" s="293"/>
      <c r="CC149" s="293"/>
      <c r="CD149" s="293"/>
      <c r="CE149" s="293"/>
      <c r="CF149" s="293"/>
      <c r="CG149" s="293"/>
      <c r="CH149" s="293"/>
      <c r="CI149" s="293"/>
      <c r="CJ149" s="293"/>
      <c r="CK149" s="293"/>
      <c r="CL149" s="293"/>
      <c r="CM149" s="293"/>
      <c r="CN149" s="293"/>
      <c r="CO149" s="293"/>
      <c r="CP149" s="293">
        <f t="shared" si="2858"/>
        <v>0</v>
      </c>
    </row>
    <row r="150" spans="1:94">
      <c r="A150" s="669">
        <v>75</v>
      </c>
      <c r="B150" s="645" t="s">
        <v>168</v>
      </c>
      <c r="C150" s="646" t="s">
        <v>169</v>
      </c>
      <c r="D150" s="647" t="s">
        <v>477</v>
      </c>
      <c r="E150" s="648" t="s">
        <v>455</v>
      </c>
      <c r="F150" s="642">
        <v>13</v>
      </c>
      <c r="G150" s="642">
        <v>30</v>
      </c>
      <c r="H150" s="643">
        <f>F150*G150*365</f>
        <v>142350</v>
      </c>
      <c r="I150" s="291">
        <v>35587.5</v>
      </c>
      <c r="J150" s="295">
        <f>ROUND(F150*G150*365/4,0)</f>
        <v>35588</v>
      </c>
      <c r="K150" s="293">
        <f>J150</f>
        <v>35588</v>
      </c>
      <c r="L150" s="292">
        <f>K150</f>
        <v>35588</v>
      </c>
      <c r="M150" s="293">
        <f>L150</f>
        <v>35588</v>
      </c>
      <c r="N150" s="293">
        <f>ROUND(M150*(1+取值表!$D$10)*取值表!$I$10,0)</f>
        <v>36603</v>
      </c>
      <c r="O150" s="293">
        <f>N150</f>
        <v>36603</v>
      </c>
      <c r="P150" s="293">
        <f>O150</f>
        <v>36603</v>
      </c>
      <c r="Q150" s="293">
        <f>P150</f>
        <v>36603</v>
      </c>
      <c r="R150" s="294">
        <f>ROUND(Q150*(1+取值表!$D$10),0)</f>
        <v>40007</v>
      </c>
      <c r="S150" s="293">
        <f t="shared" ref="S150:T150" si="3243">R150</f>
        <v>40007</v>
      </c>
      <c r="T150" s="293">
        <f t="shared" si="3243"/>
        <v>40007</v>
      </c>
      <c r="U150" s="293">
        <f>T150</f>
        <v>40007</v>
      </c>
      <c r="V150" s="295">
        <f>ROUND(U150*(1+取值表!$D$10),0)</f>
        <v>43728</v>
      </c>
      <c r="W150" s="293">
        <f t="shared" ref="W150:Y150" si="3244">V150</f>
        <v>43728</v>
      </c>
      <c r="X150" s="293">
        <f t="shared" si="3244"/>
        <v>43728</v>
      </c>
      <c r="Y150" s="293">
        <f t="shared" si="3244"/>
        <v>43728</v>
      </c>
      <c r="Z150" s="295">
        <f>ROUND(Y150*(1+取值表!$D$10),0)</f>
        <v>47795</v>
      </c>
      <c r="AA150" s="293">
        <f t="shared" ref="AA150" si="3245">Z150</f>
        <v>47795</v>
      </c>
      <c r="AB150" s="293">
        <f t="shared" ref="AB150" si="3246">AA150</f>
        <v>47795</v>
      </c>
      <c r="AC150" s="293">
        <f>AB150</f>
        <v>47795</v>
      </c>
      <c r="AD150" s="295">
        <f>ROUND(AC150*(1+取值表!$D$10),0)</f>
        <v>52240</v>
      </c>
      <c r="AE150" s="293">
        <f t="shared" ref="AE150" si="3247">AD150</f>
        <v>52240</v>
      </c>
      <c r="AF150" s="293">
        <f t="shared" ref="AF150" si="3248">AE150</f>
        <v>52240</v>
      </c>
      <c r="AG150" s="293">
        <f t="shared" ref="AG150" si="3249">AF150</f>
        <v>52240</v>
      </c>
      <c r="AH150" s="295">
        <f>ROUND(AG150*(1+取值表!$D$10),0)</f>
        <v>57098</v>
      </c>
      <c r="AI150" s="293">
        <f t="shared" ref="AI150" si="3250">AH150</f>
        <v>57098</v>
      </c>
      <c r="AJ150" s="293">
        <f t="shared" ref="AJ150" si="3251">AI150</f>
        <v>57098</v>
      </c>
      <c r="AK150" s="293">
        <f t="shared" ref="AK150" si="3252">AJ150</f>
        <v>57098</v>
      </c>
      <c r="AL150" s="295">
        <f>ROUND(AK150*(1+取值表!$D$10),0)</f>
        <v>62408</v>
      </c>
      <c r="AM150" s="293">
        <f t="shared" ref="AM150" si="3253">AL150</f>
        <v>62408</v>
      </c>
      <c r="AN150" s="293">
        <f t="shared" ref="AN150" si="3254">AM150</f>
        <v>62408</v>
      </c>
      <c r="AO150" s="293">
        <f t="shared" ref="AO150" si="3255">AN150</f>
        <v>62408</v>
      </c>
      <c r="AP150" s="295">
        <f>ROUND(AO150*(1+取值表!$D$10),0)</f>
        <v>68212</v>
      </c>
      <c r="AQ150" s="293">
        <f t="shared" ref="AQ150" si="3256">AP150</f>
        <v>68212</v>
      </c>
      <c r="AR150" s="293">
        <f t="shared" ref="AR150" si="3257">AQ150</f>
        <v>68212</v>
      </c>
      <c r="AS150" s="293">
        <f t="shared" ref="AS150" si="3258">AR150</f>
        <v>68212</v>
      </c>
      <c r="AT150" s="295">
        <f>ROUND(AS150*(1+取值表!$D$10),0)</f>
        <v>74556</v>
      </c>
      <c r="AU150" s="293">
        <f t="shared" ref="AU150" si="3259">AT150</f>
        <v>74556</v>
      </c>
      <c r="AV150" s="293">
        <f t="shared" ref="AV150" si="3260">AU150</f>
        <v>74556</v>
      </c>
      <c r="AW150" s="293">
        <f t="shared" ref="AW150" si="3261">AV150</f>
        <v>74556</v>
      </c>
      <c r="AX150" s="295">
        <f>ROUND(AW150*(1+取值表!$D$10),0)</f>
        <v>81490</v>
      </c>
      <c r="AY150" s="293">
        <f t="shared" ref="AY150" si="3262">AX150</f>
        <v>81490</v>
      </c>
      <c r="AZ150" s="293">
        <f t="shared" ref="AZ150" si="3263">AY150</f>
        <v>81490</v>
      </c>
      <c r="BA150" s="293">
        <f t="shared" ref="BA150" si="3264">AZ150</f>
        <v>81490</v>
      </c>
      <c r="BB150" s="295">
        <f>ROUND(BA150*(1+取值表!$D$10),0)</f>
        <v>89069</v>
      </c>
      <c r="BC150" s="293">
        <f>BB150</f>
        <v>89069</v>
      </c>
      <c r="BD150" s="293">
        <f t="shared" ref="BD150" si="3265">BC150</f>
        <v>89069</v>
      </c>
      <c r="BE150" s="293">
        <f>BD150</f>
        <v>89069</v>
      </c>
      <c r="BF150" s="295">
        <f>ROUND(BE150*(1+取值表!$D$10),0)</f>
        <v>97352</v>
      </c>
      <c r="BG150" s="293">
        <f>BF150</f>
        <v>97352</v>
      </c>
      <c r="BH150" s="293">
        <f t="shared" ref="BH150" si="3266">BG150</f>
        <v>97352</v>
      </c>
      <c r="BI150" s="293">
        <f t="shared" ref="BI150" si="3267">BH150</f>
        <v>97352</v>
      </c>
      <c r="BJ150" s="295">
        <f>ROUND(BI150*(1+取值表!$D$10),0)</f>
        <v>106406</v>
      </c>
      <c r="BK150" s="293">
        <f t="shared" ref="BK150" si="3268">BJ150</f>
        <v>106406</v>
      </c>
      <c r="BL150" s="293">
        <f t="shared" ref="BL150" si="3269">BK150</f>
        <v>106406</v>
      </c>
      <c r="BM150" s="293">
        <f t="shared" ref="BM150" si="3270">BL150</f>
        <v>106406</v>
      </c>
      <c r="BN150" s="295">
        <f>ROUND(BM150*(1+取值表!$D$10),0)</f>
        <v>116302</v>
      </c>
      <c r="BO150" s="293">
        <f t="shared" ref="BO150" si="3271">BN150</f>
        <v>116302</v>
      </c>
      <c r="BP150" s="293">
        <f t="shared" ref="BP150" si="3272">BO150</f>
        <v>116302</v>
      </c>
      <c r="BQ150" s="293">
        <f t="shared" ref="BQ150" si="3273">BP150</f>
        <v>116302</v>
      </c>
      <c r="BR150" s="295">
        <f>ROUND(BQ150*(1+取值表!$D$10),0)</f>
        <v>127118</v>
      </c>
      <c r="BS150" s="293">
        <f t="shared" ref="BS150" si="3274">BR150</f>
        <v>127118</v>
      </c>
      <c r="BT150" s="293">
        <f t="shared" ref="BT150" si="3275">BS150</f>
        <v>127118</v>
      </c>
      <c r="BU150" s="293">
        <f t="shared" ref="BU150" si="3276">BT150</f>
        <v>127118</v>
      </c>
      <c r="BV150" s="295">
        <f>ROUND(BU150*(1+取值表!$D$10),0)</f>
        <v>138940</v>
      </c>
      <c r="BW150" s="293">
        <f t="shared" ref="BW150" si="3277">BV150</f>
        <v>138940</v>
      </c>
      <c r="BX150" s="293">
        <f t="shared" ref="BX150" si="3278">BW150</f>
        <v>138940</v>
      </c>
      <c r="BY150" s="293">
        <f t="shared" ref="BY150" si="3279">BX150</f>
        <v>138940</v>
      </c>
      <c r="BZ150" s="295">
        <f>ROUND(BY150*(1+取值表!$D$10),0)</f>
        <v>151861</v>
      </c>
      <c r="CA150" s="293">
        <f t="shared" ref="CA150" si="3280">BZ150</f>
        <v>151861</v>
      </c>
      <c r="CB150" s="293">
        <f t="shared" ref="CB150" si="3281">CA150</f>
        <v>151861</v>
      </c>
      <c r="CC150" s="293">
        <f t="shared" ref="CC150" si="3282">CB150</f>
        <v>151861</v>
      </c>
      <c r="CD150" s="295">
        <f>ROUND(CC150*(1+取值表!$D$10),0)</f>
        <v>165984</v>
      </c>
      <c r="CE150" s="293">
        <f t="shared" ref="CE150" si="3283">CD150</f>
        <v>165984</v>
      </c>
      <c r="CF150" s="293">
        <f t="shared" ref="CF150" si="3284">CE150</f>
        <v>165984</v>
      </c>
      <c r="CG150" s="293">
        <f t="shared" ref="CG150" si="3285">CF150</f>
        <v>165984</v>
      </c>
      <c r="CH150" s="295">
        <f>ROUND(CG150*(1+取值表!$D$10),0)</f>
        <v>181421</v>
      </c>
      <c r="CI150" s="293">
        <f>CH150</f>
        <v>181421</v>
      </c>
      <c r="CJ150" s="293">
        <f t="shared" ref="CJ150" si="3286">CI150</f>
        <v>181421</v>
      </c>
      <c r="CK150" s="293">
        <f t="shared" ref="CK150" si="3287">CJ150</f>
        <v>181421</v>
      </c>
      <c r="CL150" s="295">
        <f>ROUND(CK150*(1+取值表!$D$10),0)</f>
        <v>198293</v>
      </c>
      <c r="CM150" s="293">
        <f>CL150</f>
        <v>198293</v>
      </c>
      <c r="CN150" s="293">
        <f t="shared" ref="CN150" si="3288">CM150</f>
        <v>198293</v>
      </c>
      <c r="CO150" s="293">
        <f t="shared" ref="CO150" si="3289">CN150</f>
        <v>198293</v>
      </c>
      <c r="CP150" s="293">
        <f t="shared" si="2858"/>
        <v>7889884</v>
      </c>
    </row>
    <row r="151" spans="1:94">
      <c r="A151" s="670"/>
      <c r="B151" s="645"/>
      <c r="C151" s="646"/>
      <c r="D151" s="647"/>
      <c r="E151" s="648"/>
      <c r="F151" s="642"/>
      <c r="G151" s="642"/>
      <c r="H151" s="643"/>
      <c r="I151" s="291"/>
      <c r="J151" s="295"/>
      <c r="K151" s="293"/>
      <c r="L151" s="293"/>
      <c r="M151" s="293"/>
      <c r="N151" s="293"/>
      <c r="O151" s="293"/>
      <c r="P151" s="293"/>
      <c r="Q151" s="293"/>
      <c r="R151" s="293"/>
      <c r="S151" s="293"/>
      <c r="T151" s="293"/>
      <c r="U151" s="293"/>
      <c r="V151" s="293"/>
      <c r="W151" s="293"/>
      <c r="X151" s="293"/>
      <c r="Y151" s="293"/>
      <c r="Z151" s="293"/>
      <c r="AA151" s="293"/>
      <c r="AB151" s="293"/>
      <c r="AC151" s="293"/>
      <c r="AD151" s="293"/>
      <c r="AE151" s="293"/>
      <c r="AF151" s="293"/>
      <c r="AG151" s="293"/>
      <c r="AH151" s="293"/>
      <c r="AI151" s="293"/>
      <c r="AJ151" s="293"/>
      <c r="AK151" s="293"/>
      <c r="AL151" s="293"/>
      <c r="AM151" s="293"/>
      <c r="AN151" s="293"/>
      <c r="AO151" s="293"/>
      <c r="AP151" s="293"/>
      <c r="AQ151" s="293"/>
      <c r="AR151" s="293"/>
      <c r="AS151" s="293"/>
      <c r="AT151" s="293"/>
      <c r="AU151" s="293"/>
      <c r="AV151" s="293"/>
      <c r="AW151" s="293"/>
      <c r="AX151" s="293"/>
      <c r="AY151" s="293"/>
      <c r="AZ151" s="293"/>
      <c r="BA151" s="293"/>
      <c r="BB151" s="293"/>
      <c r="BC151" s="293"/>
      <c r="BD151" s="293"/>
      <c r="BE151" s="293"/>
      <c r="BF151" s="293"/>
      <c r="BG151" s="293"/>
      <c r="BH151" s="293"/>
      <c r="BI151" s="293"/>
      <c r="BJ151" s="293"/>
      <c r="BK151" s="293"/>
      <c r="BL151" s="293"/>
      <c r="BM151" s="293"/>
      <c r="BN151" s="293"/>
      <c r="BO151" s="293"/>
      <c r="BP151" s="293"/>
      <c r="BQ151" s="293"/>
      <c r="BR151" s="293"/>
      <c r="BS151" s="293"/>
      <c r="BT151" s="293"/>
      <c r="BU151" s="293"/>
      <c r="BV151" s="293"/>
      <c r="BW151" s="293"/>
      <c r="BX151" s="293"/>
      <c r="BY151" s="293"/>
      <c r="BZ151" s="293"/>
      <c r="CA151" s="293"/>
      <c r="CB151" s="293"/>
      <c r="CC151" s="293"/>
      <c r="CD151" s="293"/>
      <c r="CE151" s="293"/>
      <c r="CF151" s="293"/>
      <c r="CG151" s="293"/>
      <c r="CH151" s="293"/>
      <c r="CI151" s="293"/>
      <c r="CJ151" s="293"/>
      <c r="CK151" s="293"/>
      <c r="CL151" s="293"/>
      <c r="CM151" s="293"/>
      <c r="CN151" s="293"/>
      <c r="CO151" s="293"/>
      <c r="CP151" s="293">
        <f t="shared" si="2858"/>
        <v>0</v>
      </c>
    </row>
    <row r="152" spans="1:94">
      <c r="A152" s="669">
        <v>76</v>
      </c>
      <c r="B152" s="645" t="s">
        <v>170</v>
      </c>
      <c r="C152" s="646" t="s">
        <v>171</v>
      </c>
      <c r="D152" s="647" t="s">
        <v>478</v>
      </c>
      <c r="E152" s="648" t="s">
        <v>455</v>
      </c>
      <c r="F152" s="642">
        <v>36</v>
      </c>
      <c r="G152" s="642">
        <v>35</v>
      </c>
      <c r="H152" s="643">
        <f>F152*G152*365</f>
        <v>459900</v>
      </c>
      <c r="I152" s="291">
        <v>114975</v>
      </c>
      <c r="J152" s="295">
        <f>ROUND(F152*G152*365/4,0)</f>
        <v>114975</v>
      </c>
      <c r="K152" s="292">
        <f>J152</f>
        <v>114975</v>
      </c>
      <c r="L152" s="293">
        <f>K152</f>
        <v>114975</v>
      </c>
      <c r="M152" s="293">
        <f>L152</f>
        <v>114975</v>
      </c>
      <c r="N152" s="293">
        <f>ROUND(M152*(1+取值表!$D$10)*取值表!$I$10,0)</f>
        <v>118253</v>
      </c>
      <c r="O152" s="293">
        <f>N152</f>
        <v>118253</v>
      </c>
      <c r="P152" s="293">
        <f>O152</f>
        <v>118253</v>
      </c>
      <c r="Q152" s="293">
        <f>P152</f>
        <v>118253</v>
      </c>
      <c r="R152" s="294">
        <f>ROUND(Q152*(1+取值表!$D$10),0)</f>
        <v>129251</v>
      </c>
      <c r="S152" s="293">
        <f t="shared" ref="S152:T152" si="3290">R152</f>
        <v>129251</v>
      </c>
      <c r="T152" s="293">
        <f t="shared" si="3290"/>
        <v>129251</v>
      </c>
      <c r="U152" s="293">
        <f>T152</f>
        <v>129251</v>
      </c>
      <c r="V152" s="295">
        <f>ROUND(U152*(1+取值表!$D$10),0)</f>
        <v>141271</v>
      </c>
      <c r="W152" s="293">
        <f t="shared" ref="W152:Y152" si="3291">V152</f>
        <v>141271</v>
      </c>
      <c r="X152" s="293">
        <f t="shared" si="3291"/>
        <v>141271</v>
      </c>
      <c r="Y152" s="293">
        <f t="shared" si="3291"/>
        <v>141271</v>
      </c>
      <c r="Z152" s="295">
        <f>ROUND(Y152*(1+取值表!$D$10),0)</f>
        <v>154409</v>
      </c>
      <c r="AA152" s="293">
        <f t="shared" ref="AA152" si="3292">Z152</f>
        <v>154409</v>
      </c>
      <c r="AB152" s="293">
        <f t="shared" ref="AB152" si="3293">AA152</f>
        <v>154409</v>
      </c>
      <c r="AC152" s="293">
        <f>AB152</f>
        <v>154409</v>
      </c>
      <c r="AD152" s="295">
        <f>ROUND(AC152*(1+取值表!$D$10),0)</f>
        <v>168769</v>
      </c>
      <c r="AE152" s="293">
        <f t="shared" ref="AE152" si="3294">AD152</f>
        <v>168769</v>
      </c>
      <c r="AF152" s="293">
        <f t="shared" ref="AF152" si="3295">AE152</f>
        <v>168769</v>
      </c>
      <c r="AG152" s="293">
        <f t="shared" ref="AG152" si="3296">AF152</f>
        <v>168769</v>
      </c>
      <c r="AH152" s="295">
        <f>ROUND(AG152*(1+取值表!$D$10),0)</f>
        <v>184465</v>
      </c>
      <c r="AI152" s="293">
        <f t="shared" ref="AI152" si="3297">AH152</f>
        <v>184465</v>
      </c>
      <c r="AJ152" s="293">
        <f t="shared" ref="AJ152" si="3298">AI152</f>
        <v>184465</v>
      </c>
      <c r="AK152" s="293">
        <f t="shared" ref="AK152" si="3299">AJ152</f>
        <v>184465</v>
      </c>
      <c r="AL152" s="295">
        <f>ROUND(AK152*(1+取值表!$D$10),0)</f>
        <v>201620</v>
      </c>
      <c r="AM152" s="293">
        <f t="shared" ref="AM152" si="3300">AL152</f>
        <v>201620</v>
      </c>
      <c r="AN152" s="293">
        <f t="shared" ref="AN152" si="3301">AM152</f>
        <v>201620</v>
      </c>
      <c r="AO152" s="293">
        <f t="shared" ref="AO152" si="3302">AN152</f>
        <v>201620</v>
      </c>
      <c r="AP152" s="295">
        <f>ROUND(AO152*(1+取值表!$D$10),0)</f>
        <v>220371</v>
      </c>
      <c r="AQ152" s="293">
        <f t="shared" ref="AQ152" si="3303">AP152</f>
        <v>220371</v>
      </c>
      <c r="AR152" s="293">
        <f t="shared" ref="AR152" si="3304">AQ152</f>
        <v>220371</v>
      </c>
      <c r="AS152" s="293">
        <f t="shared" ref="AS152" si="3305">AR152</f>
        <v>220371</v>
      </c>
      <c r="AT152" s="295">
        <f>ROUND(AS152*(1+取值表!$D$10),0)</f>
        <v>240866</v>
      </c>
      <c r="AU152" s="293">
        <f t="shared" ref="AU152" si="3306">AT152</f>
        <v>240866</v>
      </c>
      <c r="AV152" s="293">
        <f t="shared" ref="AV152" si="3307">AU152</f>
        <v>240866</v>
      </c>
      <c r="AW152" s="293">
        <f t="shared" ref="AW152" si="3308">AV152</f>
        <v>240866</v>
      </c>
      <c r="AX152" s="295">
        <f>ROUND(AW152*(1+取值表!$D$10),0)</f>
        <v>263267</v>
      </c>
      <c r="AY152" s="293">
        <f t="shared" ref="AY152" si="3309">AX152</f>
        <v>263267</v>
      </c>
      <c r="AZ152" s="293">
        <f t="shared" ref="AZ152" si="3310">AY152</f>
        <v>263267</v>
      </c>
      <c r="BA152" s="293">
        <f t="shared" ref="BA152" si="3311">AZ152</f>
        <v>263267</v>
      </c>
      <c r="BB152" s="295">
        <f>ROUND(BA152*(1+取值表!$D$10),0)</f>
        <v>287751</v>
      </c>
      <c r="BC152" s="293">
        <f>BB152</f>
        <v>287751</v>
      </c>
      <c r="BD152" s="293">
        <f t="shared" ref="BD152" si="3312">BC152</f>
        <v>287751</v>
      </c>
      <c r="BE152" s="293">
        <f>BD152</f>
        <v>287751</v>
      </c>
      <c r="BF152" s="295">
        <f>ROUND(BE152*(1+取值表!$D$10),0)</f>
        <v>314512</v>
      </c>
      <c r="BG152" s="293">
        <f>BF152</f>
        <v>314512</v>
      </c>
      <c r="BH152" s="293">
        <f t="shared" ref="BH152" si="3313">BG152</f>
        <v>314512</v>
      </c>
      <c r="BI152" s="293">
        <f t="shared" ref="BI152" si="3314">BH152</f>
        <v>314512</v>
      </c>
      <c r="BJ152" s="295">
        <f>ROUND(BI152*(1+取值表!$D$10),0)</f>
        <v>343762</v>
      </c>
      <c r="BK152" s="293">
        <f t="shared" ref="BK152" si="3315">BJ152</f>
        <v>343762</v>
      </c>
      <c r="BL152" s="293">
        <f t="shared" ref="BL152" si="3316">BK152</f>
        <v>343762</v>
      </c>
      <c r="BM152" s="293">
        <f t="shared" ref="BM152" si="3317">BL152</f>
        <v>343762</v>
      </c>
      <c r="BN152" s="295">
        <f>ROUND(BM152*(1+取值表!$D$10),0)</f>
        <v>375732</v>
      </c>
      <c r="BO152" s="293">
        <f t="shared" ref="BO152" si="3318">BN152</f>
        <v>375732</v>
      </c>
      <c r="BP152" s="293">
        <f t="shared" ref="BP152" si="3319">BO152</f>
        <v>375732</v>
      </c>
      <c r="BQ152" s="293">
        <f t="shared" ref="BQ152" si="3320">BP152</f>
        <v>375732</v>
      </c>
      <c r="BR152" s="295">
        <f>ROUND(BQ152*(1+取值表!$D$10),0)</f>
        <v>410675</v>
      </c>
      <c r="BS152" s="293">
        <f t="shared" ref="BS152" si="3321">BR152</f>
        <v>410675</v>
      </c>
      <c r="BT152" s="293">
        <f t="shared" ref="BT152" si="3322">BS152</f>
        <v>410675</v>
      </c>
      <c r="BU152" s="293">
        <f t="shared" ref="BU152" si="3323">BT152</f>
        <v>410675</v>
      </c>
      <c r="BV152" s="295">
        <f>ROUND(BU152*(1+取值表!$D$10),0)</f>
        <v>448868</v>
      </c>
      <c r="BW152" s="293">
        <f t="shared" ref="BW152" si="3324">BV152</f>
        <v>448868</v>
      </c>
      <c r="BX152" s="293">
        <f t="shared" ref="BX152" si="3325">BW152</f>
        <v>448868</v>
      </c>
      <c r="BY152" s="293">
        <f t="shared" ref="BY152" si="3326">BX152</f>
        <v>448868</v>
      </c>
      <c r="BZ152" s="295">
        <f>ROUND(BY152*(1+取值表!$D$10),0)</f>
        <v>490613</v>
      </c>
      <c r="CA152" s="293">
        <f t="shared" ref="CA152" si="3327">BZ152</f>
        <v>490613</v>
      </c>
      <c r="CB152" s="293">
        <f t="shared" ref="CB152" si="3328">CA152</f>
        <v>490613</v>
      </c>
      <c r="CC152" s="293">
        <f t="shared" ref="CC152" si="3329">CB152</f>
        <v>490613</v>
      </c>
      <c r="CD152" s="295">
        <f>ROUND(CC152*(1+取值表!$D$10),0)</f>
        <v>536240</v>
      </c>
      <c r="CE152" s="293">
        <f t="shared" ref="CE152" si="3330">CD152</f>
        <v>536240</v>
      </c>
      <c r="CF152" s="293">
        <f t="shared" ref="CF152" si="3331">CE152</f>
        <v>536240</v>
      </c>
      <c r="CG152" s="293">
        <f t="shared" ref="CG152" si="3332">CF152</f>
        <v>536240</v>
      </c>
      <c r="CH152" s="295">
        <f>ROUND(CG152*(1+取值表!$D$10),0)</f>
        <v>586110</v>
      </c>
      <c r="CI152" s="293">
        <f>CH152</f>
        <v>586110</v>
      </c>
      <c r="CJ152" s="293">
        <f t="shared" ref="CJ152" si="3333">CI152</f>
        <v>586110</v>
      </c>
      <c r="CK152" s="293">
        <f t="shared" ref="CK152" si="3334">CJ152</f>
        <v>586110</v>
      </c>
      <c r="CL152" s="295">
        <f>ROUND(CK152*(1+取值表!$D$10),0)</f>
        <v>640618</v>
      </c>
      <c r="CM152" s="293">
        <f>CL152</f>
        <v>640618</v>
      </c>
      <c r="CN152" s="293">
        <f t="shared" ref="CN152" si="3335">CM152</f>
        <v>640618</v>
      </c>
      <c r="CO152" s="293">
        <f t="shared" ref="CO152" si="3336">CN152</f>
        <v>640618</v>
      </c>
      <c r="CP152" s="293">
        <f t="shared" si="2858"/>
        <v>25489592</v>
      </c>
    </row>
    <row r="153" spans="1:94">
      <c r="A153" s="670"/>
      <c r="B153" s="645"/>
      <c r="C153" s="646"/>
      <c r="D153" s="647"/>
      <c r="E153" s="648"/>
      <c r="F153" s="642"/>
      <c r="G153" s="642"/>
      <c r="H153" s="643"/>
      <c r="I153" s="291"/>
      <c r="J153" s="295"/>
      <c r="K153" s="293"/>
      <c r="L153" s="293"/>
      <c r="M153" s="293"/>
      <c r="N153" s="293"/>
      <c r="O153" s="293"/>
      <c r="P153" s="293"/>
      <c r="Q153" s="293"/>
      <c r="R153" s="293"/>
      <c r="S153" s="293"/>
      <c r="T153" s="293"/>
      <c r="U153" s="293"/>
      <c r="V153" s="293"/>
      <c r="W153" s="293"/>
      <c r="X153" s="293"/>
      <c r="Y153" s="293"/>
      <c r="Z153" s="293"/>
      <c r="AA153" s="293"/>
      <c r="AB153" s="293"/>
      <c r="AC153" s="293"/>
      <c r="AD153" s="293"/>
      <c r="AE153" s="293"/>
      <c r="AF153" s="293"/>
      <c r="AG153" s="293"/>
      <c r="AH153" s="293"/>
      <c r="AI153" s="293"/>
      <c r="AJ153" s="293"/>
      <c r="AK153" s="293"/>
      <c r="AL153" s="293"/>
      <c r="AM153" s="293"/>
      <c r="AN153" s="293"/>
      <c r="AO153" s="293"/>
      <c r="AP153" s="293"/>
      <c r="AQ153" s="293"/>
      <c r="AR153" s="293"/>
      <c r="AS153" s="293"/>
      <c r="AT153" s="293"/>
      <c r="AU153" s="293"/>
      <c r="AV153" s="293"/>
      <c r="AW153" s="293"/>
      <c r="AX153" s="293"/>
      <c r="AY153" s="293"/>
      <c r="AZ153" s="293"/>
      <c r="BA153" s="293"/>
      <c r="BB153" s="293"/>
      <c r="BC153" s="293"/>
      <c r="BD153" s="293"/>
      <c r="BE153" s="293"/>
      <c r="BF153" s="293"/>
      <c r="BG153" s="293"/>
      <c r="BH153" s="293"/>
      <c r="BI153" s="293"/>
      <c r="BJ153" s="293"/>
      <c r="BK153" s="293"/>
      <c r="BL153" s="293"/>
      <c r="BM153" s="293"/>
      <c r="BN153" s="293"/>
      <c r="BO153" s="293"/>
      <c r="BP153" s="293"/>
      <c r="BQ153" s="293"/>
      <c r="BR153" s="293"/>
      <c r="BS153" s="293"/>
      <c r="BT153" s="293"/>
      <c r="BU153" s="293"/>
      <c r="BV153" s="293"/>
      <c r="BW153" s="293"/>
      <c r="BX153" s="293"/>
      <c r="BY153" s="293"/>
      <c r="BZ153" s="293"/>
      <c r="CA153" s="293"/>
      <c r="CB153" s="293"/>
      <c r="CC153" s="293"/>
      <c r="CD153" s="293"/>
      <c r="CE153" s="293"/>
      <c r="CF153" s="293"/>
      <c r="CG153" s="293"/>
      <c r="CH153" s="293"/>
      <c r="CI153" s="293"/>
      <c r="CJ153" s="293"/>
      <c r="CK153" s="293"/>
      <c r="CL153" s="293"/>
      <c r="CM153" s="293"/>
      <c r="CN153" s="293"/>
      <c r="CO153" s="293"/>
      <c r="CP153" s="293">
        <f t="shared" si="2858"/>
        <v>0</v>
      </c>
    </row>
    <row r="154" spans="1:94">
      <c r="A154" s="669">
        <v>77</v>
      </c>
      <c r="B154" s="645" t="s">
        <v>172</v>
      </c>
      <c r="C154" s="646" t="s">
        <v>731</v>
      </c>
      <c r="D154" s="647" t="s">
        <v>479</v>
      </c>
      <c r="E154" s="648" t="s">
        <v>455</v>
      </c>
      <c r="F154" s="642">
        <v>19.38</v>
      </c>
      <c r="G154" s="642">
        <v>34</v>
      </c>
      <c r="H154" s="643">
        <f>F154*G154*365</f>
        <v>240505.8</v>
      </c>
      <c r="I154" s="291">
        <v>58358.03</v>
      </c>
      <c r="J154" s="295">
        <f>ROUND(F154*G154*365/4,0)</f>
        <v>60126</v>
      </c>
      <c r="K154" s="292">
        <f>J154</f>
        <v>60126</v>
      </c>
      <c r="L154" s="293">
        <f>K154</f>
        <v>60126</v>
      </c>
      <c r="M154" s="293">
        <f>L154</f>
        <v>60126</v>
      </c>
      <c r="N154" s="293">
        <f>ROUND(M154*(1+取值表!$D$10)*取值表!$I$10,0)</f>
        <v>61840</v>
      </c>
      <c r="O154" s="293">
        <f>N154</f>
        <v>61840</v>
      </c>
      <c r="P154" s="293">
        <f>O154</f>
        <v>61840</v>
      </c>
      <c r="Q154" s="293">
        <f>P154</f>
        <v>61840</v>
      </c>
      <c r="R154" s="294">
        <f>ROUND(Q154*(1+取值表!$D$10),0)</f>
        <v>67591</v>
      </c>
      <c r="S154" s="293">
        <f t="shared" ref="S154:T154" si="3337">R154</f>
        <v>67591</v>
      </c>
      <c r="T154" s="293">
        <f t="shared" si="3337"/>
        <v>67591</v>
      </c>
      <c r="U154" s="293">
        <f>T154</f>
        <v>67591</v>
      </c>
      <c r="V154" s="295">
        <f>ROUND(U154*(1+取值表!$D$10),0)</f>
        <v>73877</v>
      </c>
      <c r="W154" s="293">
        <f t="shared" ref="W154:Y154" si="3338">V154</f>
        <v>73877</v>
      </c>
      <c r="X154" s="293">
        <f t="shared" si="3338"/>
        <v>73877</v>
      </c>
      <c r="Y154" s="293">
        <f t="shared" si="3338"/>
        <v>73877</v>
      </c>
      <c r="Z154" s="295">
        <f>ROUND(Y154*(1+取值表!$D$10),0)</f>
        <v>80748</v>
      </c>
      <c r="AA154" s="293">
        <f t="shared" ref="AA154" si="3339">Z154</f>
        <v>80748</v>
      </c>
      <c r="AB154" s="293">
        <f t="shared" ref="AB154" si="3340">AA154</f>
        <v>80748</v>
      </c>
      <c r="AC154" s="293">
        <f>AB154</f>
        <v>80748</v>
      </c>
      <c r="AD154" s="295">
        <f>ROUND(AC154*(1+取值表!$D$10),0)</f>
        <v>88258</v>
      </c>
      <c r="AE154" s="293">
        <f t="shared" ref="AE154" si="3341">AD154</f>
        <v>88258</v>
      </c>
      <c r="AF154" s="293">
        <f t="shared" ref="AF154" si="3342">AE154</f>
        <v>88258</v>
      </c>
      <c r="AG154" s="293">
        <f t="shared" ref="AG154" si="3343">AF154</f>
        <v>88258</v>
      </c>
      <c r="AH154" s="295">
        <f>ROUND(AG154*(1+取值表!$D$10),0)</f>
        <v>96466</v>
      </c>
      <c r="AI154" s="293">
        <f t="shared" ref="AI154" si="3344">AH154</f>
        <v>96466</v>
      </c>
      <c r="AJ154" s="293">
        <f t="shared" ref="AJ154" si="3345">AI154</f>
        <v>96466</v>
      </c>
      <c r="AK154" s="293">
        <f t="shared" ref="AK154" si="3346">AJ154</f>
        <v>96466</v>
      </c>
      <c r="AL154" s="295">
        <f>ROUND(AK154*(1+取值表!$D$10),0)</f>
        <v>105437</v>
      </c>
      <c r="AM154" s="293">
        <f t="shared" ref="AM154" si="3347">AL154</f>
        <v>105437</v>
      </c>
      <c r="AN154" s="293">
        <f t="shared" ref="AN154" si="3348">AM154</f>
        <v>105437</v>
      </c>
      <c r="AO154" s="293">
        <f t="shared" ref="AO154" si="3349">AN154</f>
        <v>105437</v>
      </c>
      <c r="AP154" s="295">
        <f>ROUND(AO154*(1+取值表!$D$10),0)</f>
        <v>115243</v>
      </c>
      <c r="AQ154" s="293">
        <f t="shared" ref="AQ154" si="3350">AP154</f>
        <v>115243</v>
      </c>
      <c r="AR154" s="293">
        <f t="shared" ref="AR154" si="3351">AQ154</f>
        <v>115243</v>
      </c>
      <c r="AS154" s="293">
        <f t="shared" ref="AS154" si="3352">AR154</f>
        <v>115243</v>
      </c>
      <c r="AT154" s="295">
        <f>ROUND(AS154*(1+取值表!$D$10),0)</f>
        <v>125961</v>
      </c>
      <c r="AU154" s="293">
        <f t="shared" ref="AU154" si="3353">AT154</f>
        <v>125961</v>
      </c>
      <c r="AV154" s="293">
        <f t="shared" ref="AV154" si="3354">AU154</f>
        <v>125961</v>
      </c>
      <c r="AW154" s="293">
        <f t="shared" ref="AW154" si="3355">AV154</f>
        <v>125961</v>
      </c>
      <c r="AX154" s="295">
        <f>ROUND(AW154*(1+取值表!$D$10),0)</f>
        <v>137675</v>
      </c>
      <c r="AY154" s="293">
        <f t="shared" ref="AY154" si="3356">AX154</f>
        <v>137675</v>
      </c>
      <c r="AZ154" s="293">
        <f t="shared" ref="AZ154" si="3357">AY154</f>
        <v>137675</v>
      </c>
      <c r="BA154" s="293">
        <f t="shared" ref="BA154" si="3358">AZ154</f>
        <v>137675</v>
      </c>
      <c r="BB154" s="295">
        <f>ROUND(BA154*(1+取值表!$D$10),0)</f>
        <v>150479</v>
      </c>
      <c r="BC154" s="293">
        <f>BB154</f>
        <v>150479</v>
      </c>
      <c r="BD154" s="293">
        <f t="shared" ref="BD154" si="3359">BC154</f>
        <v>150479</v>
      </c>
      <c r="BE154" s="293">
        <f>BD154</f>
        <v>150479</v>
      </c>
      <c r="BF154" s="295">
        <f>ROUND(BE154*(1+取值表!$D$10),0)</f>
        <v>164474</v>
      </c>
      <c r="BG154" s="293">
        <f>BF154</f>
        <v>164474</v>
      </c>
      <c r="BH154" s="293">
        <f t="shared" ref="BH154" si="3360">BG154</f>
        <v>164474</v>
      </c>
      <c r="BI154" s="293">
        <f t="shared" ref="BI154" si="3361">BH154</f>
        <v>164474</v>
      </c>
      <c r="BJ154" s="295">
        <f>ROUND(BI154*(1+取值表!$D$10),0)</f>
        <v>179770</v>
      </c>
      <c r="BK154" s="293">
        <f t="shared" ref="BK154" si="3362">BJ154</f>
        <v>179770</v>
      </c>
      <c r="BL154" s="293">
        <f t="shared" ref="BL154" si="3363">BK154</f>
        <v>179770</v>
      </c>
      <c r="BM154" s="293">
        <f t="shared" ref="BM154" si="3364">BL154</f>
        <v>179770</v>
      </c>
      <c r="BN154" s="295">
        <f>ROUND(BM154*(1+取值表!$D$10),0)</f>
        <v>196489</v>
      </c>
      <c r="BO154" s="293">
        <f t="shared" ref="BO154" si="3365">BN154</f>
        <v>196489</v>
      </c>
      <c r="BP154" s="293">
        <f t="shared" ref="BP154" si="3366">BO154</f>
        <v>196489</v>
      </c>
      <c r="BQ154" s="293">
        <f t="shared" ref="BQ154" si="3367">BP154</f>
        <v>196489</v>
      </c>
      <c r="BR154" s="295">
        <f>ROUND(BQ154*(1+取值表!$D$10),0)</f>
        <v>214762</v>
      </c>
      <c r="BS154" s="293">
        <f t="shared" ref="BS154" si="3368">BR154</f>
        <v>214762</v>
      </c>
      <c r="BT154" s="293">
        <f t="shared" ref="BT154" si="3369">BS154</f>
        <v>214762</v>
      </c>
      <c r="BU154" s="293">
        <f t="shared" ref="BU154" si="3370">BT154</f>
        <v>214762</v>
      </c>
      <c r="BV154" s="295">
        <f>ROUND(BU154*(1+取值表!$D$10),0)</f>
        <v>234735</v>
      </c>
      <c r="BW154" s="293">
        <f t="shared" ref="BW154" si="3371">BV154</f>
        <v>234735</v>
      </c>
      <c r="BX154" s="293">
        <f t="shared" ref="BX154" si="3372">BW154</f>
        <v>234735</v>
      </c>
      <c r="BY154" s="293">
        <f t="shared" ref="BY154" si="3373">BX154</f>
        <v>234735</v>
      </c>
      <c r="BZ154" s="295">
        <f>ROUND(BY154*(1+取值表!$D$10),0)</f>
        <v>256565</v>
      </c>
      <c r="CA154" s="293">
        <f t="shared" ref="CA154" si="3374">BZ154</f>
        <v>256565</v>
      </c>
      <c r="CB154" s="293">
        <f t="shared" ref="CB154" si="3375">CA154</f>
        <v>256565</v>
      </c>
      <c r="CC154" s="293">
        <f t="shared" ref="CC154" si="3376">CB154</f>
        <v>256565</v>
      </c>
      <c r="CD154" s="295">
        <f>ROUND(CC154*(1+取值表!$D$10),0)</f>
        <v>280426</v>
      </c>
      <c r="CE154" s="293">
        <f t="shared" ref="CE154" si="3377">CD154</f>
        <v>280426</v>
      </c>
      <c r="CF154" s="293">
        <f t="shared" ref="CF154" si="3378">CE154</f>
        <v>280426</v>
      </c>
      <c r="CG154" s="293">
        <f t="shared" ref="CG154" si="3379">CF154</f>
        <v>280426</v>
      </c>
      <c r="CH154" s="295">
        <f>ROUND(CG154*(1+取值表!$D$10),0)</f>
        <v>306506</v>
      </c>
      <c r="CI154" s="293">
        <f>CH154</f>
        <v>306506</v>
      </c>
      <c r="CJ154" s="293">
        <f t="shared" ref="CJ154" si="3380">CI154</f>
        <v>306506</v>
      </c>
      <c r="CK154" s="293">
        <f t="shared" ref="CK154" si="3381">CJ154</f>
        <v>306506</v>
      </c>
      <c r="CL154" s="295">
        <f>ROUND(CK154*(1+取值表!$D$10),0)</f>
        <v>335011</v>
      </c>
      <c r="CM154" s="293">
        <f>CL154</f>
        <v>335011</v>
      </c>
      <c r="CN154" s="293">
        <f t="shared" ref="CN154" si="3382">CM154</f>
        <v>335011</v>
      </c>
      <c r="CO154" s="293">
        <f t="shared" ref="CO154" si="3383">CN154</f>
        <v>335011</v>
      </c>
      <c r="CP154" s="293">
        <f t="shared" si="2858"/>
        <v>13329756</v>
      </c>
    </row>
    <row r="155" spans="1:94">
      <c r="A155" s="670"/>
      <c r="B155" s="645"/>
      <c r="C155" s="646"/>
      <c r="D155" s="647"/>
      <c r="E155" s="648"/>
      <c r="F155" s="642"/>
      <c r="G155" s="642"/>
      <c r="H155" s="643"/>
      <c r="I155" s="291"/>
      <c r="J155" s="295"/>
      <c r="K155" s="293"/>
      <c r="L155" s="293"/>
      <c r="M155" s="293"/>
      <c r="N155" s="293"/>
      <c r="O155" s="293"/>
      <c r="P155" s="293"/>
      <c r="Q155" s="293"/>
      <c r="R155" s="293"/>
      <c r="S155" s="293"/>
      <c r="T155" s="293"/>
      <c r="U155" s="293"/>
      <c r="V155" s="293"/>
      <c r="W155" s="293"/>
      <c r="X155" s="293"/>
      <c r="Y155" s="293"/>
      <c r="Z155" s="293"/>
      <c r="AA155" s="293"/>
      <c r="AB155" s="293"/>
      <c r="AC155" s="293"/>
      <c r="AD155" s="293"/>
      <c r="AE155" s="293"/>
      <c r="AF155" s="293"/>
      <c r="AG155" s="293"/>
      <c r="AH155" s="293"/>
      <c r="AI155" s="293"/>
      <c r="AJ155" s="293"/>
      <c r="AK155" s="293"/>
      <c r="AL155" s="293"/>
      <c r="AM155" s="293"/>
      <c r="AN155" s="293"/>
      <c r="AO155" s="293"/>
      <c r="AP155" s="293"/>
      <c r="AQ155" s="293"/>
      <c r="AR155" s="293"/>
      <c r="AS155" s="293"/>
      <c r="AT155" s="293"/>
      <c r="AU155" s="293"/>
      <c r="AV155" s="293"/>
      <c r="AW155" s="293"/>
      <c r="AX155" s="293"/>
      <c r="AY155" s="293"/>
      <c r="AZ155" s="293"/>
      <c r="BA155" s="293"/>
      <c r="BB155" s="293"/>
      <c r="BC155" s="293"/>
      <c r="BD155" s="293"/>
      <c r="BE155" s="293"/>
      <c r="BF155" s="293"/>
      <c r="BG155" s="293"/>
      <c r="BH155" s="293"/>
      <c r="BI155" s="293"/>
      <c r="BJ155" s="293"/>
      <c r="BK155" s="293"/>
      <c r="BL155" s="293"/>
      <c r="BM155" s="293"/>
      <c r="BN155" s="293"/>
      <c r="BO155" s="293"/>
      <c r="BP155" s="293"/>
      <c r="BQ155" s="293"/>
      <c r="BR155" s="293"/>
      <c r="BS155" s="293"/>
      <c r="BT155" s="293"/>
      <c r="BU155" s="293"/>
      <c r="BV155" s="293"/>
      <c r="BW155" s="293"/>
      <c r="BX155" s="293"/>
      <c r="BY155" s="293"/>
      <c r="BZ155" s="293"/>
      <c r="CA155" s="293"/>
      <c r="CB155" s="293"/>
      <c r="CC155" s="293"/>
      <c r="CD155" s="293"/>
      <c r="CE155" s="293"/>
      <c r="CF155" s="293"/>
      <c r="CG155" s="293"/>
      <c r="CH155" s="293"/>
      <c r="CI155" s="293"/>
      <c r="CJ155" s="293"/>
      <c r="CK155" s="293"/>
      <c r="CL155" s="293"/>
      <c r="CM155" s="293"/>
      <c r="CN155" s="293"/>
      <c r="CO155" s="293"/>
      <c r="CP155" s="293">
        <f t="shared" si="2858"/>
        <v>0</v>
      </c>
    </row>
    <row r="156" spans="1:94">
      <c r="A156" s="669">
        <v>78</v>
      </c>
      <c r="B156" s="645" t="s">
        <v>173</v>
      </c>
      <c r="C156" s="646" t="s">
        <v>174</v>
      </c>
      <c r="D156" s="647" t="s">
        <v>175</v>
      </c>
      <c r="E156" s="648" t="s">
        <v>455</v>
      </c>
      <c r="F156" s="642">
        <v>12.6</v>
      </c>
      <c r="G156" s="642">
        <v>30</v>
      </c>
      <c r="H156" s="643">
        <f>F156*G156*365</f>
        <v>137970</v>
      </c>
      <c r="I156" s="291">
        <v>34492.5</v>
      </c>
      <c r="J156" s="295">
        <f>ROUND(F156*G156*365/4,0)</f>
        <v>34493</v>
      </c>
      <c r="K156" s="292">
        <f>J156</f>
        <v>34493</v>
      </c>
      <c r="L156" s="293">
        <f>K156</f>
        <v>34493</v>
      </c>
      <c r="M156" s="293">
        <f>L156</f>
        <v>34493</v>
      </c>
      <c r="N156" s="293">
        <f>ROUND(M156*(1+取值表!$D$10)*取值表!$I$10,0)</f>
        <v>35476</v>
      </c>
      <c r="O156" s="293">
        <f>N156</f>
        <v>35476</v>
      </c>
      <c r="P156" s="293">
        <f>O156</f>
        <v>35476</v>
      </c>
      <c r="Q156" s="293">
        <f>P156</f>
        <v>35476</v>
      </c>
      <c r="R156" s="294">
        <f>ROUND(Q156*(1+取值表!$D$10),0)</f>
        <v>38775</v>
      </c>
      <c r="S156" s="293">
        <f t="shared" ref="S156:T156" si="3384">R156</f>
        <v>38775</v>
      </c>
      <c r="T156" s="293">
        <f t="shared" si="3384"/>
        <v>38775</v>
      </c>
      <c r="U156" s="293">
        <f>T156</f>
        <v>38775</v>
      </c>
      <c r="V156" s="295">
        <f>ROUND(U156*(1+取值表!$D$10),0)</f>
        <v>42381</v>
      </c>
      <c r="W156" s="293">
        <f t="shared" ref="W156:Y156" si="3385">V156</f>
        <v>42381</v>
      </c>
      <c r="X156" s="293">
        <f t="shared" si="3385"/>
        <v>42381</v>
      </c>
      <c r="Y156" s="293">
        <f t="shared" si="3385"/>
        <v>42381</v>
      </c>
      <c r="Z156" s="295">
        <f>ROUND(Y156*(1+取值表!$D$10),0)</f>
        <v>46322</v>
      </c>
      <c r="AA156" s="293">
        <f t="shared" ref="AA156" si="3386">Z156</f>
        <v>46322</v>
      </c>
      <c r="AB156" s="293">
        <f t="shared" ref="AB156" si="3387">AA156</f>
        <v>46322</v>
      </c>
      <c r="AC156" s="293">
        <f>AB156</f>
        <v>46322</v>
      </c>
      <c r="AD156" s="295">
        <f>ROUND(AC156*(1+取值表!$D$10),0)</f>
        <v>50630</v>
      </c>
      <c r="AE156" s="293">
        <f t="shared" ref="AE156" si="3388">AD156</f>
        <v>50630</v>
      </c>
      <c r="AF156" s="293">
        <f t="shared" ref="AF156" si="3389">AE156</f>
        <v>50630</v>
      </c>
      <c r="AG156" s="293">
        <f t="shared" ref="AG156" si="3390">AF156</f>
        <v>50630</v>
      </c>
      <c r="AH156" s="295">
        <f>ROUND(AG156*(1+取值表!$D$10),0)</f>
        <v>55339</v>
      </c>
      <c r="AI156" s="293">
        <f t="shared" ref="AI156" si="3391">AH156</f>
        <v>55339</v>
      </c>
      <c r="AJ156" s="293">
        <f t="shared" ref="AJ156" si="3392">AI156</f>
        <v>55339</v>
      </c>
      <c r="AK156" s="293">
        <f t="shared" ref="AK156" si="3393">AJ156</f>
        <v>55339</v>
      </c>
      <c r="AL156" s="295">
        <f>ROUND(AK156*(1+取值表!$D$10),0)</f>
        <v>60486</v>
      </c>
      <c r="AM156" s="293">
        <f t="shared" ref="AM156" si="3394">AL156</f>
        <v>60486</v>
      </c>
      <c r="AN156" s="293">
        <f t="shared" ref="AN156" si="3395">AM156</f>
        <v>60486</v>
      </c>
      <c r="AO156" s="293">
        <f t="shared" ref="AO156" si="3396">AN156</f>
        <v>60486</v>
      </c>
      <c r="AP156" s="295">
        <f>ROUND(AO156*(1+取值表!$D$10),0)</f>
        <v>66111</v>
      </c>
      <c r="AQ156" s="293">
        <f t="shared" ref="AQ156" si="3397">AP156</f>
        <v>66111</v>
      </c>
      <c r="AR156" s="293">
        <f t="shared" ref="AR156" si="3398">AQ156</f>
        <v>66111</v>
      </c>
      <c r="AS156" s="293">
        <f t="shared" ref="AS156" si="3399">AR156</f>
        <v>66111</v>
      </c>
      <c r="AT156" s="295">
        <f>ROUND(AS156*(1+取值表!$D$10),0)</f>
        <v>72259</v>
      </c>
      <c r="AU156" s="293">
        <f t="shared" ref="AU156" si="3400">AT156</f>
        <v>72259</v>
      </c>
      <c r="AV156" s="293">
        <f t="shared" ref="AV156" si="3401">AU156</f>
        <v>72259</v>
      </c>
      <c r="AW156" s="293">
        <f t="shared" ref="AW156" si="3402">AV156</f>
        <v>72259</v>
      </c>
      <c r="AX156" s="295">
        <f>ROUND(AW156*(1+取值表!$D$10),0)</f>
        <v>78979</v>
      </c>
      <c r="AY156" s="293">
        <f t="shared" ref="AY156" si="3403">AX156</f>
        <v>78979</v>
      </c>
      <c r="AZ156" s="293">
        <f t="shared" ref="AZ156" si="3404">AY156</f>
        <v>78979</v>
      </c>
      <c r="BA156" s="293">
        <f t="shared" ref="BA156" si="3405">AZ156</f>
        <v>78979</v>
      </c>
      <c r="BB156" s="295">
        <f>ROUND(BA156*(1+取值表!$D$10),0)</f>
        <v>86324</v>
      </c>
      <c r="BC156" s="293">
        <f>BB156</f>
        <v>86324</v>
      </c>
      <c r="BD156" s="293">
        <f t="shared" ref="BD156" si="3406">BC156</f>
        <v>86324</v>
      </c>
      <c r="BE156" s="293">
        <f>BD156</f>
        <v>86324</v>
      </c>
      <c r="BF156" s="295">
        <f>ROUND(BE156*(1+取值表!$D$10),0)</f>
        <v>94352</v>
      </c>
      <c r="BG156" s="293">
        <f>BF156</f>
        <v>94352</v>
      </c>
      <c r="BH156" s="293">
        <f t="shared" ref="BH156" si="3407">BG156</f>
        <v>94352</v>
      </c>
      <c r="BI156" s="293">
        <f t="shared" ref="BI156" si="3408">BH156</f>
        <v>94352</v>
      </c>
      <c r="BJ156" s="295">
        <f>ROUND(BI156*(1+取值表!$D$10),0)</f>
        <v>103127</v>
      </c>
      <c r="BK156" s="293">
        <f t="shared" ref="BK156" si="3409">BJ156</f>
        <v>103127</v>
      </c>
      <c r="BL156" s="293">
        <f t="shared" ref="BL156" si="3410">BK156</f>
        <v>103127</v>
      </c>
      <c r="BM156" s="293">
        <f t="shared" ref="BM156" si="3411">BL156</f>
        <v>103127</v>
      </c>
      <c r="BN156" s="295">
        <f>ROUND(BM156*(1+取值表!$D$10),0)</f>
        <v>112718</v>
      </c>
      <c r="BO156" s="293">
        <f t="shared" ref="BO156" si="3412">BN156</f>
        <v>112718</v>
      </c>
      <c r="BP156" s="293">
        <f t="shared" ref="BP156" si="3413">BO156</f>
        <v>112718</v>
      </c>
      <c r="BQ156" s="293">
        <f t="shared" ref="BQ156" si="3414">BP156</f>
        <v>112718</v>
      </c>
      <c r="BR156" s="295">
        <f>ROUND(BQ156*(1+取值表!$D$10),0)</f>
        <v>123201</v>
      </c>
      <c r="BS156" s="293">
        <f t="shared" ref="BS156" si="3415">BR156</f>
        <v>123201</v>
      </c>
      <c r="BT156" s="293">
        <f t="shared" ref="BT156" si="3416">BS156</f>
        <v>123201</v>
      </c>
      <c r="BU156" s="293">
        <f t="shared" ref="BU156" si="3417">BT156</f>
        <v>123201</v>
      </c>
      <c r="BV156" s="295">
        <f>ROUND(BU156*(1+取值表!$D$10),0)</f>
        <v>134659</v>
      </c>
      <c r="BW156" s="293">
        <f t="shared" ref="BW156" si="3418">BV156</f>
        <v>134659</v>
      </c>
      <c r="BX156" s="293">
        <f t="shared" ref="BX156" si="3419">BW156</f>
        <v>134659</v>
      </c>
      <c r="BY156" s="293">
        <f t="shared" ref="BY156" si="3420">BX156</f>
        <v>134659</v>
      </c>
      <c r="BZ156" s="295">
        <f>ROUND(BY156*(1+取值表!$D$10),0)</f>
        <v>147182</v>
      </c>
      <c r="CA156" s="293">
        <f t="shared" ref="CA156" si="3421">BZ156</f>
        <v>147182</v>
      </c>
      <c r="CB156" s="293">
        <f t="shared" ref="CB156" si="3422">CA156</f>
        <v>147182</v>
      </c>
      <c r="CC156" s="293">
        <f t="shared" ref="CC156" si="3423">CB156</f>
        <v>147182</v>
      </c>
      <c r="CD156" s="295">
        <f>ROUND(CC156*(1+取值表!$D$10),0)</f>
        <v>160870</v>
      </c>
      <c r="CE156" s="293">
        <f t="shared" ref="CE156" si="3424">CD156</f>
        <v>160870</v>
      </c>
      <c r="CF156" s="293">
        <f t="shared" ref="CF156" si="3425">CE156</f>
        <v>160870</v>
      </c>
      <c r="CG156" s="293">
        <f t="shared" ref="CG156" si="3426">CF156</f>
        <v>160870</v>
      </c>
      <c r="CH156" s="295">
        <f>ROUND(CG156*(1+取值表!$D$10),0)</f>
        <v>175831</v>
      </c>
      <c r="CI156" s="293">
        <f>CH156</f>
        <v>175831</v>
      </c>
      <c r="CJ156" s="293">
        <f t="shared" ref="CJ156" si="3427">CI156</f>
        <v>175831</v>
      </c>
      <c r="CK156" s="293">
        <f t="shared" ref="CK156" si="3428">CJ156</f>
        <v>175831</v>
      </c>
      <c r="CL156" s="295">
        <f>ROUND(CK156*(1+取值表!$D$10),0)</f>
        <v>192183</v>
      </c>
      <c r="CM156" s="293">
        <f>CL156</f>
        <v>192183</v>
      </c>
      <c r="CN156" s="293">
        <f t="shared" ref="CN156" si="3429">CM156</f>
        <v>192183</v>
      </c>
      <c r="CO156" s="293">
        <f t="shared" ref="CO156" si="3430">CN156</f>
        <v>192183</v>
      </c>
      <c r="CP156" s="293">
        <f t="shared" si="2858"/>
        <v>7646792</v>
      </c>
    </row>
    <row r="157" spans="1:94">
      <c r="A157" s="670"/>
      <c r="B157" s="645"/>
      <c r="C157" s="646"/>
      <c r="D157" s="647"/>
      <c r="E157" s="648"/>
      <c r="F157" s="642"/>
      <c r="G157" s="642"/>
      <c r="H157" s="643"/>
      <c r="I157" s="291"/>
      <c r="J157" s="295"/>
      <c r="K157" s="293"/>
      <c r="L157" s="293"/>
      <c r="M157" s="293"/>
      <c r="N157" s="293"/>
      <c r="O157" s="293"/>
      <c r="P157" s="293"/>
      <c r="Q157" s="293"/>
      <c r="R157" s="293"/>
      <c r="S157" s="293"/>
      <c r="T157" s="293"/>
      <c r="U157" s="293"/>
      <c r="V157" s="293"/>
      <c r="W157" s="293"/>
      <c r="X157" s="293"/>
      <c r="Y157" s="293"/>
      <c r="Z157" s="293"/>
      <c r="AA157" s="293"/>
      <c r="AB157" s="293"/>
      <c r="AC157" s="293"/>
      <c r="AD157" s="293"/>
      <c r="AE157" s="293"/>
      <c r="AF157" s="293"/>
      <c r="AG157" s="293"/>
      <c r="AH157" s="293"/>
      <c r="AI157" s="293"/>
      <c r="AJ157" s="293"/>
      <c r="AK157" s="293"/>
      <c r="AL157" s="293"/>
      <c r="AM157" s="293"/>
      <c r="AN157" s="293"/>
      <c r="AO157" s="293"/>
      <c r="AP157" s="293"/>
      <c r="AQ157" s="293"/>
      <c r="AR157" s="293"/>
      <c r="AS157" s="293"/>
      <c r="AT157" s="293"/>
      <c r="AU157" s="293"/>
      <c r="AV157" s="293"/>
      <c r="AW157" s="293"/>
      <c r="AX157" s="293"/>
      <c r="AY157" s="293"/>
      <c r="AZ157" s="293"/>
      <c r="BA157" s="293"/>
      <c r="BB157" s="293"/>
      <c r="BC157" s="293"/>
      <c r="BD157" s="293"/>
      <c r="BE157" s="293"/>
      <c r="BF157" s="293"/>
      <c r="BG157" s="293"/>
      <c r="BH157" s="293"/>
      <c r="BI157" s="293"/>
      <c r="BJ157" s="293"/>
      <c r="BK157" s="293"/>
      <c r="BL157" s="293"/>
      <c r="BM157" s="293"/>
      <c r="BN157" s="293"/>
      <c r="BO157" s="293"/>
      <c r="BP157" s="293"/>
      <c r="BQ157" s="293"/>
      <c r="BR157" s="293"/>
      <c r="BS157" s="293"/>
      <c r="BT157" s="293"/>
      <c r="BU157" s="293"/>
      <c r="BV157" s="293"/>
      <c r="BW157" s="293"/>
      <c r="BX157" s="293"/>
      <c r="BY157" s="293"/>
      <c r="BZ157" s="293"/>
      <c r="CA157" s="293"/>
      <c r="CB157" s="293"/>
      <c r="CC157" s="293"/>
      <c r="CD157" s="293"/>
      <c r="CE157" s="293"/>
      <c r="CF157" s="293"/>
      <c r="CG157" s="293"/>
      <c r="CH157" s="293"/>
      <c r="CI157" s="293"/>
      <c r="CJ157" s="293"/>
      <c r="CK157" s="293"/>
      <c r="CL157" s="293"/>
      <c r="CM157" s="293"/>
      <c r="CN157" s="293"/>
      <c r="CO157" s="293"/>
      <c r="CP157" s="293">
        <f t="shared" si="2858"/>
        <v>0</v>
      </c>
    </row>
    <row r="158" spans="1:94" ht="12">
      <c r="A158" s="669">
        <v>79</v>
      </c>
      <c r="B158" s="645" t="s">
        <v>176</v>
      </c>
      <c r="C158" s="646" t="s">
        <v>177</v>
      </c>
      <c r="D158" s="647" t="s">
        <v>480</v>
      </c>
      <c r="E158" s="648" t="s">
        <v>455</v>
      </c>
      <c r="F158" s="642">
        <v>12.24</v>
      </c>
      <c r="G158" s="642">
        <v>38</v>
      </c>
      <c r="H158" s="643">
        <f>F158*G158*365</f>
        <v>169768.8</v>
      </c>
      <c r="I158" s="291">
        <v>42442.2</v>
      </c>
      <c r="J158" s="292">
        <f>ROUND(F158*G158*365/4,0)</f>
        <v>42442</v>
      </c>
      <c r="K158" s="315">
        <f>J158</f>
        <v>42442</v>
      </c>
      <c r="L158" s="315">
        <f>K158</f>
        <v>42442</v>
      </c>
      <c r="M158" s="293">
        <f>L158</f>
        <v>42442</v>
      </c>
      <c r="N158" s="293">
        <f>ROUND(M158*(1+取值表!$D$10)*取值表!$I$10,0)</f>
        <v>43652</v>
      </c>
      <c r="O158" s="293">
        <f>N158</f>
        <v>43652</v>
      </c>
      <c r="P158" s="293">
        <f>O158</f>
        <v>43652</v>
      </c>
      <c r="Q158" s="293">
        <f>P158</f>
        <v>43652</v>
      </c>
      <c r="R158" s="294">
        <f>ROUND(Q158*(1+取值表!$D$10),0)</f>
        <v>47712</v>
      </c>
      <c r="S158" s="293">
        <f t="shared" ref="S158:T158" si="3431">R158</f>
        <v>47712</v>
      </c>
      <c r="T158" s="293">
        <f t="shared" si="3431"/>
        <v>47712</v>
      </c>
      <c r="U158" s="293">
        <f>T158</f>
        <v>47712</v>
      </c>
      <c r="V158" s="295">
        <f>ROUND(U158*(1+取值表!$D$10),0)</f>
        <v>52149</v>
      </c>
      <c r="W158" s="293">
        <f t="shared" ref="W158:Y158" si="3432">V158</f>
        <v>52149</v>
      </c>
      <c r="X158" s="293">
        <f t="shared" si="3432"/>
        <v>52149</v>
      </c>
      <c r="Y158" s="293">
        <f t="shared" si="3432"/>
        <v>52149</v>
      </c>
      <c r="Z158" s="295">
        <f>ROUND(Y158*(1+取值表!$D$10),0)</f>
        <v>56999</v>
      </c>
      <c r="AA158" s="293">
        <f t="shared" ref="AA158" si="3433">Z158</f>
        <v>56999</v>
      </c>
      <c r="AB158" s="293">
        <f t="shared" ref="AB158" si="3434">AA158</f>
        <v>56999</v>
      </c>
      <c r="AC158" s="293">
        <f>AB158</f>
        <v>56999</v>
      </c>
      <c r="AD158" s="295">
        <f>ROUND(AC158*(1+取值表!$D$10),0)</f>
        <v>62300</v>
      </c>
      <c r="AE158" s="293">
        <f t="shared" ref="AE158" si="3435">AD158</f>
        <v>62300</v>
      </c>
      <c r="AF158" s="293">
        <f t="shared" ref="AF158" si="3436">AE158</f>
        <v>62300</v>
      </c>
      <c r="AG158" s="293">
        <f t="shared" ref="AG158" si="3437">AF158</f>
        <v>62300</v>
      </c>
      <c r="AH158" s="295">
        <f>ROUND(AG158*(1+取值表!$D$10),0)</f>
        <v>68094</v>
      </c>
      <c r="AI158" s="293">
        <f t="shared" ref="AI158" si="3438">AH158</f>
        <v>68094</v>
      </c>
      <c r="AJ158" s="293">
        <f t="shared" ref="AJ158" si="3439">AI158</f>
        <v>68094</v>
      </c>
      <c r="AK158" s="293">
        <f t="shared" ref="AK158" si="3440">AJ158</f>
        <v>68094</v>
      </c>
      <c r="AL158" s="295">
        <f>ROUND(AK158*(1+取值表!$D$10),0)</f>
        <v>74427</v>
      </c>
      <c r="AM158" s="293">
        <f t="shared" ref="AM158" si="3441">AL158</f>
        <v>74427</v>
      </c>
      <c r="AN158" s="293">
        <f t="shared" ref="AN158" si="3442">AM158</f>
        <v>74427</v>
      </c>
      <c r="AO158" s="293">
        <f t="shared" ref="AO158" si="3443">AN158</f>
        <v>74427</v>
      </c>
      <c r="AP158" s="295">
        <f>ROUND(AO158*(1+取值表!$D$10),0)</f>
        <v>81349</v>
      </c>
      <c r="AQ158" s="293">
        <f t="shared" ref="AQ158" si="3444">AP158</f>
        <v>81349</v>
      </c>
      <c r="AR158" s="293">
        <f t="shared" ref="AR158" si="3445">AQ158</f>
        <v>81349</v>
      </c>
      <c r="AS158" s="293">
        <f t="shared" ref="AS158" si="3446">AR158</f>
        <v>81349</v>
      </c>
      <c r="AT158" s="295">
        <f>ROUND(AS158*(1+取值表!$D$10),0)</f>
        <v>88914</v>
      </c>
      <c r="AU158" s="293">
        <f t="shared" ref="AU158" si="3447">AT158</f>
        <v>88914</v>
      </c>
      <c r="AV158" s="293">
        <f t="shared" ref="AV158" si="3448">AU158</f>
        <v>88914</v>
      </c>
      <c r="AW158" s="293">
        <f t="shared" ref="AW158" si="3449">AV158</f>
        <v>88914</v>
      </c>
      <c r="AX158" s="295">
        <f>ROUND(AW158*(1+取值表!$D$10),0)</f>
        <v>97183</v>
      </c>
      <c r="AY158" s="293">
        <f t="shared" ref="AY158" si="3450">AX158</f>
        <v>97183</v>
      </c>
      <c r="AZ158" s="293">
        <f t="shared" ref="AZ158" si="3451">AY158</f>
        <v>97183</v>
      </c>
      <c r="BA158" s="293">
        <f t="shared" ref="BA158" si="3452">AZ158</f>
        <v>97183</v>
      </c>
      <c r="BB158" s="295">
        <f>ROUND(BA158*(1+取值表!$D$10),0)</f>
        <v>106221</v>
      </c>
      <c r="BC158" s="293">
        <f>BB158</f>
        <v>106221</v>
      </c>
      <c r="BD158" s="293">
        <f t="shared" ref="BD158" si="3453">BC158</f>
        <v>106221</v>
      </c>
      <c r="BE158" s="293">
        <f>BD158</f>
        <v>106221</v>
      </c>
      <c r="BF158" s="295">
        <f>ROUND(BE158*(1+取值表!$D$10),0)</f>
        <v>116100</v>
      </c>
      <c r="BG158" s="293">
        <f>BF158</f>
        <v>116100</v>
      </c>
      <c r="BH158" s="293">
        <f t="shared" ref="BH158" si="3454">BG158</f>
        <v>116100</v>
      </c>
      <c r="BI158" s="293">
        <f t="shared" ref="BI158" si="3455">BH158</f>
        <v>116100</v>
      </c>
      <c r="BJ158" s="295">
        <f>ROUND(BI158*(1+取值表!$D$10),0)</f>
        <v>126897</v>
      </c>
      <c r="BK158" s="293">
        <f t="shared" ref="BK158" si="3456">BJ158</f>
        <v>126897</v>
      </c>
      <c r="BL158" s="293">
        <f t="shared" ref="BL158" si="3457">BK158</f>
        <v>126897</v>
      </c>
      <c r="BM158" s="293">
        <f t="shared" ref="BM158" si="3458">BL158</f>
        <v>126897</v>
      </c>
      <c r="BN158" s="295">
        <f>ROUND(BM158*(1+取值表!$D$10),0)</f>
        <v>138698</v>
      </c>
      <c r="BO158" s="293">
        <f t="shared" ref="BO158" si="3459">BN158</f>
        <v>138698</v>
      </c>
      <c r="BP158" s="293">
        <f t="shared" ref="BP158" si="3460">BO158</f>
        <v>138698</v>
      </c>
      <c r="BQ158" s="293">
        <f t="shared" ref="BQ158" si="3461">BP158</f>
        <v>138698</v>
      </c>
      <c r="BR158" s="295">
        <f>ROUND(BQ158*(1+取值表!$D$10),0)</f>
        <v>151597</v>
      </c>
      <c r="BS158" s="293">
        <f t="shared" ref="BS158" si="3462">BR158</f>
        <v>151597</v>
      </c>
      <c r="BT158" s="293">
        <f t="shared" ref="BT158" si="3463">BS158</f>
        <v>151597</v>
      </c>
      <c r="BU158" s="293">
        <f t="shared" ref="BU158" si="3464">BT158</f>
        <v>151597</v>
      </c>
      <c r="BV158" s="295">
        <f>ROUND(BU158*(1+取值表!$D$10),0)</f>
        <v>165696</v>
      </c>
      <c r="BW158" s="293">
        <f t="shared" ref="BW158" si="3465">BV158</f>
        <v>165696</v>
      </c>
      <c r="BX158" s="293">
        <f t="shared" ref="BX158" si="3466">BW158</f>
        <v>165696</v>
      </c>
      <c r="BY158" s="293">
        <f t="shared" ref="BY158" si="3467">BX158</f>
        <v>165696</v>
      </c>
      <c r="BZ158" s="295">
        <f>ROUND(BY158*(1+取值表!$D$10),0)</f>
        <v>181106</v>
      </c>
      <c r="CA158" s="293">
        <f t="shared" ref="CA158" si="3468">BZ158</f>
        <v>181106</v>
      </c>
      <c r="CB158" s="293">
        <f t="shared" ref="CB158" si="3469">CA158</f>
        <v>181106</v>
      </c>
      <c r="CC158" s="293">
        <f t="shared" ref="CC158" si="3470">CB158</f>
        <v>181106</v>
      </c>
      <c r="CD158" s="295">
        <f>ROUND(CC158*(1+取值表!$D$10),0)</f>
        <v>197949</v>
      </c>
      <c r="CE158" s="293">
        <f t="shared" ref="CE158" si="3471">CD158</f>
        <v>197949</v>
      </c>
      <c r="CF158" s="293">
        <f t="shared" ref="CF158" si="3472">CE158</f>
        <v>197949</v>
      </c>
      <c r="CG158" s="293">
        <f t="shared" ref="CG158" si="3473">CF158</f>
        <v>197949</v>
      </c>
      <c r="CH158" s="295">
        <f>ROUND(CG158*(1+取值表!$D$10),0)</f>
        <v>216358</v>
      </c>
      <c r="CI158" s="293">
        <f>CH158</f>
        <v>216358</v>
      </c>
      <c r="CJ158" s="293">
        <f t="shared" ref="CJ158" si="3474">CI158</f>
        <v>216358</v>
      </c>
      <c r="CK158" s="293">
        <f t="shared" ref="CK158" si="3475">CJ158</f>
        <v>216358</v>
      </c>
      <c r="CL158" s="295">
        <f>ROUND(CK158*(1+取值表!$D$10),0)</f>
        <v>236479</v>
      </c>
      <c r="CM158" s="293">
        <f>CL158</f>
        <v>236479</v>
      </c>
      <c r="CN158" s="293">
        <f t="shared" ref="CN158" si="3476">CM158</f>
        <v>236479</v>
      </c>
      <c r="CO158" s="293">
        <f t="shared" ref="CO158" si="3477">CN158</f>
        <v>236479</v>
      </c>
      <c r="CP158" s="293">
        <f t="shared" si="2858"/>
        <v>9409288</v>
      </c>
    </row>
    <row r="159" spans="1:94" ht="15" customHeight="1">
      <c r="A159" s="670"/>
      <c r="B159" s="645"/>
      <c r="C159" s="646"/>
      <c r="D159" s="647"/>
      <c r="E159" s="648"/>
      <c r="F159" s="642"/>
      <c r="G159" s="642"/>
      <c r="H159" s="643"/>
      <c r="I159" s="291"/>
      <c r="J159" s="295"/>
      <c r="K159" s="293"/>
      <c r="L159" s="293"/>
      <c r="M159" s="293"/>
      <c r="N159" s="293"/>
      <c r="O159" s="293"/>
      <c r="P159" s="293"/>
      <c r="Q159" s="293"/>
      <c r="R159" s="293"/>
      <c r="S159" s="293"/>
      <c r="T159" s="293"/>
      <c r="U159" s="293"/>
      <c r="V159" s="293"/>
      <c r="W159" s="293"/>
      <c r="X159" s="293"/>
      <c r="Y159" s="293"/>
      <c r="Z159" s="293"/>
      <c r="AA159" s="293"/>
      <c r="AB159" s="293"/>
      <c r="AC159" s="293"/>
      <c r="AD159" s="293"/>
      <c r="AE159" s="293"/>
      <c r="AF159" s="293"/>
      <c r="AG159" s="293"/>
      <c r="AH159" s="293"/>
      <c r="AI159" s="293"/>
      <c r="AJ159" s="293"/>
      <c r="AK159" s="293"/>
      <c r="AL159" s="293"/>
      <c r="AM159" s="293"/>
      <c r="AN159" s="293"/>
      <c r="AO159" s="293"/>
      <c r="AP159" s="293"/>
      <c r="AQ159" s="293"/>
      <c r="AR159" s="293"/>
      <c r="AS159" s="293"/>
      <c r="AT159" s="293"/>
      <c r="AU159" s="293"/>
      <c r="AV159" s="293"/>
      <c r="AW159" s="293"/>
      <c r="AX159" s="293"/>
      <c r="AY159" s="293"/>
      <c r="AZ159" s="293"/>
      <c r="BA159" s="293"/>
      <c r="BB159" s="293"/>
      <c r="BC159" s="293"/>
      <c r="BD159" s="293"/>
      <c r="BE159" s="293"/>
      <c r="BF159" s="293"/>
      <c r="BG159" s="293"/>
      <c r="BH159" s="293"/>
      <c r="BI159" s="293"/>
      <c r="BJ159" s="293"/>
      <c r="BK159" s="293"/>
      <c r="BL159" s="293"/>
      <c r="BM159" s="293"/>
      <c r="BN159" s="293"/>
      <c r="BO159" s="293"/>
      <c r="BP159" s="293"/>
      <c r="BQ159" s="293"/>
      <c r="BR159" s="293"/>
      <c r="BS159" s="293"/>
      <c r="BT159" s="293"/>
      <c r="BU159" s="293"/>
      <c r="BV159" s="293"/>
      <c r="BW159" s="293"/>
      <c r="BX159" s="293"/>
      <c r="BY159" s="293"/>
      <c r="BZ159" s="293"/>
      <c r="CA159" s="293"/>
      <c r="CB159" s="293"/>
      <c r="CC159" s="293"/>
      <c r="CD159" s="293"/>
      <c r="CE159" s="293"/>
      <c r="CF159" s="293"/>
      <c r="CG159" s="293"/>
      <c r="CH159" s="293"/>
      <c r="CI159" s="293"/>
      <c r="CJ159" s="293"/>
      <c r="CK159" s="293"/>
      <c r="CL159" s="293"/>
      <c r="CM159" s="293"/>
      <c r="CN159" s="293"/>
      <c r="CO159" s="293"/>
      <c r="CP159" s="293">
        <f t="shared" si="2858"/>
        <v>0</v>
      </c>
    </row>
    <row r="160" spans="1:94" ht="12" customHeight="1">
      <c r="A160" s="669">
        <v>80</v>
      </c>
      <c r="B160" s="645" t="s">
        <v>178</v>
      </c>
      <c r="C160" s="646" t="s">
        <v>179</v>
      </c>
      <c r="D160" s="647" t="s">
        <v>442</v>
      </c>
      <c r="E160" s="648" t="s">
        <v>455</v>
      </c>
      <c r="F160" s="642">
        <v>12.96</v>
      </c>
      <c r="G160" s="642">
        <v>39</v>
      </c>
      <c r="H160" s="643">
        <f>F160*G160*365</f>
        <v>184485.6</v>
      </c>
      <c r="I160" s="291">
        <v>46121.4</v>
      </c>
      <c r="J160" s="295">
        <f>ROUND(F160*G160*365/4,0)</f>
        <v>46121</v>
      </c>
      <c r="K160" s="292">
        <f>J160</f>
        <v>46121</v>
      </c>
      <c r="L160" s="293">
        <f>K160</f>
        <v>46121</v>
      </c>
      <c r="M160" s="293">
        <f>L160</f>
        <v>46121</v>
      </c>
      <c r="N160" s="293">
        <f>ROUND(M160*(1+取值表!$D$10)*取值表!$I$10,0)</f>
        <v>47436</v>
      </c>
      <c r="O160" s="293">
        <f>N160</f>
        <v>47436</v>
      </c>
      <c r="P160" s="293">
        <f>O160</f>
        <v>47436</v>
      </c>
      <c r="Q160" s="293">
        <f>P160</f>
        <v>47436</v>
      </c>
      <c r="R160" s="294">
        <f>ROUND(Q160*(1+取值表!$D$10),0)</f>
        <v>51848</v>
      </c>
      <c r="S160" s="293">
        <f t="shared" ref="S160:T160" si="3478">R160</f>
        <v>51848</v>
      </c>
      <c r="T160" s="293">
        <f t="shared" si="3478"/>
        <v>51848</v>
      </c>
      <c r="U160" s="293">
        <f>T160</f>
        <v>51848</v>
      </c>
      <c r="V160" s="295">
        <f>ROUND(U160*(1+取值表!$D$10),0)</f>
        <v>56670</v>
      </c>
      <c r="W160" s="293">
        <f t="shared" ref="W160:Y160" si="3479">V160</f>
        <v>56670</v>
      </c>
      <c r="X160" s="293">
        <f t="shared" si="3479"/>
        <v>56670</v>
      </c>
      <c r="Y160" s="293">
        <f t="shared" si="3479"/>
        <v>56670</v>
      </c>
      <c r="Z160" s="295">
        <f>ROUND(Y160*(1+取值表!$D$10),0)</f>
        <v>61940</v>
      </c>
      <c r="AA160" s="293">
        <f t="shared" ref="AA160" si="3480">Z160</f>
        <v>61940</v>
      </c>
      <c r="AB160" s="293">
        <f t="shared" ref="AB160" si="3481">AA160</f>
        <v>61940</v>
      </c>
      <c r="AC160" s="293">
        <f>AB160</f>
        <v>61940</v>
      </c>
      <c r="AD160" s="295">
        <f>ROUND(AC160*(1+取值表!$D$10),0)</f>
        <v>67700</v>
      </c>
      <c r="AE160" s="293">
        <f t="shared" ref="AE160" si="3482">AD160</f>
        <v>67700</v>
      </c>
      <c r="AF160" s="293">
        <f t="shared" ref="AF160" si="3483">AE160</f>
        <v>67700</v>
      </c>
      <c r="AG160" s="293">
        <f t="shared" ref="AG160" si="3484">AF160</f>
        <v>67700</v>
      </c>
      <c r="AH160" s="295">
        <f>ROUND(AG160*(1+取值表!$D$10),0)</f>
        <v>73996</v>
      </c>
      <c r="AI160" s="293">
        <f t="shared" ref="AI160" si="3485">AH160</f>
        <v>73996</v>
      </c>
      <c r="AJ160" s="293">
        <f t="shared" ref="AJ160" si="3486">AI160</f>
        <v>73996</v>
      </c>
      <c r="AK160" s="293">
        <f t="shared" ref="AK160" si="3487">AJ160</f>
        <v>73996</v>
      </c>
      <c r="AL160" s="295">
        <f>ROUND(AK160*(1+取值表!$D$10),0)</f>
        <v>80878</v>
      </c>
      <c r="AM160" s="293">
        <f t="shared" ref="AM160" si="3488">AL160</f>
        <v>80878</v>
      </c>
      <c r="AN160" s="293">
        <f t="shared" ref="AN160" si="3489">AM160</f>
        <v>80878</v>
      </c>
      <c r="AO160" s="293">
        <f t="shared" ref="AO160" si="3490">AN160</f>
        <v>80878</v>
      </c>
      <c r="AP160" s="295">
        <f>ROUND(AO160*(1+取值表!$D$10),0)</f>
        <v>88400</v>
      </c>
      <c r="AQ160" s="293">
        <f t="shared" ref="AQ160" si="3491">AP160</f>
        <v>88400</v>
      </c>
      <c r="AR160" s="293">
        <f t="shared" ref="AR160" si="3492">AQ160</f>
        <v>88400</v>
      </c>
      <c r="AS160" s="293">
        <f t="shared" ref="AS160" si="3493">AR160</f>
        <v>88400</v>
      </c>
      <c r="AT160" s="295">
        <f>ROUND(AS160*(1+取值表!$D$10),0)</f>
        <v>96621</v>
      </c>
      <c r="AU160" s="293">
        <f t="shared" ref="AU160" si="3494">AT160</f>
        <v>96621</v>
      </c>
      <c r="AV160" s="293">
        <f t="shared" ref="AV160" si="3495">AU160</f>
        <v>96621</v>
      </c>
      <c r="AW160" s="293">
        <f t="shared" ref="AW160" si="3496">AV160</f>
        <v>96621</v>
      </c>
      <c r="AX160" s="295">
        <f>ROUND(AW160*(1+取值表!$D$10),0)</f>
        <v>105607</v>
      </c>
      <c r="AY160" s="293">
        <f t="shared" ref="AY160" si="3497">AX160</f>
        <v>105607</v>
      </c>
      <c r="AZ160" s="293">
        <f t="shared" ref="AZ160" si="3498">AY160</f>
        <v>105607</v>
      </c>
      <c r="BA160" s="293">
        <f t="shared" ref="BA160" si="3499">AZ160</f>
        <v>105607</v>
      </c>
      <c r="BB160" s="295">
        <f>ROUND(BA160*(1+取值表!$D$10),0)</f>
        <v>115428</v>
      </c>
      <c r="BC160" s="293">
        <f>BB160</f>
        <v>115428</v>
      </c>
      <c r="BD160" s="293">
        <f t="shared" ref="BD160" si="3500">BC160</f>
        <v>115428</v>
      </c>
      <c r="BE160" s="293">
        <f>BD160</f>
        <v>115428</v>
      </c>
      <c r="BF160" s="295">
        <f>ROUND(BE160*(1+取值表!$D$10),0)</f>
        <v>126163</v>
      </c>
      <c r="BG160" s="293">
        <f>BF160</f>
        <v>126163</v>
      </c>
      <c r="BH160" s="293">
        <f t="shared" ref="BH160" si="3501">BG160</f>
        <v>126163</v>
      </c>
      <c r="BI160" s="293">
        <f t="shared" ref="BI160" si="3502">BH160</f>
        <v>126163</v>
      </c>
      <c r="BJ160" s="295">
        <f>ROUND(BI160*(1+取值表!$D$10),0)</f>
        <v>137896</v>
      </c>
      <c r="BK160" s="293">
        <f t="shared" ref="BK160" si="3503">BJ160</f>
        <v>137896</v>
      </c>
      <c r="BL160" s="293">
        <f t="shared" ref="BL160" si="3504">BK160</f>
        <v>137896</v>
      </c>
      <c r="BM160" s="293">
        <f t="shared" ref="BM160" si="3505">BL160</f>
        <v>137896</v>
      </c>
      <c r="BN160" s="295">
        <f>ROUND(BM160*(1+取值表!$D$10),0)</f>
        <v>150720</v>
      </c>
      <c r="BO160" s="293">
        <f t="shared" ref="BO160" si="3506">BN160</f>
        <v>150720</v>
      </c>
      <c r="BP160" s="293">
        <f t="shared" ref="BP160" si="3507">BO160</f>
        <v>150720</v>
      </c>
      <c r="BQ160" s="293">
        <f t="shared" ref="BQ160" si="3508">BP160</f>
        <v>150720</v>
      </c>
      <c r="BR160" s="295">
        <f>ROUND(BQ160*(1+取值表!$D$10),0)</f>
        <v>164737</v>
      </c>
      <c r="BS160" s="293">
        <f t="shared" ref="BS160" si="3509">BR160</f>
        <v>164737</v>
      </c>
      <c r="BT160" s="293">
        <f t="shared" ref="BT160" si="3510">BS160</f>
        <v>164737</v>
      </c>
      <c r="BU160" s="293">
        <f t="shared" ref="BU160" si="3511">BT160</f>
        <v>164737</v>
      </c>
      <c r="BV160" s="295">
        <f>ROUND(BU160*(1+取值表!$D$10),0)</f>
        <v>180058</v>
      </c>
      <c r="BW160" s="293">
        <f t="shared" ref="BW160" si="3512">BV160</f>
        <v>180058</v>
      </c>
      <c r="BX160" s="293">
        <f t="shared" ref="BX160" si="3513">BW160</f>
        <v>180058</v>
      </c>
      <c r="BY160" s="293">
        <f t="shared" ref="BY160" si="3514">BX160</f>
        <v>180058</v>
      </c>
      <c r="BZ160" s="295">
        <f>ROUND(BY160*(1+取值表!$D$10),0)</f>
        <v>196803</v>
      </c>
      <c r="CA160" s="293">
        <f t="shared" ref="CA160" si="3515">BZ160</f>
        <v>196803</v>
      </c>
      <c r="CB160" s="293">
        <f t="shared" ref="CB160" si="3516">CA160</f>
        <v>196803</v>
      </c>
      <c r="CC160" s="293">
        <f t="shared" ref="CC160" si="3517">CB160</f>
        <v>196803</v>
      </c>
      <c r="CD160" s="295">
        <f>ROUND(CC160*(1+取值表!$D$10),0)</f>
        <v>215106</v>
      </c>
      <c r="CE160" s="293">
        <f t="shared" ref="CE160" si="3518">CD160</f>
        <v>215106</v>
      </c>
      <c r="CF160" s="293">
        <f t="shared" ref="CF160" si="3519">CE160</f>
        <v>215106</v>
      </c>
      <c r="CG160" s="293">
        <f t="shared" ref="CG160" si="3520">CF160</f>
        <v>215106</v>
      </c>
      <c r="CH160" s="295">
        <f>ROUND(CG160*(1+取值表!$D$10),0)</f>
        <v>235111</v>
      </c>
      <c r="CI160" s="293">
        <f>CH160</f>
        <v>235111</v>
      </c>
      <c r="CJ160" s="293">
        <f t="shared" ref="CJ160" si="3521">CI160</f>
        <v>235111</v>
      </c>
      <c r="CK160" s="293">
        <f t="shared" ref="CK160" si="3522">CJ160</f>
        <v>235111</v>
      </c>
      <c r="CL160" s="295">
        <f>ROUND(CK160*(1+取值表!$D$10),0)</f>
        <v>256976</v>
      </c>
      <c r="CM160" s="293">
        <f>CL160</f>
        <v>256976</v>
      </c>
      <c r="CN160" s="293">
        <f t="shared" ref="CN160" si="3523">CM160</f>
        <v>256976</v>
      </c>
      <c r="CO160" s="293">
        <f t="shared" ref="CO160" si="3524">CN160</f>
        <v>256976</v>
      </c>
      <c r="CP160" s="293">
        <f t="shared" si="2858"/>
        <v>10224860</v>
      </c>
    </row>
    <row r="161" spans="1:212">
      <c r="A161" s="670"/>
      <c r="B161" s="645"/>
      <c r="C161" s="646"/>
      <c r="D161" s="647"/>
      <c r="E161" s="648"/>
      <c r="F161" s="642"/>
      <c r="G161" s="642"/>
      <c r="H161" s="643"/>
      <c r="I161" s="291"/>
      <c r="J161" s="295"/>
      <c r="K161" s="293"/>
      <c r="L161" s="293"/>
      <c r="M161" s="293"/>
      <c r="N161" s="293"/>
      <c r="O161" s="293"/>
      <c r="P161" s="293"/>
      <c r="Q161" s="293"/>
      <c r="R161" s="293"/>
      <c r="S161" s="293"/>
      <c r="T161" s="293"/>
      <c r="U161" s="293"/>
      <c r="V161" s="293"/>
      <c r="W161" s="293"/>
      <c r="X161" s="293"/>
      <c r="Y161" s="293"/>
      <c r="Z161" s="293"/>
      <c r="AA161" s="293"/>
      <c r="AB161" s="293"/>
      <c r="AC161" s="293"/>
      <c r="AD161" s="293"/>
      <c r="AE161" s="293"/>
      <c r="AF161" s="293"/>
      <c r="AG161" s="293"/>
      <c r="AH161" s="293"/>
      <c r="AI161" s="293"/>
      <c r="AJ161" s="293"/>
      <c r="AK161" s="293"/>
      <c r="AL161" s="293"/>
      <c r="AM161" s="293"/>
      <c r="AN161" s="293"/>
      <c r="AO161" s="293"/>
      <c r="AP161" s="293"/>
      <c r="AQ161" s="293"/>
      <c r="AR161" s="293"/>
      <c r="AS161" s="293"/>
      <c r="AT161" s="293"/>
      <c r="AU161" s="293"/>
      <c r="AV161" s="293"/>
      <c r="AW161" s="293"/>
      <c r="AX161" s="293"/>
      <c r="AY161" s="293"/>
      <c r="AZ161" s="293"/>
      <c r="BA161" s="293"/>
      <c r="BB161" s="293"/>
      <c r="BC161" s="293"/>
      <c r="BD161" s="293"/>
      <c r="BE161" s="293"/>
      <c r="BF161" s="293"/>
      <c r="BG161" s="293"/>
      <c r="BH161" s="293"/>
      <c r="BI161" s="293"/>
      <c r="BJ161" s="293"/>
      <c r="BK161" s="293"/>
      <c r="BL161" s="293"/>
      <c r="BM161" s="293"/>
      <c r="BN161" s="293"/>
      <c r="BO161" s="293"/>
      <c r="BP161" s="293"/>
      <c r="BQ161" s="293"/>
      <c r="BR161" s="293"/>
      <c r="BS161" s="293"/>
      <c r="BT161" s="293"/>
      <c r="BU161" s="293"/>
      <c r="BV161" s="293"/>
      <c r="BW161" s="293"/>
      <c r="BX161" s="293"/>
      <c r="BY161" s="293"/>
      <c r="BZ161" s="293"/>
      <c r="CA161" s="293"/>
      <c r="CB161" s="293"/>
      <c r="CC161" s="293"/>
      <c r="CD161" s="293"/>
      <c r="CE161" s="293"/>
      <c r="CF161" s="293"/>
      <c r="CG161" s="293"/>
      <c r="CH161" s="293"/>
      <c r="CI161" s="293"/>
      <c r="CJ161" s="293"/>
      <c r="CK161" s="293"/>
      <c r="CL161" s="293"/>
      <c r="CM161" s="293"/>
      <c r="CN161" s="293"/>
      <c r="CO161" s="293"/>
      <c r="CP161" s="293">
        <f t="shared" si="2858"/>
        <v>0</v>
      </c>
    </row>
    <row r="162" spans="1:212" s="299" customFormat="1" ht="12" customHeight="1">
      <c r="A162" s="669">
        <v>81</v>
      </c>
      <c r="B162" s="683" t="s">
        <v>114</v>
      </c>
      <c r="C162" s="685" t="s">
        <v>725</v>
      </c>
      <c r="D162" s="675" t="s">
        <v>700</v>
      </c>
      <c r="E162" s="687" t="s">
        <v>455</v>
      </c>
      <c r="F162" s="654">
        <v>131.33000000000001</v>
      </c>
      <c r="G162" s="654">
        <v>26</v>
      </c>
      <c r="H162" s="656">
        <f>F162*G162*365</f>
        <v>1246321.7000000002</v>
      </c>
      <c r="I162" s="307">
        <v>287612.7</v>
      </c>
      <c r="J162" s="295">
        <f>ROUND(G162*F162*365/4,0)</f>
        <v>311580</v>
      </c>
      <c r="K162" s="295">
        <f>J162</f>
        <v>311580</v>
      </c>
      <c r="L162" s="295">
        <f>K162</f>
        <v>311580</v>
      </c>
      <c r="M162" s="292">
        <f>L162</f>
        <v>311580</v>
      </c>
      <c r="N162" s="293">
        <f>ROUND(M162*(1+取值表!$D$10)*取值表!$I$10,0)</f>
        <v>320464</v>
      </c>
      <c r="O162" s="295">
        <f>N162</f>
        <v>320464</v>
      </c>
      <c r="P162" s="295">
        <f>O162</f>
        <v>320464</v>
      </c>
      <c r="Q162" s="295">
        <f>P162</f>
        <v>320464</v>
      </c>
      <c r="R162" s="294">
        <f>ROUND(Q162*(1+取值表!$D$10),0)</f>
        <v>350267</v>
      </c>
      <c r="S162" s="295">
        <f t="shared" ref="S162:T162" si="3525">R162</f>
        <v>350267</v>
      </c>
      <c r="T162" s="295">
        <f t="shared" si="3525"/>
        <v>350267</v>
      </c>
      <c r="U162" s="295">
        <f>T162</f>
        <v>350267</v>
      </c>
      <c r="V162" s="295">
        <f>ROUND(U162*(1+取值表!$D$10),0)</f>
        <v>382842</v>
      </c>
      <c r="W162" s="295">
        <f t="shared" ref="W162:Y162" si="3526">V162</f>
        <v>382842</v>
      </c>
      <c r="X162" s="295">
        <f t="shared" si="3526"/>
        <v>382842</v>
      </c>
      <c r="Y162" s="295">
        <f t="shared" si="3526"/>
        <v>382842</v>
      </c>
      <c r="Z162" s="295">
        <f>ROUND(Y162*(1+取值表!$D$10),0)</f>
        <v>418446</v>
      </c>
      <c r="AA162" s="295">
        <f t="shared" ref="AA162" si="3527">Z162</f>
        <v>418446</v>
      </c>
      <c r="AB162" s="295">
        <f t="shared" ref="AB162" si="3528">AA162</f>
        <v>418446</v>
      </c>
      <c r="AC162" s="295">
        <f>AB162</f>
        <v>418446</v>
      </c>
      <c r="AD162" s="295">
        <f>ROUND(AC162*(1+取值表!$D$10),0)</f>
        <v>457361</v>
      </c>
      <c r="AE162" s="295">
        <f t="shared" ref="AE162" si="3529">AD162</f>
        <v>457361</v>
      </c>
      <c r="AF162" s="295">
        <f t="shared" ref="AF162" si="3530">AE162</f>
        <v>457361</v>
      </c>
      <c r="AG162" s="295">
        <f t="shared" ref="AG162" si="3531">AF162</f>
        <v>457361</v>
      </c>
      <c r="AH162" s="295">
        <f>ROUND(AG162*(1+取值表!$D$10),0)</f>
        <v>499896</v>
      </c>
      <c r="AI162" s="295">
        <f t="shared" ref="AI162" si="3532">AH162</f>
        <v>499896</v>
      </c>
      <c r="AJ162" s="295">
        <f t="shared" ref="AJ162" si="3533">AI162</f>
        <v>499896</v>
      </c>
      <c r="AK162" s="295">
        <f t="shared" ref="AK162" si="3534">AJ162</f>
        <v>499896</v>
      </c>
      <c r="AL162" s="295">
        <f>ROUND(AK162*(1+取值表!$D$10),0)</f>
        <v>546386</v>
      </c>
      <c r="AM162" s="295">
        <f t="shared" ref="AM162" si="3535">AL162</f>
        <v>546386</v>
      </c>
      <c r="AN162" s="295">
        <f t="shared" ref="AN162" si="3536">AM162</f>
        <v>546386</v>
      </c>
      <c r="AO162" s="295">
        <f t="shared" ref="AO162" si="3537">AN162</f>
        <v>546386</v>
      </c>
      <c r="AP162" s="295">
        <f>ROUND(AO162*(1+取值表!$D$10),0)</f>
        <v>597200</v>
      </c>
      <c r="AQ162" s="295">
        <f t="shared" ref="AQ162" si="3538">AP162</f>
        <v>597200</v>
      </c>
      <c r="AR162" s="295">
        <f t="shared" ref="AR162" si="3539">AQ162</f>
        <v>597200</v>
      </c>
      <c r="AS162" s="295">
        <f t="shared" ref="AS162" si="3540">AR162</f>
        <v>597200</v>
      </c>
      <c r="AT162" s="295">
        <f>ROUND(AS162*(1+取值表!$D$10),0)</f>
        <v>652740</v>
      </c>
      <c r="AU162" s="295">
        <f t="shared" ref="AU162" si="3541">AT162</f>
        <v>652740</v>
      </c>
      <c r="AV162" s="295">
        <f t="shared" ref="AV162" si="3542">AU162</f>
        <v>652740</v>
      </c>
      <c r="AW162" s="295">
        <f t="shared" ref="AW162" si="3543">AV162</f>
        <v>652740</v>
      </c>
      <c r="AX162" s="295">
        <f>ROUND(AW162*(1+取值表!$D$10),0)</f>
        <v>713445</v>
      </c>
      <c r="AY162" s="295">
        <f t="shared" ref="AY162" si="3544">AX162</f>
        <v>713445</v>
      </c>
      <c r="AZ162" s="295">
        <f t="shared" ref="AZ162" si="3545">AY162</f>
        <v>713445</v>
      </c>
      <c r="BA162" s="295">
        <f t="shared" ref="BA162" si="3546">AZ162</f>
        <v>713445</v>
      </c>
      <c r="BB162" s="295">
        <f>ROUND(BA162*(1+取值表!$D$10),0)</f>
        <v>779795</v>
      </c>
      <c r="BC162" s="295">
        <f>BB162</f>
        <v>779795</v>
      </c>
      <c r="BD162" s="295">
        <f t="shared" ref="BD162" si="3547">BC162</f>
        <v>779795</v>
      </c>
      <c r="BE162" s="295">
        <f>BD162</f>
        <v>779795</v>
      </c>
      <c r="BF162" s="295">
        <f>ROUND(BE162*(1+取值表!$D$10),0)</f>
        <v>852316</v>
      </c>
      <c r="BG162" s="295">
        <f>BF162</f>
        <v>852316</v>
      </c>
      <c r="BH162" s="295">
        <f t="shared" ref="BH162" si="3548">BG162</f>
        <v>852316</v>
      </c>
      <c r="BI162" s="295">
        <f t="shared" ref="BI162" si="3549">BH162</f>
        <v>852316</v>
      </c>
      <c r="BJ162" s="295">
        <f>ROUND(BI162*(1+取值表!$D$10),0)</f>
        <v>931581</v>
      </c>
      <c r="BK162" s="295">
        <f t="shared" ref="BK162" si="3550">BJ162</f>
        <v>931581</v>
      </c>
      <c r="BL162" s="295">
        <f t="shared" ref="BL162" si="3551">BK162</f>
        <v>931581</v>
      </c>
      <c r="BM162" s="295">
        <f t="shared" ref="BM162" si="3552">BL162</f>
        <v>931581</v>
      </c>
      <c r="BN162" s="295">
        <f>ROUND(BM162*(1+取值表!$D$10),0)</f>
        <v>1018218</v>
      </c>
      <c r="BO162" s="295">
        <f t="shared" ref="BO162" si="3553">BN162</f>
        <v>1018218</v>
      </c>
      <c r="BP162" s="295">
        <f t="shared" ref="BP162" si="3554">BO162</f>
        <v>1018218</v>
      </c>
      <c r="BQ162" s="295">
        <f t="shared" ref="BQ162" si="3555">BP162</f>
        <v>1018218</v>
      </c>
      <c r="BR162" s="295">
        <f>ROUND(BQ162*(1+取值表!$D$10),0)</f>
        <v>1112912</v>
      </c>
      <c r="BS162" s="295">
        <f t="shared" ref="BS162" si="3556">BR162</f>
        <v>1112912</v>
      </c>
      <c r="BT162" s="295">
        <f t="shared" ref="BT162" si="3557">BS162</f>
        <v>1112912</v>
      </c>
      <c r="BU162" s="295">
        <f t="shared" ref="BU162" si="3558">BT162</f>
        <v>1112912</v>
      </c>
      <c r="BV162" s="295">
        <f>ROUND(BU162*(1+取值表!$D$10),0)</f>
        <v>1216413</v>
      </c>
      <c r="BW162" s="295">
        <f t="shared" ref="BW162" si="3559">BV162</f>
        <v>1216413</v>
      </c>
      <c r="BX162" s="295">
        <f t="shared" ref="BX162" si="3560">BW162</f>
        <v>1216413</v>
      </c>
      <c r="BY162" s="295">
        <f t="shared" ref="BY162" si="3561">BX162</f>
        <v>1216413</v>
      </c>
      <c r="BZ162" s="295">
        <f>ROUND(BY162*(1+取值表!$D$10),0)</f>
        <v>1329539</v>
      </c>
      <c r="CA162" s="295">
        <f t="shared" ref="CA162" si="3562">BZ162</f>
        <v>1329539</v>
      </c>
      <c r="CB162" s="295">
        <f t="shared" ref="CB162" si="3563">CA162</f>
        <v>1329539</v>
      </c>
      <c r="CC162" s="295">
        <f t="shared" ref="CC162" si="3564">CB162</f>
        <v>1329539</v>
      </c>
      <c r="CD162" s="295">
        <f>ROUND(CC162*(1+取值表!$D$10),0)</f>
        <v>1453186</v>
      </c>
      <c r="CE162" s="295">
        <f t="shared" ref="CE162" si="3565">CD162</f>
        <v>1453186</v>
      </c>
      <c r="CF162" s="295">
        <f t="shared" ref="CF162" si="3566">CE162</f>
        <v>1453186</v>
      </c>
      <c r="CG162" s="295">
        <f t="shared" ref="CG162" si="3567">CF162</f>
        <v>1453186</v>
      </c>
      <c r="CH162" s="295">
        <f>ROUND(CG162*(1+取值表!$D$10),0)</f>
        <v>1588332</v>
      </c>
      <c r="CI162" s="295">
        <f>CH162</f>
        <v>1588332</v>
      </c>
      <c r="CJ162" s="295">
        <f t="shared" ref="CJ162" si="3568">CI162</f>
        <v>1588332</v>
      </c>
      <c r="CK162" s="295">
        <f t="shared" ref="CK162" si="3569">CJ162</f>
        <v>1588332</v>
      </c>
      <c r="CL162" s="295">
        <f>ROUND(CK162*(1+取值表!$D$10),0)</f>
        <v>1736047</v>
      </c>
      <c r="CM162" s="295">
        <f>CL162</f>
        <v>1736047</v>
      </c>
      <c r="CN162" s="295">
        <f t="shared" ref="CN162" si="3570">CM162</f>
        <v>1736047</v>
      </c>
      <c r="CO162" s="295">
        <f t="shared" ref="CO162" si="3571">CN162</f>
        <v>1736047</v>
      </c>
      <c r="CP162" s="293">
        <f t="shared" si="2858"/>
        <v>69075864</v>
      </c>
      <c r="CQ162" s="308"/>
      <c r="CR162" s="308"/>
      <c r="CS162" s="308"/>
      <c r="CT162" s="308"/>
      <c r="CU162" s="308"/>
      <c r="CV162" s="308"/>
      <c r="CW162" s="308"/>
      <c r="CX162" s="308"/>
      <c r="CY162" s="308"/>
      <c r="CZ162" s="308"/>
      <c r="DA162" s="308"/>
      <c r="DB162" s="308"/>
      <c r="DC162" s="308"/>
      <c r="DD162" s="308"/>
      <c r="DE162" s="308"/>
      <c r="DF162" s="308"/>
      <c r="DG162" s="308"/>
      <c r="DH162" s="308"/>
      <c r="DI162" s="308"/>
      <c r="DJ162" s="308"/>
      <c r="DK162" s="308"/>
      <c r="DL162" s="308"/>
      <c r="DM162" s="308"/>
      <c r="DN162" s="308"/>
      <c r="DO162" s="308"/>
      <c r="DP162" s="308"/>
      <c r="DQ162" s="308"/>
      <c r="DR162" s="308"/>
      <c r="DS162" s="308"/>
      <c r="DT162" s="308"/>
      <c r="DU162" s="308"/>
      <c r="DV162" s="308"/>
      <c r="DW162" s="308"/>
      <c r="DX162" s="308"/>
      <c r="DY162" s="308"/>
      <c r="DZ162" s="308"/>
      <c r="EA162" s="308"/>
      <c r="EB162" s="308"/>
      <c r="EC162" s="308"/>
      <c r="ED162" s="308"/>
      <c r="EE162" s="308"/>
      <c r="EF162" s="308"/>
      <c r="EG162" s="308"/>
      <c r="EH162" s="308"/>
      <c r="EI162" s="308"/>
      <c r="EJ162" s="308"/>
      <c r="EK162" s="308"/>
      <c r="EL162" s="308"/>
      <c r="EM162" s="308"/>
      <c r="EN162" s="308"/>
      <c r="EO162" s="308"/>
      <c r="EP162" s="308"/>
      <c r="EQ162" s="308"/>
      <c r="ER162" s="308"/>
      <c r="ES162" s="308"/>
      <c r="ET162" s="308"/>
      <c r="EU162" s="308"/>
      <c r="EV162" s="308"/>
      <c r="EW162" s="308"/>
      <c r="EX162" s="308"/>
      <c r="EY162" s="308"/>
      <c r="EZ162" s="308"/>
      <c r="FA162" s="308"/>
      <c r="FB162" s="308"/>
      <c r="FC162" s="308"/>
      <c r="FD162" s="308"/>
      <c r="FE162" s="308"/>
      <c r="FF162" s="308"/>
      <c r="FG162" s="308"/>
      <c r="FH162" s="308"/>
      <c r="FI162" s="308"/>
      <c r="FJ162" s="308"/>
      <c r="FK162" s="308"/>
      <c r="FL162" s="308"/>
      <c r="FM162" s="308"/>
      <c r="FN162" s="308"/>
      <c r="FO162" s="308"/>
      <c r="FP162" s="308"/>
      <c r="FQ162" s="308"/>
      <c r="FR162" s="308"/>
      <c r="FS162" s="308"/>
      <c r="FT162" s="308"/>
      <c r="FU162" s="308"/>
      <c r="FV162" s="308"/>
      <c r="FW162" s="308"/>
      <c r="FX162" s="308"/>
      <c r="FY162" s="308"/>
      <c r="FZ162" s="308"/>
      <c r="GA162" s="308"/>
      <c r="GB162" s="308"/>
      <c r="GC162" s="308"/>
      <c r="GD162" s="308"/>
      <c r="GE162" s="308"/>
      <c r="GF162" s="308"/>
      <c r="GG162" s="308"/>
      <c r="GH162" s="308"/>
      <c r="GI162" s="308"/>
      <c r="GJ162" s="308"/>
      <c r="GK162" s="308"/>
      <c r="GL162" s="308"/>
      <c r="GM162" s="308"/>
      <c r="GN162" s="308"/>
      <c r="GO162" s="308"/>
      <c r="GP162" s="308"/>
      <c r="GQ162" s="308"/>
      <c r="GR162" s="308"/>
      <c r="GS162" s="308"/>
      <c r="GT162" s="308"/>
      <c r="GU162" s="308"/>
      <c r="GV162" s="308"/>
      <c r="GW162" s="308"/>
      <c r="GX162" s="308"/>
      <c r="GY162" s="308"/>
      <c r="GZ162" s="308"/>
      <c r="HA162" s="380">
        <f t="shared" ref="HA162:HA171" si="3572">SUM(J162:GZ162)</f>
        <v>138151728</v>
      </c>
      <c r="HB162" s="308">
        <v>14631.68</v>
      </c>
      <c r="HC162" s="380">
        <v>3901.78</v>
      </c>
      <c r="HD162" s="360">
        <v>4480788.5353333401</v>
      </c>
    </row>
    <row r="163" spans="1:212" s="299" customFormat="1" ht="12" customHeight="1">
      <c r="A163" s="670"/>
      <c r="B163" s="684"/>
      <c r="C163" s="686"/>
      <c r="D163" s="676"/>
      <c r="E163" s="688"/>
      <c r="F163" s="655"/>
      <c r="G163" s="655"/>
      <c r="H163" s="657"/>
      <c r="I163" s="313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  <c r="AI163" s="295"/>
      <c r="AJ163" s="295"/>
      <c r="AK163" s="295"/>
      <c r="AL163" s="295"/>
      <c r="AM163" s="295"/>
      <c r="AN163" s="295"/>
      <c r="AO163" s="295"/>
      <c r="AP163" s="295"/>
      <c r="AQ163" s="295"/>
      <c r="AR163" s="295"/>
      <c r="AS163" s="295"/>
      <c r="AT163" s="295"/>
      <c r="AU163" s="295"/>
      <c r="AV163" s="295"/>
      <c r="AW163" s="295"/>
      <c r="AX163" s="295"/>
      <c r="AY163" s="295"/>
      <c r="AZ163" s="295"/>
      <c r="BA163" s="295"/>
      <c r="BB163" s="295"/>
      <c r="BC163" s="295"/>
      <c r="BD163" s="295"/>
      <c r="BE163" s="295"/>
      <c r="BF163" s="295"/>
      <c r="BG163" s="295"/>
      <c r="BH163" s="295"/>
      <c r="BI163" s="295"/>
      <c r="BJ163" s="295"/>
      <c r="BK163" s="295"/>
      <c r="BL163" s="295"/>
      <c r="BM163" s="295"/>
      <c r="BN163" s="295"/>
      <c r="BO163" s="295"/>
      <c r="BP163" s="295"/>
      <c r="BQ163" s="295"/>
      <c r="BR163" s="295"/>
      <c r="BS163" s="295"/>
      <c r="BT163" s="295"/>
      <c r="BU163" s="295"/>
      <c r="BV163" s="295"/>
      <c r="BW163" s="295"/>
      <c r="BX163" s="295"/>
      <c r="BY163" s="295"/>
      <c r="BZ163" s="295"/>
      <c r="CA163" s="295"/>
      <c r="CB163" s="295"/>
      <c r="CC163" s="295"/>
      <c r="CD163" s="295"/>
      <c r="CE163" s="295"/>
      <c r="CF163" s="295"/>
      <c r="CG163" s="295"/>
      <c r="CH163" s="295"/>
      <c r="CI163" s="295"/>
      <c r="CJ163" s="295"/>
      <c r="CK163" s="295"/>
      <c r="CL163" s="295"/>
      <c r="CM163" s="295"/>
      <c r="CN163" s="295"/>
      <c r="CO163" s="295"/>
      <c r="CP163" s="293">
        <f t="shared" si="2858"/>
        <v>0</v>
      </c>
      <c r="CQ163" s="312"/>
      <c r="CR163" s="312"/>
      <c r="CS163" s="312"/>
      <c r="CT163" s="312"/>
      <c r="CU163" s="312"/>
      <c r="CV163" s="312"/>
      <c r="CW163" s="312"/>
      <c r="CX163" s="312"/>
      <c r="CY163" s="312"/>
      <c r="CZ163" s="312"/>
      <c r="DA163" s="312"/>
      <c r="DB163" s="312"/>
      <c r="DC163" s="312"/>
      <c r="DD163" s="312"/>
      <c r="DE163" s="312"/>
      <c r="DF163" s="312"/>
      <c r="DG163" s="312"/>
      <c r="DH163" s="312"/>
      <c r="DI163" s="312"/>
      <c r="DJ163" s="312"/>
      <c r="DK163" s="312"/>
      <c r="DL163" s="312"/>
      <c r="DM163" s="312"/>
      <c r="DN163" s="312"/>
      <c r="DO163" s="312"/>
      <c r="DP163" s="312"/>
      <c r="DQ163" s="312"/>
      <c r="DR163" s="312"/>
      <c r="DS163" s="312"/>
      <c r="DT163" s="312"/>
      <c r="DU163" s="312"/>
      <c r="DV163" s="312"/>
      <c r="DW163" s="312"/>
      <c r="DX163" s="312"/>
      <c r="DY163" s="312"/>
      <c r="DZ163" s="312"/>
      <c r="EA163" s="312"/>
      <c r="EB163" s="312"/>
      <c r="EC163" s="312"/>
      <c r="ED163" s="312"/>
      <c r="EE163" s="312"/>
      <c r="EF163" s="312"/>
      <c r="EG163" s="312"/>
      <c r="EH163" s="312"/>
      <c r="EI163" s="312"/>
      <c r="EJ163" s="312"/>
      <c r="EK163" s="312"/>
      <c r="EL163" s="312"/>
      <c r="EM163" s="312"/>
      <c r="EN163" s="312"/>
      <c r="EO163" s="312"/>
      <c r="EP163" s="312"/>
      <c r="EQ163" s="312"/>
      <c r="ER163" s="312"/>
      <c r="ES163" s="312"/>
      <c r="ET163" s="312"/>
      <c r="EU163" s="312"/>
      <c r="EV163" s="312"/>
      <c r="EW163" s="312"/>
      <c r="EX163" s="312"/>
      <c r="EY163" s="312"/>
      <c r="EZ163" s="312"/>
      <c r="FA163" s="312"/>
      <c r="FB163" s="312"/>
      <c r="FC163" s="312"/>
      <c r="FD163" s="312"/>
      <c r="FE163" s="312"/>
      <c r="FF163" s="312"/>
      <c r="FG163" s="312"/>
      <c r="FH163" s="312"/>
      <c r="FI163" s="312"/>
      <c r="FJ163" s="312"/>
      <c r="FK163" s="312"/>
      <c r="FL163" s="312"/>
      <c r="FM163" s="312"/>
      <c r="FN163" s="312"/>
      <c r="FO163" s="312"/>
      <c r="FP163" s="312"/>
      <c r="FQ163" s="312"/>
      <c r="FR163" s="312"/>
      <c r="FS163" s="312"/>
      <c r="FT163" s="312"/>
      <c r="FU163" s="312"/>
      <c r="FV163" s="312"/>
      <c r="FW163" s="312"/>
      <c r="FX163" s="312"/>
      <c r="FY163" s="312"/>
      <c r="FZ163" s="312"/>
      <c r="GA163" s="312"/>
      <c r="GB163" s="312"/>
      <c r="GC163" s="312"/>
      <c r="GD163" s="312"/>
      <c r="GE163" s="312"/>
      <c r="GF163" s="312"/>
      <c r="GG163" s="312"/>
      <c r="GH163" s="312"/>
      <c r="GI163" s="312"/>
      <c r="GJ163" s="312"/>
      <c r="GK163" s="312"/>
      <c r="GL163" s="312"/>
      <c r="GM163" s="312"/>
      <c r="GN163" s="312"/>
      <c r="GO163" s="312"/>
      <c r="GP163" s="312"/>
      <c r="GQ163" s="312"/>
      <c r="GR163" s="312"/>
      <c r="GS163" s="312"/>
      <c r="GT163" s="312"/>
      <c r="GU163" s="312"/>
      <c r="GV163" s="312"/>
      <c r="GW163" s="312"/>
      <c r="GX163" s="312"/>
      <c r="GY163" s="312"/>
      <c r="GZ163" s="312"/>
      <c r="HA163" s="381">
        <f t="shared" si="3572"/>
        <v>0</v>
      </c>
      <c r="HB163" s="312">
        <v>14631.68</v>
      </c>
      <c r="HC163" s="381">
        <v>3901.78</v>
      </c>
      <c r="HD163" s="360">
        <v>2743894.57</v>
      </c>
    </row>
    <row r="164" spans="1:212" s="299" customFormat="1" ht="12" customHeight="1">
      <c r="A164" s="669">
        <v>82</v>
      </c>
      <c r="B164" s="683" t="s">
        <v>555</v>
      </c>
      <c r="C164" s="685" t="s">
        <v>708</v>
      </c>
      <c r="D164" s="675" t="s">
        <v>549</v>
      </c>
      <c r="E164" s="687" t="s">
        <v>455</v>
      </c>
      <c r="F164" s="654">
        <v>223.24</v>
      </c>
      <c r="G164" s="654">
        <v>22</v>
      </c>
      <c r="H164" s="656">
        <f>F164*G164*365</f>
        <v>1792617.2000000002</v>
      </c>
      <c r="I164" s="307">
        <v>421061.34</v>
      </c>
      <c r="J164" s="292">
        <f>ROUND(G164*F164*365/4,0)</f>
        <v>448154</v>
      </c>
      <c r="K164" s="295">
        <f>J164</f>
        <v>448154</v>
      </c>
      <c r="L164" s="295">
        <f>K164</f>
        <v>448154</v>
      </c>
      <c r="M164" s="295">
        <f>L164</f>
        <v>448154</v>
      </c>
      <c r="N164" s="293">
        <f>ROUND(M164*(1+取值表!$D$10)*取值表!$I$10,0)</f>
        <v>460932</v>
      </c>
      <c r="O164" s="295">
        <f>N164</f>
        <v>460932</v>
      </c>
      <c r="P164" s="295">
        <f>O164</f>
        <v>460932</v>
      </c>
      <c r="Q164" s="295">
        <f>P164</f>
        <v>460932</v>
      </c>
      <c r="R164" s="294">
        <f>ROUND(Q164*(1+取值表!$D$10),0)</f>
        <v>503799</v>
      </c>
      <c r="S164" s="295">
        <f t="shared" ref="S164:T164" si="3573">R164</f>
        <v>503799</v>
      </c>
      <c r="T164" s="295">
        <f t="shared" si="3573"/>
        <v>503799</v>
      </c>
      <c r="U164" s="295">
        <f>T164</f>
        <v>503799</v>
      </c>
      <c r="V164" s="295">
        <f>ROUND(U164*(1+取值表!$D$10),0)</f>
        <v>550652</v>
      </c>
      <c r="W164" s="295">
        <f t="shared" ref="W164:Y164" si="3574">V164</f>
        <v>550652</v>
      </c>
      <c r="X164" s="295">
        <f t="shared" si="3574"/>
        <v>550652</v>
      </c>
      <c r="Y164" s="295">
        <f t="shared" si="3574"/>
        <v>550652</v>
      </c>
      <c r="Z164" s="295">
        <f>ROUND(Y164*(1+取值表!$D$10),0)</f>
        <v>601863</v>
      </c>
      <c r="AA164" s="295">
        <f t="shared" ref="AA164" si="3575">Z164</f>
        <v>601863</v>
      </c>
      <c r="AB164" s="295">
        <f t="shared" ref="AB164" si="3576">AA164</f>
        <v>601863</v>
      </c>
      <c r="AC164" s="295">
        <f>AB164</f>
        <v>601863</v>
      </c>
      <c r="AD164" s="295">
        <f>ROUND(AC164*(1+取值表!$D$10),0)</f>
        <v>657836</v>
      </c>
      <c r="AE164" s="295">
        <f t="shared" ref="AE164" si="3577">AD164</f>
        <v>657836</v>
      </c>
      <c r="AF164" s="295">
        <f t="shared" ref="AF164" si="3578">AE164</f>
        <v>657836</v>
      </c>
      <c r="AG164" s="295">
        <f t="shared" ref="AG164" si="3579">AF164</f>
        <v>657836</v>
      </c>
      <c r="AH164" s="295">
        <f>ROUND(AG164*(1+取值表!$D$10),0)</f>
        <v>719015</v>
      </c>
      <c r="AI164" s="295">
        <f t="shared" ref="AI164" si="3580">AH164</f>
        <v>719015</v>
      </c>
      <c r="AJ164" s="295">
        <f t="shared" ref="AJ164" si="3581">AI164</f>
        <v>719015</v>
      </c>
      <c r="AK164" s="295">
        <f t="shared" ref="AK164" si="3582">AJ164</f>
        <v>719015</v>
      </c>
      <c r="AL164" s="295">
        <f>ROUND(AK164*(1+取值表!$D$10),0)</f>
        <v>785883</v>
      </c>
      <c r="AM164" s="295">
        <f t="shared" ref="AM164" si="3583">AL164</f>
        <v>785883</v>
      </c>
      <c r="AN164" s="295">
        <f t="shared" ref="AN164" si="3584">AM164</f>
        <v>785883</v>
      </c>
      <c r="AO164" s="295">
        <f t="shared" ref="AO164" si="3585">AN164</f>
        <v>785883</v>
      </c>
      <c r="AP164" s="295">
        <f>ROUND(AO164*(1+取值表!$D$10),0)</f>
        <v>858970</v>
      </c>
      <c r="AQ164" s="295">
        <f t="shared" ref="AQ164" si="3586">AP164</f>
        <v>858970</v>
      </c>
      <c r="AR164" s="295">
        <f t="shared" ref="AR164" si="3587">AQ164</f>
        <v>858970</v>
      </c>
      <c r="AS164" s="295">
        <f t="shared" ref="AS164" si="3588">AR164</f>
        <v>858970</v>
      </c>
      <c r="AT164" s="295">
        <f>ROUND(AS164*(1+取值表!$D$10),0)</f>
        <v>938854</v>
      </c>
      <c r="AU164" s="295">
        <f t="shared" ref="AU164" si="3589">AT164</f>
        <v>938854</v>
      </c>
      <c r="AV164" s="295">
        <f t="shared" ref="AV164" si="3590">AU164</f>
        <v>938854</v>
      </c>
      <c r="AW164" s="295">
        <f t="shared" ref="AW164" si="3591">AV164</f>
        <v>938854</v>
      </c>
      <c r="AX164" s="295">
        <f>ROUND(AW164*(1+取值表!$D$10),0)</f>
        <v>1026167</v>
      </c>
      <c r="AY164" s="295">
        <f t="shared" ref="AY164" si="3592">AX164</f>
        <v>1026167</v>
      </c>
      <c r="AZ164" s="295">
        <f t="shared" ref="AZ164" si="3593">AY164</f>
        <v>1026167</v>
      </c>
      <c r="BA164" s="295">
        <f t="shared" ref="BA164" si="3594">AZ164</f>
        <v>1026167</v>
      </c>
      <c r="BB164" s="295">
        <f>ROUND(BA164*(1+取值表!$D$10),0)</f>
        <v>1121601</v>
      </c>
      <c r="BC164" s="295">
        <f>BB164</f>
        <v>1121601</v>
      </c>
      <c r="BD164" s="295">
        <f t="shared" ref="BD164" si="3595">BC164</f>
        <v>1121601</v>
      </c>
      <c r="BE164" s="295">
        <f>BD164</f>
        <v>1121601</v>
      </c>
      <c r="BF164" s="295">
        <f>ROUND(BE164*(1+取值表!$D$10),0)</f>
        <v>1225910</v>
      </c>
      <c r="BG164" s="295">
        <f>BF164</f>
        <v>1225910</v>
      </c>
      <c r="BH164" s="295">
        <f t="shared" ref="BH164" si="3596">BG164</f>
        <v>1225910</v>
      </c>
      <c r="BI164" s="295">
        <f t="shared" ref="BI164" si="3597">BH164</f>
        <v>1225910</v>
      </c>
      <c r="BJ164" s="295">
        <f>ROUND(BI164*(1+取值表!$D$10),0)</f>
        <v>1339920</v>
      </c>
      <c r="BK164" s="295">
        <f t="shared" ref="BK164" si="3598">BJ164</f>
        <v>1339920</v>
      </c>
      <c r="BL164" s="295">
        <f t="shared" ref="BL164" si="3599">BK164</f>
        <v>1339920</v>
      </c>
      <c r="BM164" s="295">
        <f t="shared" ref="BM164" si="3600">BL164</f>
        <v>1339920</v>
      </c>
      <c r="BN164" s="295">
        <f>ROUND(BM164*(1+取值表!$D$10),0)</f>
        <v>1464533</v>
      </c>
      <c r="BO164" s="295">
        <f t="shared" ref="BO164" si="3601">BN164</f>
        <v>1464533</v>
      </c>
      <c r="BP164" s="295">
        <f t="shared" ref="BP164" si="3602">BO164</f>
        <v>1464533</v>
      </c>
      <c r="BQ164" s="295">
        <f t="shared" ref="BQ164" si="3603">BP164</f>
        <v>1464533</v>
      </c>
      <c r="BR164" s="295">
        <f>ROUND(BQ164*(1+取值表!$D$10),0)</f>
        <v>1600735</v>
      </c>
      <c r="BS164" s="295">
        <f t="shared" ref="BS164" si="3604">BR164</f>
        <v>1600735</v>
      </c>
      <c r="BT164" s="295">
        <f t="shared" ref="BT164" si="3605">BS164</f>
        <v>1600735</v>
      </c>
      <c r="BU164" s="295">
        <f t="shared" ref="BU164" si="3606">BT164</f>
        <v>1600735</v>
      </c>
      <c r="BV164" s="295">
        <f>ROUND(BU164*(1+取值表!$D$10),0)</f>
        <v>1749603</v>
      </c>
      <c r="BW164" s="295">
        <f t="shared" ref="BW164" si="3607">BV164</f>
        <v>1749603</v>
      </c>
      <c r="BX164" s="295">
        <f t="shared" ref="BX164" si="3608">BW164</f>
        <v>1749603</v>
      </c>
      <c r="BY164" s="295">
        <f t="shared" ref="BY164" si="3609">BX164</f>
        <v>1749603</v>
      </c>
      <c r="BZ164" s="295">
        <f>ROUND(BY164*(1+取值表!$D$10),0)</f>
        <v>1912316</v>
      </c>
      <c r="CA164" s="295">
        <f t="shared" ref="CA164" si="3610">BZ164</f>
        <v>1912316</v>
      </c>
      <c r="CB164" s="295">
        <f t="shared" ref="CB164" si="3611">CA164</f>
        <v>1912316</v>
      </c>
      <c r="CC164" s="295">
        <f t="shared" ref="CC164" si="3612">CB164</f>
        <v>1912316</v>
      </c>
      <c r="CD164" s="295">
        <f>ROUND(CC164*(1+取值表!$D$10),0)</f>
        <v>2090161</v>
      </c>
      <c r="CE164" s="295">
        <f t="shared" ref="CE164" si="3613">CD164</f>
        <v>2090161</v>
      </c>
      <c r="CF164" s="295">
        <f t="shared" ref="CF164" si="3614">CE164</f>
        <v>2090161</v>
      </c>
      <c r="CG164" s="295">
        <f t="shared" ref="CG164" si="3615">CF164</f>
        <v>2090161</v>
      </c>
      <c r="CH164" s="295">
        <f>ROUND(CG164*(1+取值表!$D$10),0)</f>
        <v>2284546</v>
      </c>
      <c r="CI164" s="295">
        <f>CH164</f>
        <v>2284546</v>
      </c>
      <c r="CJ164" s="295">
        <f t="shared" ref="CJ164" si="3616">CI164</f>
        <v>2284546</v>
      </c>
      <c r="CK164" s="295">
        <f t="shared" ref="CK164" si="3617">CJ164</f>
        <v>2284546</v>
      </c>
      <c r="CL164" s="295">
        <f>ROUND(CK164*(1+取值表!$D$10),0)</f>
        <v>2497009</v>
      </c>
      <c r="CM164" s="295">
        <f>CL164</f>
        <v>2497009</v>
      </c>
      <c r="CN164" s="295">
        <f t="shared" ref="CN164" si="3618">CM164</f>
        <v>2497009</v>
      </c>
      <c r="CO164" s="295">
        <f t="shared" ref="CO164" si="3619">CN164</f>
        <v>2497009</v>
      </c>
      <c r="CP164" s="293">
        <f t="shared" si="2858"/>
        <v>99353836</v>
      </c>
      <c r="CQ164" s="308"/>
      <c r="CR164" s="308"/>
      <c r="CS164" s="308"/>
      <c r="CT164" s="308"/>
      <c r="CU164" s="308"/>
      <c r="CV164" s="308"/>
      <c r="CW164" s="308"/>
      <c r="CX164" s="308"/>
      <c r="CY164" s="308"/>
      <c r="CZ164" s="308"/>
      <c r="DA164" s="308"/>
      <c r="DB164" s="308"/>
      <c r="DC164" s="308"/>
      <c r="DD164" s="308"/>
      <c r="DE164" s="308"/>
      <c r="DF164" s="308"/>
      <c r="DG164" s="308"/>
      <c r="DH164" s="308"/>
      <c r="DI164" s="308"/>
      <c r="DJ164" s="308"/>
      <c r="DK164" s="308"/>
      <c r="DL164" s="308"/>
      <c r="DM164" s="308"/>
      <c r="DN164" s="308"/>
      <c r="DO164" s="308"/>
      <c r="DP164" s="308"/>
      <c r="DQ164" s="308"/>
      <c r="DR164" s="308"/>
      <c r="DS164" s="308"/>
      <c r="DT164" s="308"/>
      <c r="DU164" s="308"/>
      <c r="DV164" s="308"/>
      <c r="DW164" s="308"/>
      <c r="DX164" s="308"/>
      <c r="DY164" s="308"/>
      <c r="DZ164" s="308"/>
      <c r="EA164" s="308"/>
      <c r="EB164" s="308"/>
      <c r="EC164" s="308"/>
      <c r="ED164" s="308"/>
      <c r="EE164" s="308"/>
      <c r="EF164" s="308"/>
      <c r="EG164" s="308"/>
      <c r="EH164" s="308"/>
      <c r="EI164" s="308"/>
      <c r="EJ164" s="308"/>
      <c r="EK164" s="308"/>
      <c r="EL164" s="308"/>
      <c r="EM164" s="308"/>
      <c r="EN164" s="308"/>
      <c r="EO164" s="308"/>
      <c r="EP164" s="308"/>
      <c r="EQ164" s="308"/>
      <c r="ER164" s="308"/>
      <c r="ES164" s="308"/>
      <c r="ET164" s="308"/>
      <c r="EU164" s="308"/>
      <c r="EV164" s="308"/>
      <c r="EW164" s="308"/>
      <c r="EX164" s="308"/>
      <c r="EY164" s="308"/>
      <c r="EZ164" s="308"/>
      <c r="FA164" s="308"/>
      <c r="FB164" s="308"/>
      <c r="FC164" s="308"/>
      <c r="FD164" s="308"/>
      <c r="FE164" s="308"/>
      <c r="FF164" s="308"/>
      <c r="FG164" s="308"/>
      <c r="FH164" s="308"/>
      <c r="FI164" s="308"/>
      <c r="FJ164" s="308"/>
      <c r="FK164" s="308"/>
      <c r="FL164" s="308"/>
      <c r="FM164" s="308"/>
      <c r="FN164" s="308"/>
      <c r="FO164" s="308"/>
      <c r="FP164" s="308"/>
      <c r="FQ164" s="308"/>
      <c r="FR164" s="308"/>
      <c r="FS164" s="308"/>
      <c r="FT164" s="308"/>
      <c r="FU164" s="308"/>
      <c r="FV164" s="308"/>
      <c r="FW164" s="308"/>
      <c r="FX164" s="308"/>
      <c r="FY164" s="308"/>
      <c r="FZ164" s="308"/>
      <c r="GA164" s="308"/>
      <c r="GB164" s="308"/>
      <c r="GC164" s="308"/>
      <c r="GD164" s="308"/>
      <c r="GE164" s="308"/>
      <c r="GF164" s="308"/>
      <c r="GG164" s="308"/>
      <c r="GH164" s="308"/>
      <c r="GI164" s="308"/>
      <c r="GJ164" s="308"/>
      <c r="GK164" s="308"/>
      <c r="GL164" s="308"/>
      <c r="GM164" s="308"/>
      <c r="GN164" s="308"/>
      <c r="GO164" s="308"/>
      <c r="GP164" s="308"/>
      <c r="GQ164" s="308"/>
      <c r="GR164" s="308"/>
      <c r="GS164" s="308"/>
      <c r="GT164" s="308"/>
      <c r="GU164" s="308"/>
      <c r="GV164" s="308"/>
      <c r="GW164" s="308"/>
      <c r="GX164" s="308"/>
      <c r="GY164" s="308"/>
      <c r="GZ164" s="308"/>
      <c r="HA164" s="380">
        <f t="shared" si="3572"/>
        <v>198707672</v>
      </c>
      <c r="HB164" s="308">
        <f>HC164*2</f>
        <v>35206.080000000002</v>
      </c>
      <c r="HC164" s="380">
        <v>17603.04</v>
      </c>
      <c r="HD164" s="360">
        <v>13659161.35</v>
      </c>
    </row>
    <row r="165" spans="1:212" s="299" customFormat="1" ht="12" customHeight="1">
      <c r="A165" s="670"/>
      <c r="B165" s="684"/>
      <c r="C165" s="686"/>
      <c r="D165" s="676"/>
      <c r="E165" s="688"/>
      <c r="F165" s="655"/>
      <c r="G165" s="655"/>
      <c r="H165" s="657"/>
      <c r="I165" s="313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  <c r="AA165" s="295"/>
      <c r="AB165" s="295"/>
      <c r="AC165" s="295"/>
      <c r="AD165" s="295"/>
      <c r="AE165" s="295"/>
      <c r="AF165" s="295"/>
      <c r="AG165" s="295"/>
      <c r="AH165" s="295"/>
      <c r="AI165" s="295"/>
      <c r="AJ165" s="295"/>
      <c r="AK165" s="295"/>
      <c r="AL165" s="295"/>
      <c r="AM165" s="295"/>
      <c r="AN165" s="295"/>
      <c r="AO165" s="295"/>
      <c r="AP165" s="295"/>
      <c r="AQ165" s="295"/>
      <c r="AR165" s="295"/>
      <c r="AS165" s="295"/>
      <c r="AT165" s="295"/>
      <c r="AU165" s="295"/>
      <c r="AV165" s="295"/>
      <c r="AW165" s="295"/>
      <c r="AX165" s="295"/>
      <c r="AY165" s="295"/>
      <c r="AZ165" s="295"/>
      <c r="BA165" s="295"/>
      <c r="BB165" s="295"/>
      <c r="BC165" s="295"/>
      <c r="BD165" s="295"/>
      <c r="BE165" s="295"/>
      <c r="BF165" s="295"/>
      <c r="BG165" s="295"/>
      <c r="BH165" s="295"/>
      <c r="BI165" s="295"/>
      <c r="BJ165" s="295"/>
      <c r="BK165" s="295"/>
      <c r="BL165" s="295"/>
      <c r="BM165" s="295"/>
      <c r="BN165" s="295"/>
      <c r="BO165" s="295"/>
      <c r="BP165" s="295"/>
      <c r="BQ165" s="295"/>
      <c r="BR165" s="295"/>
      <c r="BS165" s="295"/>
      <c r="BT165" s="295"/>
      <c r="BU165" s="295"/>
      <c r="BV165" s="295"/>
      <c r="BW165" s="295"/>
      <c r="BX165" s="295"/>
      <c r="BY165" s="295"/>
      <c r="BZ165" s="295"/>
      <c r="CA165" s="295"/>
      <c r="CB165" s="295"/>
      <c r="CC165" s="295"/>
      <c r="CD165" s="295"/>
      <c r="CE165" s="295"/>
      <c r="CF165" s="295"/>
      <c r="CG165" s="295"/>
      <c r="CH165" s="295"/>
      <c r="CI165" s="295"/>
      <c r="CJ165" s="295"/>
      <c r="CK165" s="295"/>
      <c r="CL165" s="295"/>
      <c r="CM165" s="295"/>
      <c r="CN165" s="295"/>
      <c r="CO165" s="295"/>
      <c r="CP165" s="293">
        <f t="shared" si="2858"/>
        <v>0</v>
      </c>
      <c r="CQ165" s="312"/>
      <c r="CR165" s="312"/>
      <c r="CS165" s="312"/>
      <c r="CT165" s="312"/>
      <c r="CU165" s="312"/>
      <c r="CV165" s="312"/>
      <c r="CW165" s="312"/>
      <c r="CX165" s="312"/>
      <c r="CY165" s="312"/>
      <c r="CZ165" s="312"/>
      <c r="DA165" s="312"/>
      <c r="DB165" s="312"/>
      <c r="DC165" s="312"/>
      <c r="DD165" s="312"/>
      <c r="DE165" s="312"/>
      <c r="DF165" s="312"/>
      <c r="DG165" s="312"/>
      <c r="DH165" s="312"/>
      <c r="DI165" s="312"/>
      <c r="DJ165" s="312"/>
      <c r="DK165" s="312"/>
      <c r="DL165" s="312"/>
      <c r="DM165" s="312"/>
      <c r="DN165" s="312"/>
      <c r="DO165" s="312"/>
      <c r="DP165" s="312"/>
      <c r="DQ165" s="312"/>
      <c r="DR165" s="312"/>
      <c r="DS165" s="312"/>
      <c r="DT165" s="312"/>
      <c r="DU165" s="312"/>
      <c r="DV165" s="312"/>
      <c r="DW165" s="312"/>
      <c r="DX165" s="312"/>
      <c r="DY165" s="312"/>
      <c r="DZ165" s="312"/>
      <c r="EA165" s="312"/>
      <c r="EB165" s="312"/>
      <c r="EC165" s="312"/>
      <c r="ED165" s="312"/>
      <c r="EE165" s="312"/>
      <c r="EF165" s="312"/>
      <c r="EG165" s="312"/>
      <c r="EH165" s="312"/>
      <c r="EI165" s="312"/>
      <c r="EJ165" s="312"/>
      <c r="EK165" s="312"/>
      <c r="EL165" s="312"/>
      <c r="EM165" s="312"/>
      <c r="EN165" s="312"/>
      <c r="EO165" s="312"/>
      <c r="EP165" s="312"/>
      <c r="EQ165" s="312"/>
      <c r="ER165" s="312"/>
      <c r="ES165" s="312"/>
      <c r="ET165" s="312"/>
      <c r="EU165" s="312"/>
      <c r="EV165" s="312"/>
      <c r="EW165" s="312"/>
      <c r="EX165" s="312"/>
      <c r="EY165" s="312"/>
      <c r="EZ165" s="312"/>
      <c r="FA165" s="312"/>
      <c r="FB165" s="312"/>
      <c r="FC165" s="312"/>
      <c r="FD165" s="312"/>
      <c r="FE165" s="312"/>
      <c r="FF165" s="312"/>
      <c r="FG165" s="312"/>
      <c r="FH165" s="312"/>
      <c r="FI165" s="312"/>
      <c r="FJ165" s="312"/>
      <c r="FK165" s="312"/>
      <c r="FL165" s="312"/>
      <c r="FM165" s="312"/>
      <c r="FN165" s="312"/>
      <c r="FO165" s="312"/>
      <c r="FP165" s="312"/>
      <c r="FQ165" s="312"/>
      <c r="FR165" s="312"/>
      <c r="FS165" s="312"/>
      <c r="FT165" s="312"/>
      <c r="FU165" s="312"/>
      <c r="FV165" s="312"/>
      <c r="FW165" s="312"/>
      <c r="FX165" s="312"/>
      <c r="FY165" s="312"/>
      <c r="FZ165" s="312"/>
      <c r="GA165" s="312"/>
      <c r="GB165" s="312"/>
      <c r="GC165" s="312"/>
      <c r="GD165" s="312"/>
      <c r="GE165" s="312"/>
      <c r="GF165" s="312"/>
      <c r="GG165" s="312"/>
      <c r="GH165" s="312"/>
      <c r="GI165" s="312"/>
      <c r="GJ165" s="312"/>
      <c r="GK165" s="312"/>
      <c r="GL165" s="312"/>
      <c r="GM165" s="312"/>
      <c r="GN165" s="312"/>
      <c r="GO165" s="312"/>
      <c r="GP165" s="312"/>
      <c r="GQ165" s="312"/>
      <c r="GR165" s="312"/>
      <c r="GS165" s="312"/>
      <c r="GT165" s="312"/>
      <c r="GU165" s="312"/>
      <c r="GV165" s="312"/>
      <c r="GW165" s="312"/>
      <c r="GX165" s="312"/>
      <c r="GY165" s="312"/>
      <c r="GZ165" s="312"/>
      <c r="HA165" s="381">
        <f t="shared" si="3572"/>
        <v>0</v>
      </c>
      <c r="HB165" s="312"/>
      <c r="HC165" s="381"/>
      <c r="HD165" s="360">
        <v>12777203.27</v>
      </c>
    </row>
    <row r="166" spans="1:212" s="299" customFormat="1" ht="12" customHeight="1">
      <c r="A166" s="669">
        <v>83</v>
      </c>
      <c r="B166" s="683" t="s">
        <v>556</v>
      </c>
      <c r="C166" s="685" t="s">
        <v>759</v>
      </c>
      <c r="D166" s="675" t="s">
        <v>699</v>
      </c>
      <c r="E166" s="687" t="s">
        <v>455</v>
      </c>
      <c r="F166" s="654">
        <v>197.53</v>
      </c>
      <c r="G166" s="654">
        <v>24</v>
      </c>
      <c r="H166" s="656">
        <f>F166*G166*365</f>
        <v>1730362.8</v>
      </c>
      <c r="I166" s="307">
        <v>414566.09</v>
      </c>
      <c r="J166" s="295">
        <f>ROUND(G166*F166*365/4,0)</f>
        <v>432591</v>
      </c>
      <c r="K166" s="295">
        <f>J166</f>
        <v>432591</v>
      </c>
      <c r="L166" s="295">
        <f>K166</f>
        <v>432591</v>
      </c>
      <c r="M166" s="292">
        <f>L166</f>
        <v>432591</v>
      </c>
      <c r="N166" s="293">
        <f>ROUND(M166*(1+取值表!$D$10)*取值表!$I$10,0)</f>
        <v>444925</v>
      </c>
      <c r="O166" s="295">
        <f>N166</f>
        <v>444925</v>
      </c>
      <c r="P166" s="295">
        <f>O166</f>
        <v>444925</v>
      </c>
      <c r="Q166" s="295">
        <f>P166</f>
        <v>444925</v>
      </c>
      <c r="R166" s="294">
        <f>ROUND(Q166*(1+取值表!$D$10),0)</f>
        <v>486303</v>
      </c>
      <c r="S166" s="295">
        <f t="shared" ref="S166:T166" si="3620">R166</f>
        <v>486303</v>
      </c>
      <c r="T166" s="295">
        <f t="shared" si="3620"/>
        <v>486303</v>
      </c>
      <c r="U166" s="295">
        <f>T166</f>
        <v>486303</v>
      </c>
      <c r="V166" s="295">
        <f>ROUND(U166*(1+取值表!$D$10),0)</f>
        <v>531529</v>
      </c>
      <c r="W166" s="295">
        <f t="shared" ref="W166:Y166" si="3621">V166</f>
        <v>531529</v>
      </c>
      <c r="X166" s="295">
        <f t="shared" si="3621"/>
        <v>531529</v>
      </c>
      <c r="Y166" s="295">
        <f t="shared" si="3621"/>
        <v>531529</v>
      </c>
      <c r="Z166" s="295">
        <f>ROUND(Y166*(1+取值表!$D$10),0)</f>
        <v>580961</v>
      </c>
      <c r="AA166" s="295">
        <f t="shared" ref="AA166" si="3622">Z166</f>
        <v>580961</v>
      </c>
      <c r="AB166" s="295">
        <f t="shared" ref="AB166" si="3623">AA166</f>
        <v>580961</v>
      </c>
      <c r="AC166" s="295">
        <f>AB166</f>
        <v>580961</v>
      </c>
      <c r="AD166" s="295">
        <f>ROUND(AC166*(1+取值表!$D$10),0)</f>
        <v>634990</v>
      </c>
      <c r="AE166" s="295">
        <f t="shared" ref="AE166" si="3624">AD166</f>
        <v>634990</v>
      </c>
      <c r="AF166" s="295">
        <f t="shared" ref="AF166" si="3625">AE166</f>
        <v>634990</v>
      </c>
      <c r="AG166" s="295">
        <f t="shared" ref="AG166" si="3626">AF166</f>
        <v>634990</v>
      </c>
      <c r="AH166" s="295">
        <f>ROUND(AG166*(1+取值表!$D$10),0)</f>
        <v>694044</v>
      </c>
      <c r="AI166" s="295">
        <f t="shared" ref="AI166" si="3627">AH166</f>
        <v>694044</v>
      </c>
      <c r="AJ166" s="295">
        <f t="shared" ref="AJ166" si="3628">AI166</f>
        <v>694044</v>
      </c>
      <c r="AK166" s="295">
        <f t="shared" ref="AK166" si="3629">AJ166</f>
        <v>694044</v>
      </c>
      <c r="AL166" s="295">
        <f>ROUND(AK166*(1+取值表!$D$10),0)</f>
        <v>758590</v>
      </c>
      <c r="AM166" s="295">
        <f t="shared" ref="AM166" si="3630">AL166</f>
        <v>758590</v>
      </c>
      <c r="AN166" s="295">
        <f t="shared" ref="AN166" si="3631">AM166</f>
        <v>758590</v>
      </c>
      <c r="AO166" s="295">
        <f t="shared" ref="AO166" si="3632">AN166</f>
        <v>758590</v>
      </c>
      <c r="AP166" s="295">
        <f>ROUND(AO166*(1+取值表!$D$10),0)</f>
        <v>829139</v>
      </c>
      <c r="AQ166" s="295">
        <f t="shared" ref="AQ166" si="3633">AP166</f>
        <v>829139</v>
      </c>
      <c r="AR166" s="295">
        <f t="shared" ref="AR166" si="3634">AQ166</f>
        <v>829139</v>
      </c>
      <c r="AS166" s="295">
        <f t="shared" ref="AS166" si="3635">AR166</f>
        <v>829139</v>
      </c>
      <c r="AT166" s="295">
        <f>ROUND(AS166*(1+取值表!$D$10),0)</f>
        <v>906249</v>
      </c>
      <c r="AU166" s="295">
        <f t="shared" ref="AU166" si="3636">AT166</f>
        <v>906249</v>
      </c>
      <c r="AV166" s="295">
        <f t="shared" ref="AV166" si="3637">AU166</f>
        <v>906249</v>
      </c>
      <c r="AW166" s="295">
        <f t="shared" ref="AW166" si="3638">AV166</f>
        <v>906249</v>
      </c>
      <c r="AX166" s="295">
        <f>ROUND(AW166*(1+取值表!$D$10),0)</f>
        <v>990530</v>
      </c>
      <c r="AY166" s="295">
        <f t="shared" ref="AY166" si="3639">AX166</f>
        <v>990530</v>
      </c>
      <c r="AZ166" s="295">
        <f t="shared" ref="AZ166" si="3640">AY166</f>
        <v>990530</v>
      </c>
      <c r="BA166" s="295">
        <f t="shared" ref="BA166" si="3641">AZ166</f>
        <v>990530</v>
      </c>
      <c r="BB166" s="295">
        <f>ROUND(BA166*(1+取值表!$D$10),0)</f>
        <v>1082649</v>
      </c>
      <c r="BC166" s="295">
        <f>BB166</f>
        <v>1082649</v>
      </c>
      <c r="BD166" s="295">
        <f t="shared" ref="BD166" si="3642">BC166</f>
        <v>1082649</v>
      </c>
      <c r="BE166" s="295">
        <f>BD166</f>
        <v>1082649</v>
      </c>
      <c r="BF166" s="295">
        <f>ROUND(BE166*(1+取值表!$D$10),0)</f>
        <v>1183335</v>
      </c>
      <c r="BG166" s="295">
        <f>BF166</f>
        <v>1183335</v>
      </c>
      <c r="BH166" s="295">
        <f t="shared" ref="BH166" si="3643">BG166</f>
        <v>1183335</v>
      </c>
      <c r="BI166" s="295">
        <f t="shared" ref="BI166" si="3644">BH166</f>
        <v>1183335</v>
      </c>
      <c r="BJ166" s="295">
        <f>ROUND(BI166*(1+取值表!$D$10),0)</f>
        <v>1293385</v>
      </c>
      <c r="BK166" s="295">
        <f t="shared" ref="BK166" si="3645">BJ166</f>
        <v>1293385</v>
      </c>
      <c r="BL166" s="295">
        <f t="shared" ref="BL166" si="3646">BK166</f>
        <v>1293385</v>
      </c>
      <c r="BM166" s="295">
        <f t="shared" ref="BM166" si="3647">BL166</f>
        <v>1293385</v>
      </c>
      <c r="BN166" s="295">
        <f>ROUND(BM166*(1+取值表!$D$10),0)</f>
        <v>1413670</v>
      </c>
      <c r="BO166" s="295">
        <f t="shared" ref="BO166" si="3648">BN166</f>
        <v>1413670</v>
      </c>
      <c r="BP166" s="295">
        <f t="shared" ref="BP166" si="3649">BO166</f>
        <v>1413670</v>
      </c>
      <c r="BQ166" s="295">
        <f t="shared" ref="BQ166" si="3650">BP166</f>
        <v>1413670</v>
      </c>
      <c r="BR166" s="295">
        <f>ROUND(BQ166*(1+取值表!$D$10),0)</f>
        <v>1545141</v>
      </c>
      <c r="BS166" s="295">
        <f t="shared" ref="BS166" si="3651">BR166</f>
        <v>1545141</v>
      </c>
      <c r="BT166" s="295">
        <f t="shared" ref="BT166" si="3652">BS166</f>
        <v>1545141</v>
      </c>
      <c r="BU166" s="295">
        <f t="shared" ref="BU166" si="3653">BT166</f>
        <v>1545141</v>
      </c>
      <c r="BV166" s="295">
        <f>ROUND(BU166*(1+取值表!$D$10),0)</f>
        <v>1688839</v>
      </c>
      <c r="BW166" s="295">
        <f t="shared" ref="BW166" si="3654">BV166</f>
        <v>1688839</v>
      </c>
      <c r="BX166" s="295">
        <f t="shared" ref="BX166" si="3655">BW166</f>
        <v>1688839</v>
      </c>
      <c r="BY166" s="295">
        <f t="shared" ref="BY166" si="3656">BX166</f>
        <v>1688839</v>
      </c>
      <c r="BZ166" s="295">
        <f>ROUND(BY166*(1+取值表!$D$10),0)</f>
        <v>1845901</v>
      </c>
      <c r="CA166" s="295">
        <f t="shared" ref="CA166" si="3657">BZ166</f>
        <v>1845901</v>
      </c>
      <c r="CB166" s="295">
        <f t="shared" ref="CB166" si="3658">CA166</f>
        <v>1845901</v>
      </c>
      <c r="CC166" s="295">
        <f t="shared" ref="CC166" si="3659">CB166</f>
        <v>1845901</v>
      </c>
      <c r="CD166" s="295">
        <f>ROUND(CC166*(1+取值表!$D$10),0)</f>
        <v>2017570</v>
      </c>
      <c r="CE166" s="295">
        <f t="shared" ref="CE166" si="3660">CD166</f>
        <v>2017570</v>
      </c>
      <c r="CF166" s="295">
        <f t="shared" ref="CF166" si="3661">CE166</f>
        <v>2017570</v>
      </c>
      <c r="CG166" s="295">
        <f t="shared" ref="CG166" si="3662">CF166</f>
        <v>2017570</v>
      </c>
      <c r="CH166" s="295">
        <f>ROUND(CG166*(1+取值表!$D$10),0)</f>
        <v>2205204</v>
      </c>
      <c r="CI166" s="295">
        <f>CH166</f>
        <v>2205204</v>
      </c>
      <c r="CJ166" s="295">
        <f t="shared" ref="CJ166" si="3663">CI166</f>
        <v>2205204</v>
      </c>
      <c r="CK166" s="295">
        <f t="shared" ref="CK166" si="3664">CJ166</f>
        <v>2205204</v>
      </c>
      <c r="CL166" s="295">
        <f>ROUND(CK166*(1+取值表!$D$10),0)</f>
        <v>2410288</v>
      </c>
      <c r="CM166" s="295">
        <f>CL166</f>
        <v>2410288</v>
      </c>
      <c r="CN166" s="295">
        <f t="shared" ref="CN166" si="3665">CM166</f>
        <v>2410288</v>
      </c>
      <c r="CO166" s="295">
        <f t="shared" ref="CO166" si="3666">CN166</f>
        <v>2410288</v>
      </c>
      <c r="CP166" s="293">
        <f t="shared" si="2858"/>
        <v>95903332</v>
      </c>
      <c r="CQ166" s="308"/>
      <c r="CR166" s="308"/>
      <c r="CS166" s="308"/>
      <c r="CT166" s="308"/>
      <c r="CU166" s="308"/>
      <c r="CV166" s="308"/>
      <c r="CW166" s="308"/>
      <c r="CX166" s="308"/>
      <c r="CY166" s="308"/>
      <c r="CZ166" s="308"/>
      <c r="DA166" s="308"/>
      <c r="DB166" s="308"/>
      <c r="DC166" s="308"/>
      <c r="DD166" s="308"/>
      <c r="DE166" s="308"/>
      <c r="DF166" s="308"/>
      <c r="DG166" s="308"/>
      <c r="DH166" s="308"/>
      <c r="DI166" s="308"/>
      <c r="DJ166" s="308"/>
      <c r="DK166" s="308"/>
      <c r="DL166" s="308"/>
      <c r="DM166" s="308"/>
      <c r="DN166" s="308"/>
      <c r="DO166" s="308"/>
      <c r="DP166" s="308"/>
      <c r="DQ166" s="308"/>
      <c r="DR166" s="308"/>
      <c r="DS166" s="308"/>
      <c r="DT166" s="308"/>
      <c r="DU166" s="308"/>
      <c r="DV166" s="308"/>
      <c r="DW166" s="308"/>
      <c r="DX166" s="308"/>
      <c r="DY166" s="308"/>
      <c r="DZ166" s="308"/>
      <c r="EA166" s="308"/>
      <c r="EB166" s="308"/>
      <c r="EC166" s="308"/>
      <c r="ED166" s="308"/>
      <c r="EE166" s="308"/>
      <c r="EF166" s="308"/>
      <c r="EG166" s="308"/>
      <c r="EH166" s="308"/>
      <c r="EI166" s="308"/>
      <c r="EJ166" s="308"/>
      <c r="EK166" s="308"/>
      <c r="EL166" s="308"/>
      <c r="EM166" s="308"/>
      <c r="EN166" s="308"/>
      <c r="EO166" s="308"/>
      <c r="EP166" s="308"/>
      <c r="EQ166" s="308"/>
      <c r="ER166" s="308"/>
      <c r="ES166" s="308"/>
      <c r="ET166" s="308"/>
      <c r="EU166" s="308"/>
      <c r="EV166" s="308"/>
      <c r="EW166" s="308"/>
      <c r="EX166" s="308"/>
      <c r="EY166" s="308"/>
      <c r="EZ166" s="308"/>
      <c r="FA166" s="308"/>
      <c r="FB166" s="308"/>
      <c r="FC166" s="308"/>
      <c r="FD166" s="308"/>
      <c r="FE166" s="308"/>
      <c r="FF166" s="308"/>
      <c r="FG166" s="308"/>
      <c r="FH166" s="308"/>
      <c r="FI166" s="308"/>
      <c r="FJ166" s="308"/>
      <c r="FK166" s="308"/>
      <c r="FL166" s="308"/>
      <c r="FM166" s="308"/>
      <c r="FN166" s="308"/>
      <c r="FO166" s="308"/>
      <c r="FP166" s="308"/>
      <c r="FQ166" s="308"/>
      <c r="FR166" s="308"/>
      <c r="FS166" s="308"/>
      <c r="FT166" s="308"/>
      <c r="FU166" s="308"/>
      <c r="FV166" s="308"/>
      <c r="FW166" s="308"/>
      <c r="FX166" s="308"/>
      <c r="FY166" s="308"/>
      <c r="FZ166" s="308"/>
      <c r="GA166" s="308"/>
      <c r="GB166" s="308"/>
      <c r="GC166" s="308"/>
      <c r="GD166" s="308"/>
      <c r="GE166" s="308"/>
      <c r="GF166" s="308"/>
      <c r="GG166" s="308"/>
      <c r="GH166" s="308"/>
      <c r="GI166" s="308"/>
      <c r="GJ166" s="308"/>
      <c r="GK166" s="308"/>
      <c r="GL166" s="308"/>
      <c r="GM166" s="308"/>
      <c r="GN166" s="308"/>
      <c r="GO166" s="308"/>
      <c r="GP166" s="308"/>
      <c r="GQ166" s="308"/>
      <c r="GR166" s="308"/>
      <c r="GS166" s="308"/>
      <c r="GT166" s="308"/>
      <c r="GU166" s="308"/>
      <c r="GV166" s="308"/>
      <c r="GW166" s="308"/>
      <c r="GX166" s="308"/>
      <c r="GY166" s="308"/>
      <c r="GZ166" s="308"/>
      <c r="HA166" s="380">
        <f t="shared" si="3572"/>
        <v>191806664</v>
      </c>
      <c r="HB166" s="308"/>
      <c r="HC166" s="380"/>
      <c r="HD166" s="360">
        <v>8437412.0699999891</v>
      </c>
    </row>
    <row r="167" spans="1:212" s="299" customFormat="1">
      <c r="A167" s="670"/>
      <c r="B167" s="684"/>
      <c r="C167" s="686"/>
      <c r="D167" s="676"/>
      <c r="E167" s="688"/>
      <c r="F167" s="655"/>
      <c r="G167" s="655"/>
      <c r="H167" s="657"/>
      <c r="I167" s="313"/>
      <c r="J167" s="295"/>
      <c r="K167" s="295"/>
      <c r="L167" s="295"/>
      <c r="M167" s="295"/>
      <c r="N167" s="295"/>
      <c r="O167" s="295"/>
      <c r="P167" s="295"/>
      <c r="Q167" s="295"/>
      <c r="R167" s="295"/>
      <c r="S167" s="295"/>
      <c r="T167" s="295"/>
      <c r="U167" s="295"/>
      <c r="V167" s="295"/>
      <c r="W167" s="295"/>
      <c r="X167" s="295"/>
      <c r="Y167" s="295"/>
      <c r="Z167" s="295"/>
      <c r="AA167" s="295"/>
      <c r="AB167" s="295"/>
      <c r="AC167" s="295"/>
      <c r="AD167" s="295"/>
      <c r="AE167" s="295"/>
      <c r="AF167" s="295"/>
      <c r="AG167" s="295"/>
      <c r="AH167" s="295"/>
      <c r="AI167" s="295"/>
      <c r="AJ167" s="295"/>
      <c r="AK167" s="295"/>
      <c r="AL167" s="295"/>
      <c r="AM167" s="295"/>
      <c r="AN167" s="295"/>
      <c r="AO167" s="295"/>
      <c r="AP167" s="295"/>
      <c r="AQ167" s="295"/>
      <c r="AR167" s="295"/>
      <c r="AS167" s="295"/>
      <c r="AT167" s="295"/>
      <c r="AU167" s="295"/>
      <c r="AV167" s="295"/>
      <c r="AW167" s="295"/>
      <c r="AX167" s="295"/>
      <c r="AY167" s="295"/>
      <c r="AZ167" s="295"/>
      <c r="BA167" s="295"/>
      <c r="BB167" s="295"/>
      <c r="BC167" s="295"/>
      <c r="BD167" s="295"/>
      <c r="BE167" s="295"/>
      <c r="BF167" s="295"/>
      <c r="BG167" s="295"/>
      <c r="BH167" s="295"/>
      <c r="BI167" s="295"/>
      <c r="BJ167" s="295"/>
      <c r="BK167" s="295"/>
      <c r="BL167" s="295"/>
      <c r="BM167" s="295"/>
      <c r="BN167" s="295"/>
      <c r="BO167" s="295"/>
      <c r="BP167" s="295"/>
      <c r="BQ167" s="295"/>
      <c r="BR167" s="295"/>
      <c r="BS167" s="295"/>
      <c r="BT167" s="295"/>
      <c r="BU167" s="295"/>
      <c r="BV167" s="295"/>
      <c r="BW167" s="295"/>
      <c r="BX167" s="295"/>
      <c r="BY167" s="295"/>
      <c r="BZ167" s="295"/>
      <c r="CA167" s="295"/>
      <c r="CB167" s="295"/>
      <c r="CC167" s="295"/>
      <c r="CD167" s="295"/>
      <c r="CE167" s="295"/>
      <c r="CF167" s="295"/>
      <c r="CG167" s="295"/>
      <c r="CH167" s="295"/>
      <c r="CI167" s="295"/>
      <c r="CJ167" s="295"/>
      <c r="CK167" s="295"/>
      <c r="CL167" s="295"/>
      <c r="CM167" s="295"/>
      <c r="CN167" s="295"/>
      <c r="CO167" s="295"/>
      <c r="CP167" s="293">
        <f t="shared" si="2858"/>
        <v>0</v>
      </c>
      <c r="CQ167" s="312"/>
      <c r="CR167" s="312"/>
      <c r="CS167" s="312"/>
      <c r="CT167" s="312"/>
      <c r="CU167" s="312"/>
      <c r="CV167" s="312"/>
      <c r="CW167" s="312"/>
      <c r="CX167" s="312"/>
      <c r="CY167" s="312"/>
      <c r="CZ167" s="312"/>
      <c r="DA167" s="312"/>
      <c r="DB167" s="312"/>
      <c r="DC167" s="312"/>
      <c r="DD167" s="312"/>
      <c r="DE167" s="312"/>
      <c r="DF167" s="312"/>
      <c r="DG167" s="312"/>
      <c r="DH167" s="312"/>
      <c r="DI167" s="312"/>
      <c r="DJ167" s="312"/>
      <c r="DK167" s="312"/>
      <c r="DL167" s="312"/>
      <c r="DM167" s="312"/>
      <c r="DN167" s="312"/>
      <c r="DO167" s="312"/>
      <c r="DP167" s="312"/>
      <c r="DQ167" s="312"/>
      <c r="DR167" s="312"/>
      <c r="DS167" s="312"/>
      <c r="DT167" s="312"/>
      <c r="DU167" s="312"/>
      <c r="DV167" s="312"/>
      <c r="DW167" s="312"/>
      <c r="DX167" s="312"/>
      <c r="DY167" s="312"/>
      <c r="DZ167" s="312"/>
      <c r="EA167" s="312"/>
      <c r="EB167" s="312"/>
      <c r="EC167" s="312"/>
      <c r="ED167" s="312"/>
      <c r="EE167" s="312"/>
      <c r="EF167" s="312"/>
      <c r="EG167" s="312"/>
      <c r="EH167" s="312"/>
      <c r="EI167" s="312"/>
      <c r="EJ167" s="312"/>
      <c r="EK167" s="312"/>
      <c r="EL167" s="312"/>
      <c r="EM167" s="312"/>
      <c r="EN167" s="312"/>
      <c r="EO167" s="312"/>
      <c r="EP167" s="312"/>
      <c r="EQ167" s="312"/>
      <c r="ER167" s="312"/>
      <c r="ES167" s="312"/>
      <c r="ET167" s="312"/>
      <c r="EU167" s="312"/>
      <c r="EV167" s="312"/>
      <c r="EW167" s="312"/>
      <c r="EX167" s="312"/>
      <c r="EY167" s="312"/>
      <c r="EZ167" s="312"/>
      <c r="FA167" s="312"/>
      <c r="FB167" s="312"/>
      <c r="FC167" s="312"/>
      <c r="FD167" s="312"/>
      <c r="FE167" s="312"/>
      <c r="FF167" s="312"/>
      <c r="FG167" s="312"/>
      <c r="FH167" s="312"/>
      <c r="FI167" s="312"/>
      <c r="FJ167" s="312"/>
      <c r="FK167" s="312"/>
      <c r="FL167" s="312"/>
      <c r="FM167" s="312"/>
      <c r="FN167" s="312"/>
      <c r="FO167" s="312"/>
      <c r="FP167" s="312"/>
      <c r="FQ167" s="312"/>
      <c r="FR167" s="312"/>
      <c r="FS167" s="312"/>
      <c r="FT167" s="312"/>
      <c r="FU167" s="312"/>
      <c r="FV167" s="312"/>
      <c r="FW167" s="312"/>
      <c r="FX167" s="312"/>
      <c r="FY167" s="312"/>
      <c r="FZ167" s="312"/>
      <c r="GA167" s="312"/>
      <c r="GB167" s="312"/>
      <c r="GC167" s="312"/>
      <c r="GD167" s="312"/>
      <c r="GE167" s="312"/>
      <c r="GF167" s="312"/>
      <c r="GG167" s="312"/>
      <c r="GH167" s="312"/>
      <c r="GI167" s="312"/>
      <c r="GJ167" s="312"/>
      <c r="GK167" s="312"/>
      <c r="GL167" s="312"/>
      <c r="GM167" s="312"/>
      <c r="GN167" s="312"/>
      <c r="GO167" s="312"/>
      <c r="GP167" s="312"/>
      <c r="GQ167" s="312"/>
      <c r="GR167" s="312"/>
      <c r="GS167" s="312"/>
      <c r="GT167" s="312"/>
      <c r="GU167" s="312"/>
      <c r="GV167" s="312"/>
      <c r="GW167" s="312"/>
      <c r="GX167" s="312"/>
      <c r="GY167" s="312"/>
      <c r="GZ167" s="312"/>
      <c r="HA167" s="381">
        <f t="shared" si="3572"/>
        <v>0</v>
      </c>
      <c r="HB167" s="312"/>
      <c r="HC167" s="381"/>
      <c r="HD167" s="360">
        <v>8040870.5699999901</v>
      </c>
    </row>
    <row r="168" spans="1:212" s="299" customFormat="1" ht="12" customHeight="1">
      <c r="A168" s="669">
        <v>84</v>
      </c>
      <c r="B168" s="683" t="s">
        <v>557</v>
      </c>
      <c r="C168" s="685" t="s">
        <v>709</v>
      </c>
      <c r="D168" s="675" t="s">
        <v>460</v>
      </c>
      <c r="E168" s="687" t="s">
        <v>455</v>
      </c>
      <c r="F168" s="654">
        <v>5.04</v>
      </c>
      <c r="G168" s="654">
        <v>30</v>
      </c>
      <c r="H168" s="656">
        <f>F168*G168*365</f>
        <v>55187.999999999993</v>
      </c>
      <c r="I168" s="307">
        <v>13797</v>
      </c>
      <c r="J168" s="292">
        <f>ROUND(G168*F168*365/4,0)</f>
        <v>13797</v>
      </c>
      <c r="K168" s="295">
        <f>J168</f>
        <v>13797</v>
      </c>
      <c r="L168" s="295">
        <f>K168</f>
        <v>13797</v>
      </c>
      <c r="M168" s="295">
        <f>L168</f>
        <v>13797</v>
      </c>
      <c r="N168" s="293">
        <f>ROUND(M168*(1+取值表!$D$10)*取值表!$I$10,0)</f>
        <v>14190</v>
      </c>
      <c r="O168" s="295">
        <f>N168</f>
        <v>14190</v>
      </c>
      <c r="P168" s="295">
        <f>O168</f>
        <v>14190</v>
      </c>
      <c r="Q168" s="295">
        <f>P168</f>
        <v>14190</v>
      </c>
      <c r="R168" s="294">
        <f>ROUND(Q168*(1+取值表!$D$10),0)</f>
        <v>15510</v>
      </c>
      <c r="S168" s="295">
        <f t="shared" ref="S168:T168" si="3667">R168</f>
        <v>15510</v>
      </c>
      <c r="T168" s="295">
        <f t="shared" si="3667"/>
        <v>15510</v>
      </c>
      <c r="U168" s="295">
        <f>T168</f>
        <v>15510</v>
      </c>
      <c r="V168" s="295">
        <f>ROUND(U168*(1+取值表!$D$10),0)</f>
        <v>16952</v>
      </c>
      <c r="W168" s="295">
        <f t="shared" ref="W168:Y168" si="3668">V168</f>
        <v>16952</v>
      </c>
      <c r="X168" s="295">
        <f t="shared" si="3668"/>
        <v>16952</v>
      </c>
      <c r="Y168" s="295">
        <f t="shared" si="3668"/>
        <v>16952</v>
      </c>
      <c r="Z168" s="295">
        <f>ROUND(Y168*(1+取值表!$D$10),0)</f>
        <v>18529</v>
      </c>
      <c r="AA168" s="295">
        <f t="shared" ref="AA168:AB168" si="3669">Z168</f>
        <v>18529</v>
      </c>
      <c r="AB168" s="295">
        <f t="shared" si="3669"/>
        <v>18529</v>
      </c>
      <c r="AC168" s="295">
        <f>AB168</f>
        <v>18529</v>
      </c>
      <c r="AD168" s="295">
        <f>ROUND(AC168*(1+取值表!$D$10),0)</f>
        <v>20252</v>
      </c>
      <c r="AE168" s="295">
        <f t="shared" ref="AE168" si="3670">AD168</f>
        <v>20252</v>
      </c>
      <c r="AF168" s="295">
        <f t="shared" ref="AF168" si="3671">AE168</f>
        <v>20252</v>
      </c>
      <c r="AG168" s="295">
        <f t="shared" ref="AG168" si="3672">AF168</f>
        <v>20252</v>
      </c>
      <c r="AH168" s="295">
        <f>ROUND(AG168*(1+取值表!$D$10),0)</f>
        <v>22135</v>
      </c>
      <c r="AI168" s="295">
        <f t="shared" ref="AI168" si="3673">AH168</f>
        <v>22135</v>
      </c>
      <c r="AJ168" s="295">
        <f t="shared" ref="AJ168" si="3674">AI168</f>
        <v>22135</v>
      </c>
      <c r="AK168" s="295">
        <f t="shared" ref="AK168" si="3675">AJ168</f>
        <v>22135</v>
      </c>
      <c r="AL168" s="295">
        <f>ROUND(AK168*(1+取值表!$D$10),0)</f>
        <v>24194</v>
      </c>
      <c r="AM168" s="295">
        <f t="shared" ref="AM168" si="3676">AL168</f>
        <v>24194</v>
      </c>
      <c r="AN168" s="295">
        <f t="shared" ref="AN168" si="3677">AM168</f>
        <v>24194</v>
      </c>
      <c r="AO168" s="295">
        <f t="shared" ref="AO168" si="3678">AN168</f>
        <v>24194</v>
      </c>
      <c r="AP168" s="295">
        <f>ROUND(AO168*(1+取值表!$D$10),0)</f>
        <v>26444</v>
      </c>
      <c r="AQ168" s="295">
        <f t="shared" ref="AQ168" si="3679">AP168</f>
        <v>26444</v>
      </c>
      <c r="AR168" s="295">
        <f t="shared" ref="AR168" si="3680">AQ168</f>
        <v>26444</v>
      </c>
      <c r="AS168" s="295">
        <f t="shared" ref="AS168" si="3681">AR168</f>
        <v>26444</v>
      </c>
      <c r="AT168" s="295">
        <f>ROUND(AS168*(1+取值表!$D$10),0)</f>
        <v>28903</v>
      </c>
      <c r="AU168" s="295">
        <f t="shared" ref="AU168" si="3682">AT168</f>
        <v>28903</v>
      </c>
      <c r="AV168" s="295">
        <f t="shared" ref="AV168" si="3683">AU168</f>
        <v>28903</v>
      </c>
      <c r="AW168" s="295">
        <f t="shared" ref="AW168" si="3684">AV168</f>
        <v>28903</v>
      </c>
      <c r="AX168" s="295">
        <f>ROUND(AW168*(1+取值表!$D$10),0)</f>
        <v>31591</v>
      </c>
      <c r="AY168" s="295">
        <f t="shared" ref="AY168" si="3685">AX168</f>
        <v>31591</v>
      </c>
      <c r="AZ168" s="295">
        <f t="shared" ref="AZ168" si="3686">AY168</f>
        <v>31591</v>
      </c>
      <c r="BA168" s="295">
        <f t="shared" ref="BA168" si="3687">AZ168</f>
        <v>31591</v>
      </c>
      <c r="BB168" s="295">
        <f>ROUND(BA168*(1+取值表!$D$10),0)</f>
        <v>34529</v>
      </c>
      <c r="BC168" s="295">
        <f>BB168</f>
        <v>34529</v>
      </c>
      <c r="BD168" s="295">
        <f t="shared" ref="BD168" si="3688">BC168</f>
        <v>34529</v>
      </c>
      <c r="BE168" s="295">
        <f>BD168</f>
        <v>34529</v>
      </c>
      <c r="BF168" s="295">
        <f>ROUND(BE168*(1+取值表!$D$10),0)</f>
        <v>37740</v>
      </c>
      <c r="BG168" s="295">
        <f>BF168</f>
        <v>37740</v>
      </c>
      <c r="BH168" s="295">
        <f t="shared" ref="BH168" si="3689">BG168</f>
        <v>37740</v>
      </c>
      <c r="BI168" s="295">
        <f t="shared" ref="BI168" si="3690">BH168</f>
        <v>37740</v>
      </c>
      <c r="BJ168" s="295">
        <f>ROUND(BI168*(1+取值表!$D$10),0)</f>
        <v>41250</v>
      </c>
      <c r="BK168" s="295">
        <f t="shared" ref="BK168" si="3691">BJ168</f>
        <v>41250</v>
      </c>
      <c r="BL168" s="295">
        <f t="shared" ref="BL168" si="3692">BK168</f>
        <v>41250</v>
      </c>
      <c r="BM168" s="295">
        <f t="shared" ref="BM168" si="3693">BL168</f>
        <v>41250</v>
      </c>
      <c r="BN168" s="295">
        <f>ROUND(BM168*(1+取值表!$D$10),0)</f>
        <v>45086</v>
      </c>
      <c r="BO168" s="295">
        <f t="shared" ref="BO168" si="3694">BN168</f>
        <v>45086</v>
      </c>
      <c r="BP168" s="295">
        <f t="shared" ref="BP168" si="3695">BO168</f>
        <v>45086</v>
      </c>
      <c r="BQ168" s="295">
        <f t="shared" ref="BQ168" si="3696">BP168</f>
        <v>45086</v>
      </c>
      <c r="BR168" s="295">
        <f>ROUND(BQ168*(1+取值表!$D$10),0)</f>
        <v>49279</v>
      </c>
      <c r="BS168" s="295">
        <f t="shared" ref="BS168" si="3697">BR168</f>
        <v>49279</v>
      </c>
      <c r="BT168" s="295">
        <f t="shared" ref="BT168" si="3698">BS168</f>
        <v>49279</v>
      </c>
      <c r="BU168" s="295">
        <f t="shared" ref="BU168" si="3699">BT168</f>
        <v>49279</v>
      </c>
      <c r="BV168" s="295">
        <f>ROUND(BU168*(1+取值表!$D$10),0)</f>
        <v>53862</v>
      </c>
      <c r="BW168" s="295">
        <f t="shared" ref="BW168" si="3700">BV168</f>
        <v>53862</v>
      </c>
      <c r="BX168" s="295">
        <f t="shared" ref="BX168" si="3701">BW168</f>
        <v>53862</v>
      </c>
      <c r="BY168" s="295">
        <f t="shared" ref="BY168" si="3702">BX168</f>
        <v>53862</v>
      </c>
      <c r="BZ168" s="295">
        <f>ROUND(BY168*(1+取值表!$D$10),0)</f>
        <v>58871</v>
      </c>
      <c r="CA168" s="295">
        <f t="shared" ref="CA168" si="3703">BZ168</f>
        <v>58871</v>
      </c>
      <c r="CB168" s="295">
        <f t="shared" ref="CB168" si="3704">CA168</f>
        <v>58871</v>
      </c>
      <c r="CC168" s="295">
        <f t="shared" ref="CC168" si="3705">CB168</f>
        <v>58871</v>
      </c>
      <c r="CD168" s="295">
        <f>ROUND(CC168*(1+取值表!$D$10),0)</f>
        <v>64346</v>
      </c>
      <c r="CE168" s="295">
        <f t="shared" ref="CE168" si="3706">CD168</f>
        <v>64346</v>
      </c>
      <c r="CF168" s="295">
        <f t="shared" ref="CF168" si="3707">CE168</f>
        <v>64346</v>
      </c>
      <c r="CG168" s="295">
        <f t="shared" ref="CG168" si="3708">CF168</f>
        <v>64346</v>
      </c>
      <c r="CH168" s="295">
        <f>ROUND(CG168*(1+取值表!$D$10),0)</f>
        <v>70330</v>
      </c>
      <c r="CI168" s="295">
        <f>CH168</f>
        <v>70330</v>
      </c>
      <c r="CJ168" s="295">
        <f t="shared" ref="CJ168" si="3709">CI168</f>
        <v>70330</v>
      </c>
      <c r="CK168" s="295">
        <f t="shared" ref="CK168" si="3710">CJ168</f>
        <v>70330</v>
      </c>
      <c r="CL168" s="295">
        <f>ROUND(CK168*(1+取值表!$D$10),0)</f>
        <v>76871</v>
      </c>
      <c r="CM168" s="295">
        <f>CL168</f>
        <v>76871</v>
      </c>
      <c r="CN168" s="295">
        <f t="shared" ref="CN168" si="3711">CM168</f>
        <v>76871</v>
      </c>
      <c r="CO168" s="295">
        <f t="shared" ref="CO168" si="3712">CN168</f>
        <v>76871</v>
      </c>
      <c r="CP168" s="293">
        <f t="shared" si="2858"/>
        <v>3058644</v>
      </c>
      <c r="CQ168" s="316"/>
      <c r="CR168" s="316"/>
      <c r="CS168" s="316"/>
      <c r="CT168" s="316"/>
      <c r="CU168" s="316"/>
      <c r="CV168" s="316"/>
      <c r="CW168" s="316"/>
      <c r="CX168" s="316"/>
      <c r="CY168" s="316"/>
      <c r="CZ168" s="316"/>
      <c r="DA168" s="316"/>
      <c r="DB168" s="316"/>
      <c r="DC168" s="316"/>
      <c r="DD168" s="316"/>
      <c r="DE168" s="316"/>
      <c r="DF168" s="316"/>
      <c r="DG168" s="316"/>
      <c r="DH168" s="316"/>
      <c r="DI168" s="316"/>
      <c r="DJ168" s="316"/>
      <c r="DK168" s="316"/>
      <c r="DL168" s="316"/>
      <c r="DM168" s="316"/>
      <c r="DN168" s="316"/>
      <c r="DO168" s="316"/>
      <c r="DP168" s="316"/>
      <c r="DQ168" s="316"/>
      <c r="DR168" s="316"/>
      <c r="DS168" s="316"/>
      <c r="DT168" s="316"/>
      <c r="DU168" s="316"/>
      <c r="DV168" s="316"/>
      <c r="DW168" s="316"/>
      <c r="DX168" s="316"/>
      <c r="DY168" s="316"/>
      <c r="DZ168" s="316"/>
      <c r="EA168" s="316"/>
      <c r="EB168" s="316"/>
      <c r="EC168" s="316"/>
      <c r="ED168" s="316"/>
      <c r="EE168" s="316"/>
      <c r="EF168" s="316"/>
      <c r="EG168" s="316"/>
      <c r="EH168" s="316"/>
      <c r="EI168" s="316"/>
      <c r="EJ168" s="316"/>
      <c r="EK168" s="316"/>
      <c r="EL168" s="316"/>
      <c r="EM168" s="316"/>
      <c r="EN168" s="316"/>
      <c r="EO168" s="316"/>
      <c r="EP168" s="316"/>
      <c r="EQ168" s="316"/>
      <c r="ER168" s="316"/>
      <c r="ES168" s="316"/>
      <c r="ET168" s="316"/>
      <c r="EU168" s="316"/>
      <c r="EV168" s="316"/>
      <c r="EW168" s="316"/>
      <c r="EX168" s="316"/>
      <c r="EY168" s="316"/>
      <c r="EZ168" s="316"/>
      <c r="FA168" s="316"/>
      <c r="FB168" s="316"/>
      <c r="FC168" s="316"/>
      <c r="FD168" s="316"/>
      <c r="FE168" s="316"/>
      <c r="FF168" s="316"/>
      <c r="FG168" s="316"/>
      <c r="FH168" s="316"/>
      <c r="FI168" s="316"/>
      <c r="FJ168" s="316"/>
      <c r="FK168" s="316"/>
      <c r="FL168" s="316"/>
      <c r="FM168" s="316"/>
      <c r="FN168" s="316"/>
      <c r="FO168" s="316"/>
      <c r="FP168" s="316"/>
      <c r="FQ168" s="316"/>
      <c r="FR168" s="316"/>
      <c r="FS168" s="316"/>
      <c r="FT168" s="316"/>
      <c r="FU168" s="316"/>
      <c r="FV168" s="316"/>
      <c r="FW168" s="316"/>
      <c r="FX168" s="316"/>
      <c r="FY168" s="316"/>
      <c r="FZ168" s="316"/>
      <c r="GA168" s="316"/>
      <c r="GB168" s="316"/>
      <c r="GC168" s="316"/>
      <c r="GD168" s="316"/>
      <c r="GE168" s="316"/>
      <c r="GF168" s="316"/>
      <c r="GG168" s="316"/>
      <c r="GH168" s="316"/>
      <c r="GI168" s="316"/>
      <c r="GJ168" s="316"/>
      <c r="GK168" s="316"/>
      <c r="GL168" s="316"/>
      <c r="GM168" s="316"/>
      <c r="GN168" s="316"/>
      <c r="GO168" s="316"/>
      <c r="GP168" s="316"/>
      <c r="GQ168" s="316"/>
      <c r="GR168" s="316"/>
      <c r="GS168" s="316"/>
      <c r="GT168" s="316"/>
      <c r="GU168" s="316"/>
      <c r="GV168" s="316"/>
      <c r="GW168" s="316"/>
      <c r="GX168" s="316"/>
      <c r="GY168" s="316"/>
      <c r="GZ168" s="316"/>
      <c r="HA168" s="380">
        <f t="shared" si="3572"/>
        <v>6117288</v>
      </c>
      <c r="HB168" s="312"/>
      <c r="HC168" s="381"/>
      <c r="HD168" s="360">
        <v>111270.25</v>
      </c>
    </row>
    <row r="169" spans="1:212" s="299" customFormat="1">
      <c r="A169" s="670"/>
      <c r="B169" s="684"/>
      <c r="C169" s="686"/>
      <c r="D169" s="676"/>
      <c r="E169" s="688"/>
      <c r="F169" s="655"/>
      <c r="G169" s="655"/>
      <c r="H169" s="657"/>
      <c r="I169" s="313"/>
      <c r="J169" s="295"/>
      <c r="K169" s="295"/>
      <c r="L169" s="295"/>
      <c r="M169" s="295"/>
      <c r="N169" s="295"/>
      <c r="O169" s="295"/>
      <c r="P169" s="295"/>
      <c r="Q169" s="295"/>
      <c r="R169" s="295"/>
      <c r="S169" s="295"/>
      <c r="T169" s="295"/>
      <c r="U169" s="295"/>
      <c r="V169" s="295"/>
      <c r="W169" s="295"/>
      <c r="X169" s="295"/>
      <c r="Y169" s="295"/>
      <c r="Z169" s="295"/>
      <c r="AA169" s="295"/>
      <c r="AB169" s="295"/>
      <c r="AC169" s="295"/>
      <c r="AD169" s="295"/>
      <c r="AE169" s="295"/>
      <c r="AF169" s="295"/>
      <c r="AG169" s="295"/>
      <c r="AH169" s="295"/>
      <c r="AI169" s="295"/>
      <c r="AJ169" s="295"/>
      <c r="AK169" s="295"/>
      <c r="AL169" s="295"/>
      <c r="AM169" s="295"/>
      <c r="AN169" s="295"/>
      <c r="AO169" s="295"/>
      <c r="AP169" s="295"/>
      <c r="AQ169" s="295"/>
      <c r="AR169" s="295"/>
      <c r="AS169" s="295"/>
      <c r="AT169" s="295"/>
      <c r="AU169" s="295"/>
      <c r="AV169" s="295"/>
      <c r="AW169" s="295"/>
      <c r="AX169" s="295"/>
      <c r="AY169" s="295"/>
      <c r="AZ169" s="295"/>
      <c r="BA169" s="295"/>
      <c r="BB169" s="295"/>
      <c r="BC169" s="295"/>
      <c r="BD169" s="295"/>
      <c r="BE169" s="295"/>
      <c r="BF169" s="295"/>
      <c r="BG169" s="295"/>
      <c r="BH169" s="295"/>
      <c r="BI169" s="295"/>
      <c r="BJ169" s="295"/>
      <c r="BK169" s="295"/>
      <c r="BL169" s="295"/>
      <c r="BM169" s="295"/>
      <c r="BN169" s="295"/>
      <c r="BO169" s="295"/>
      <c r="BP169" s="295"/>
      <c r="BQ169" s="295"/>
      <c r="BR169" s="295"/>
      <c r="BS169" s="295"/>
      <c r="BT169" s="295"/>
      <c r="BU169" s="295"/>
      <c r="BV169" s="295"/>
      <c r="BW169" s="295"/>
      <c r="BX169" s="295"/>
      <c r="BY169" s="295"/>
      <c r="BZ169" s="295"/>
      <c r="CA169" s="295"/>
      <c r="CB169" s="295"/>
      <c r="CC169" s="295"/>
      <c r="CD169" s="295"/>
      <c r="CE169" s="295"/>
      <c r="CF169" s="295"/>
      <c r="CG169" s="295"/>
      <c r="CH169" s="295"/>
      <c r="CI169" s="295"/>
      <c r="CJ169" s="295"/>
      <c r="CK169" s="295"/>
      <c r="CL169" s="295"/>
      <c r="CM169" s="295"/>
      <c r="CN169" s="295"/>
      <c r="CO169" s="295"/>
      <c r="CP169" s="293">
        <f t="shared" si="2858"/>
        <v>0</v>
      </c>
      <c r="CQ169" s="317"/>
      <c r="CR169" s="317"/>
      <c r="CS169" s="317"/>
      <c r="CT169" s="317"/>
      <c r="CU169" s="317"/>
      <c r="CV169" s="317"/>
      <c r="CW169" s="317"/>
      <c r="CX169" s="317"/>
      <c r="CY169" s="317"/>
      <c r="CZ169" s="317"/>
      <c r="DA169" s="317"/>
      <c r="DB169" s="317"/>
      <c r="DC169" s="317"/>
      <c r="DD169" s="317"/>
      <c r="DE169" s="317"/>
      <c r="DF169" s="317"/>
      <c r="DG169" s="317"/>
      <c r="DH169" s="317"/>
      <c r="DI169" s="317"/>
      <c r="DJ169" s="317"/>
      <c r="DK169" s="317"/>
      <c r="DL169" s="317"/>
      <c r="DM169" s="317"/>
      <c r="DN169" s="317"/>
      <c r="DO169" s="317"/>
      <c r="DP169" s="317"/>
      <c r="DQ169" s="317"/>
      <c r="DR169" s="317"/>
      <c r="DS169" s="317"/>
      <c r="DT169" s="317"/>
      <c r="DU169" s="317"/>
      <c r="DV169" s="317"/>
      <c r="DW169" s="317"/>
      <c r="DX169" s="317"/>
      <c r="DY169" s="317"/>
      <c r="DZ169" s="317"/>
      <c r="EA169" s="317"/>
      <c r="EB169" s="317"/>
      <c r="EC169" s="317"/>
      <c r="ED169" s="317"/>
      <c r="EE169" s="317"/>
      <c r="EF169" s="317"/>
      <c r="EG169" s="317"/>
      <c r="EH169" s="317"/>
      <c r="EI169" s="317"/>
      <c r="EJ169" s="317"/>
      <c r="EK169" s="317"/>
      <c r="EL169" s="317"/>
      <c r="EM169" s="317"/>
      <c r="EN169" s="317"/>
      <c r="EO169" s="317"/>
      <c r="EP169" s="317"/>
      <c r="EQ169" s="317"/>
      <c r="ER169" s="317"/>
      <c r="ES169" s="317"/>
      <c r="ET169" s="317"/>
      <c r="EU169" s="317"/>
      <c r="EV169" s="317"/>
      <c r="EW169" s="317"/>
      <c r="EX169" s="317"/>
      <c r="EY169" s="317"/>
      <c r="EZ169" s="317"/>
      <c r="FA169" s="317"/>
      <c r="FB169" s="317"/>
      <c r="FC169" s="317"/>
      <c r="FD169" s="317"/>
      <c r="FE169" s="317"/>
      <c r="FF169" s="317"/>
      <c r="FG169" s="317"/>
      <c r="FH169" s="317"/>
      <c r="FI169" s="317"/>
      <c r="FJ169" s="317"/>
      <c r="FK169" s="317"/>
      <c r="FL169" s="317"/>
      <c r="FM169" s="317"/>
      <c r="FN169" s="317"/>
      <c r="FO169" s="317"/>
      <c r="FP169" s="317"/>
      <c r="FQ169" s="317"/>
      <c r="FR169" s="317"/>
      <c r="FS169" s="317"/>
      <c r="FT169" s="317"/>
      <c r="FU169" s="317"/>
      <c r="FV169" s="317"/>
      <c r="FW169" s="317"/>
      <c r="FX169" s="317"/>
      <c r="FY169" s="317"/>
      <c r="FZ169" s="317"/>
      <c r="GA169" s="317"/>
      <c r="GB169" s="317"/>
      <c r="GC169" s="317"/>
      <c r="GD169" s="317"/>
      <c r="GE169" s="317"/>
      <c r="GF169" s="317"/>
      <c r="GG169" s="317"/>
      <c r="GH169" s="317"/>
      <c r="GI169" s="317"/>
      <c r="GJ169" s="317"/>
      <c r="GK169" s="317"/>
      <c r="GL169" s="317"/>
      <c r="GM169" s="317"/>
      <c r="GN169" s="317"/>
      <c r="GO169" s="317"/>
      <c r="GP169" s="317"/>
      <c r="GQ169" s="317"/>
      <c r="GR169" s="317"/>
      <c r="GS169" s="317"/>
      <c r="GT169" s="317"/>
      <c r="GU169" s="317"/>
      <c r="GV169" s="317"/>
      <c r="GW169" s="317"/>
      <c r="GX169" s="317"/>
      <c r="GY169" s="317"/>
      <c r="GZ169" s="317"/>
      <c r="HA169" s="381">
        <f t="shared" si="3572"/>
        <v>0</v>
      </c>
      <c r="HB169" s="312"/>
      <c r="HC169" s="381"/>
      <c r="HD169" s="360">
        <v>82296.45</v>
      </c>
    </row>
    <row r="170" spans="1:212" s="299" customFormat="1">
      <c r="A170" s="669">
        <v>85</v>
      </c>
      <c r="B170" s="683" t="s">
        <v>558</v>
      </c>
      <c r="C170" s="685" t="s">
        <v>710</v>
      </c>
      <c r="D170" s="675" t="s">
        <v>640</v>
      </c>
      <c r="E170" s="687" t="s">
        <v>455</v>
      </c>
      <c r="F170" s="654">
        <v>10</v>
      </c>
      <c r="G170" s="654">
        <v>36</v>
      </c>
      <c r="H170" s="656">
        <f>F170*G170*365</f>
        <v>131400</v>
      </c>
      <c r="I170" s="307">
        <v>32850</v>
      </c>
      <c r="J170" s="292">
        <f>ROUND(G170*F170*365/4,0)</f>
        <v>32850</v>
      </c>
      <c r="K170" s="295">
        <f>J170</f>
        <v>32850</v>
      </c>
      <c r="L170" s="295">
        <f>K170</f>
        <v>32850</v>
      </c>
      <c r="M170" s="295">
        <f>L170</f>
        <v>32850</v>
      </c>
      <c r="N170" s="293">
        <f>ROUND(M170*(1+取值表!$D$10)*取值表!$I$10,0)</f>
        <v>33787</v>
      </c>
      <c r="O170" s="295">
        <f>N170</f>
        <v>33787</v>
      </c>
      <c r="P170" s="295">
        <f>O170</f>
        <v>33787</v>
      </c>
      <c r="Q170" s="295">
        <f>P170</f>
        <v>33787</v>
      </c>
      <c r="R170" s="294">
        <f>ROUND(Q170*(1+取值表!$D$10),0)</f>
        <v>36929</v>
      </c>
      <c r="S170" s="295">
        <f t="shared" ref="S170:T170" si="3713">R170</f>
        <v>36929</v>
      </c>
      <c r="T170" s="295">
        <f t="shared" si="3713"/>
        <v>36929</v>
      </c>
      <c r="U170" s="295">
        <f>T170</f>
        <v>36929</v>
      </c>
      <c r="V170" s="295">
        <f>ROUND(U170*(1+取值表!$D$10),0)</f>
        <v>40363</v>
      </c>
      <c r="W170" s="295">
        <f t="shared" ref="W170:Y170" si="3714">V170</f>
        <v>40363</v>
      </c>
      <c r="X170" s="295">
        <f t="shared" si="3714"/>
        <v>40363</v>
      </c>
      <c r="Y170" s="295">
        <f t="shared" si="3714"/>
        <v>40363</v>
      </c>
      <c r="Z170" s="295">
        <f>ROUND(Y170*(1+取值表!$D$10),0)</f>
        <v>44117</v>
      </c>
      <c r="AA170" s="295">
        <f t="shared" ref="AA170:AB170" si="3715">Z170</f>
        <v>44117</v>
      </c>
      <c r="AB170" s="295">
        <f t="shared" si="3715"/>
        <v>44117</v>
      </c>
      <c r="AC170" s="295">
        <f>AB170</f>
        <v>44117</v>
      </c>
      <c r="AD170" s="295">
        <f>ROUND(AC170*(1+取值表!$D$10),0)</f>
        <v>48220</v>
      </c>
      <c r="AE170" s="295">
        <f t="shared" ref="AE170" si="3716">AD170</f>
        <v>48220</v>
      </c>
      <c r="AF170" s="295">
        <f t="shared" ref="AF170" si="3717">AE170</f>
        <v>48220</v>
      </c>
      <c r="AG170" s="295">
        <f t="shared" ref="AG170" si="3718">AF170</f>
        <v>48220</v>
      </c>
      <c r="AH170" s="295">
        <f>ROUND(AG170*(1+取值表!$D$10),0)</f>
        <v>52704</v>
      </c>
      <c r="AI170" s="295">
        <f t="shared" ref="AI170" si="3719">AH170</f>
        <v>52704</v>
      </c>
      <c r="AJ170" s="295">
        <f t="shared" ref="AJ170" si="3720">AI170</f>
        <v>52704</v>
      </c>
      <c r="AK170" s="295">
        <f t="shared" ref="AK170" si="3721">AJ170</f>
        <v>52704</v>
      </c>
      <c r="AL170" s="295">
        <f>ROUND(AK170*(1+取值表!$D$10),0)</f>
        <v>57605</v>
      </c>
      <c r="AM170" s="295">
        <f t="shared" ref="AM170" si="3722">AL170</f>
        <v>57605</v>
      </c>
      <c r="AN170" s="295">
        <f t="shared" ref="AN170" si="3723">AM170</f>
        <v>57605</v>
      </c>
      <c r="AO170" s="295">
        <f t="shared" ref="AO170" si="3724">AN170</f>
        <v>57605</v>
      </c>
      <c r="AP170" s="295">
        <f>ROUND(AO170*(1+取值表!$D$10),0)</f>
        <v>62962</v>
      </c>
      <c r="AQ170" s="295">
        <f t="shared" ref="AQ170" si="3725">AP170</f>
        <v>62962</v>
      </c>
      <c r="AR170" s="295">
        <f t="shared" ref="AR170" si="3726">AQ170</f>
        <v>62962</v>
      </c>
      <c r="AS170" s="295">
        <f t="shared" ref="AS170" si="3727">AR170</f>
        <v>62962</v>
      </c>
      <c r="AT170" s="295">
        <f>ROUND(AS170*(1+取值表!$D$10),0)</f>
        <v>68817</v>
      </c>
      <c r="AU170" s="295">
        <f t="shared" ref="AU170" si="3728">AT170</f>
        <v>68817</v>
      </c>
      <c r="AV170" s="295">
        <f t="shared" ref="AV170" si="3729">AU170</f>
        <v>68817</v>
      </c>
      <c r="AW170" s="295">
        <f t="shared" ref="AW170" si="3730">AV170</f>
        <v>68817</v>
      </c>
      <c r="AX170" s="295">
        <f>ROUND(AW170*(1+取值表!$D$10),0)</f>
        <v>75217</v>
      </c>
      <c r="AY170" s="295">
        <f t="shared" ref="AY170" si="3731">AX170</f>
        <v>75217</v>
      </c>
      <c r="AZ170" s="295">
        <f t="shared" ref="AZ170" si="3732">AY170</f>
        <v>75217</v>
      </c>
      <c r="BA170" s="295">
        <f t="shared" ref="BA170" si="3733">AZ170</f>
        <v>75217</v>
      </c>
      <c r="BB170" s="295">
        <f>ROUND(BA170*(1+取值表!$D$10),0)</f>
        <v>82212</v>
      </c>
      <c r="BC170" s="295">
        <f>BB170</f>
        <v>82212</v>
      </c>
      <c r="BD170" s="295">
        <f t="shared" ref="BD170" si="3734">BC170</f>
        <v>82212</v>
      </c>
      <c r="BE170" s="295">
        <f>BD170</f>
        <v>82212</v>
      </c>
      <c r="BF170" s="295">
        <f>ROUND(BE170*(1+取值表!$D$10),0)</f>
        <v>89858</v>
      </c>
      <c r="BG170" s="295">
        <f>BF170</f>
        <v>89858</v>
      </c>
      <c r="BH170" s="295">
        <f t="shared" ref="BH170" si="3735">BG170</f>
        <v>89858</v>
      </c>
      <c r="BI170" s="295">
        <f t="shared" ref="BI170" si="3736">BH170</f>
        <v>89858</v>
      </c>
      <c r="BJ170" s="295">
        <f>ROUND(BI170*(1+取值表!$D$10),0)</f>
        <v>98215</v>
      </c>
      <c r="BK170" s="295">
        <f t="shared" ref="BK170" si="3737">BJ170</f>
        <v>98215</v>
      </c>
      <c r="BL170" s="295">
        <f t="shared" ref="BL170" si="3738">BK170</f>
        <v>98215</v>
      </c>
      <c r="BM170" s="295">
        <f t="shared" ref="BM170" si="3739">BL170</f>
        <v>98215</v>
      </c>
      <c r="BN170" s="295">
        <f>ROUND(BM170*(1+取值表!$D$10),0)</f>
        <v>107349</v>
      </c>
      <c r="BO170" s="295">
        <f t="shared" ref="BO170" si="3740">BN170</f>
        <v>107349</v>
      </c>
      <c r="BP170" s="295">
        <f t="shared" ref="BP170" si="3741">BO170</f>
        <v>107349</v>
      </c>
      <c r="BQ170" s="295">
        <f t="shared" ref="BQ170" si="3742">BP170</f>
        <v>107349</v>
      </c>
      <c r="BR170" s="295">
        <f>ROUND(BQ170*(1+取值表!$D$10),0)</f>
        <v>117332</v>
      </c>
      <c r="BS170" s="295">
        <f t="shared" ref="BS170" si="3743">BR170</f>
        <v>117332</v>
      </c>
      <c r="BT170" s="295">
        <f t="shared" ref="BT170" si="3744">BS170</f>
        <v>117332</v>
      </c>
      <c r="BU170" s="295">
        <f t="shared" ref="BU170" si="3745">BT170</f>
        <v>117332</v>
      </c>
      <c r="BV170" s="295">
        <f>ROUND(BU170*(1+取值表!$D$10),0)</f>
        <v>128244</v>
      </c>
      <c r="BW170" s="295">
        <f t="shared" ref="BW170" si="3746">BV170</f>
        <v>128244</v>
      </c>
      <c r="BX170" s="295">
        <f t="shared" ref="BX170" si="3747">BW170</f>
        <v>128244</v>
      </c>
      <c r="BY170" s="295">
        <f t="shared" ref="BY170" si="3748">BX170</f>
        <v>128244</v>
      </c>
      <c r="BZ170" s="295">
        <f>ROUND(BY170*(1+取值表!$D$10),0)</f>
        <v>140171</v>
      </c>
      <c r="CA170" s="295">
        <f t="shared" ref="CA170" si="3749">BZ170</f>
        <v>140171</v>
      </c>
      <c r="CB170" s="295">
        <f t="shared" ref="CB170" si="3750">CA170</f>
        <v>140171</v>
      </c>
      <c r="CC170" s="295">
        <f t="shared" ref="CC170" si="3751">CB170</f>
        <v>140171</v>
      </c>
      <c r="CD170" s="295">
        <f>ROUND(CC170*(1+取值表!$D$10),0)</f>
        <v>153207</v>
      </c>
      <c r="CE170" s="295">
        <f t="shared" ref="CE170" si="3752">CD170</f>
        <v>153207</v>
      </c>
      <c r="CF170" s="295">
        <f t="shared" ref="CF170" si="3753">CE170</f>
        <v>153207</v>
      </c>
      <c r="CG170" s="295">
        <f t="shared" ref="CG170" si="3754">CF170</f>
        <v>153207</v>
      </c>
      <c r="CH170" s="295">
        <f>ROUND(CG170*(1+取值表!$D$10),0)</f>
        <v>167455</v>
      </c>
      <c r="CI170" s="295">
        <f>CH170</f>
        <v>167455</v>
      </c>
      <c r="CJ170" s="295">
        <f t="shared" ref="CJ170" si="3755">CI170</f>
        <v>167455</v>
      </c>
      <c r="CK170" s="295">
        <f t="shared" ref="CK170" si="3756">CJ170</f>
        <v>167455</v>
      </c>
      <c r="CL170" s="295">
        <f>ROUND(CK170*(1+取值表!$D$10),0)</f>
        <v>183028</v>
      </c>
      <c r="CM170" s="295">
        <f>CL170</f>
        <v>183028</v>
      </c>
      <c r="CN170" s="295">
        <f t="shared" ref="CN170" si="3757">CM170</f>
        <v>183028</v>
      </c>
      <c r="CO170" s="295">
        <f t="shared" ref="CO170" si="3758">CN170</f>
        <v>183028</v>
      </c>
      <c r="CP170" s="293">
        <f t="shared" si="2858"/>
        <v>7282568</v>
      </c>
      <c r="CQ170" s="308"/>
      <c r="CR170" s="308"/>
      <c r="CS170" s="308"/>
      <c r="CT170" s="308"/>
      <c r="CU170" s="308"/>
      <c r="CV170" s="308"/>
      <c r="CW170" s="308"/>
      <c r="CX170" s="308"/>
      <c r="CY170" s="308"/>
      <c r="CZ170" s="308"/>
      <c r="DA170" s="308"/>
      <c r="DB170" s="308"/>
      <c r="DC170" s="308"/>
      <c r="DD170" s="308"/>
      <c r="DE170" s="308"/>
      <c r="DF170" s="308"/>
      <c r="DG170" s="308"/>
      <c r="DH170" s="308"/>
      <c r="DI170" s="308"/>
      <c r="DJ170" s="308"/>
      <c r="DK170" s="308"/>
      <c r="DL170" s="308"/>
      <c r="DM170" s="308"/>
      <c r="DN170" s="308"/>
      <c r="DO170" s="308"/>
      <c r="DP170" s="308"/>
      <c r="DQ170" s="308"/>
      <c r="DR170" s="308"/>
      <c r="DS170" s="308"/>
      <c r="DT170" s="308"/>
      <c r="DU170" s="308"/>
      <c r="DV170" s="308"/>
      <c r="DW170" s="308"/>
      <c r="DX170" s="308"/>
      <c r="DY170" s="308"/>
      <c r="DZ170" s="308"/>
      <c r="EA170" s="308"/>
      <c r="EB170" s="308"/>
      <c r="EC170" s="308"/>
      <c r="ED170" s="308"/>
      <c r="EE170" s="308"/>
      <c r="EF170" s="308"/>
      <c r="EG170" s="308"/>
      <c r="EH170" s="308"/>
      <c r="EI170" s="308"/>
      <c r="EJ170" s="308"/>
      <c r="EK170" s="308"/>
      <c r="EL170" s="308"/>
      <c r="EM170" s="308"/>
      <c r="EN170" s="308"/>
      <c r="EO170" s="308"/>
      <c r="EP170" s="308"/>
      <c r="EQ170" s="308"/>
      <c r="ER170" s="308"/>
      <c r="ES170" s="308"/>
      <c r="ET170" s="308"/>
      <c r="EU170" s="308"/>
      <c r="EV170" s="308"/>
      <c r="EW170" s="308"/>
      <c r="EX170" s="308"/>
      <c r="EY170" s="308"/>
      <c r="EZ170" s="308"/>
      <c r="FA170" s="308"/>
      <c r="FB170" s="308"/>
      <c r="FC170" s="308"/>
      <c r="FD170" s="308"/>
      <c r="FE170" s="308"/>
      <c r="FF170" s="308"/>
      <c r="FG170" s="308"/>
      <c r="FH170" s="308"/>
      <c r="FI170" s="308"/>
      <c r="FJ170" s="308"/>
      <c r="FK170" s="308"/>
      <c r="FL170" s="308"/>
      <c r="FM170" s="308"/>
      <c r="FN170" s="308"/>
      <c r="FO170" s="308"/>
      <c r="FP170" s="308"/>
      <c r="FQ170" s="308"/>
      <c r="FR170" s="308"/>
      <c r="FS170" s="308"/>
      <c r="FT170" s="308"/>
      <c r="FU170" s="308"/>
      <c r="FV170" s="308"/>
      <c r="FW170" s="308"/>
      <c r="FX170" s="308"/>
      <c r="FY170" s="308"/>
      <c r="FZ170" s="308"/>
      <c r="GA170" s="308"/>
      <c r="GB170" s="308"/>
      <c r="GC170" s="308"/>
      <c r="GD170" s="308"/>
      <c r="GE170" s="308"/>
      <c r="GF170" s="308"/>
      <c r="GG170" s="308"/>
      <c r="GH170" s="308"/>
      <c r="GI170" s="308"/>
      <c r="GJ170" s="308"/>
      <c r="GK170" s="308"/>
      <c r="GL170" s="308"/>
      <c r="GM170" s="308"/>
      <c r="GN170" s="308"/>
      <c r="GO170" s="308"/>
      <c r="GP170" s="308"/>
      <c r="GQ170" s="308"/>
      <c r="GR170" s="308"/>
      <c r="GS170" s="308"/>
      <c r="GT170" s="308"/>
      <c r="GU170" s="308"/>
      <c r="GV170" s="308"/>
      <c r="GW170" s="308"/>
      <c r="GX170" s="308"/>
      <c r="GY170" s="308"/>
      <c r="GZ170" s="308"/>
      <c r="HA170" s="380">
        <f t="shared" si="3572"/>
        <v>14565136</v>
      </c>
      <c r="HB170" s="308"/>
      <c r="HC170" s="380"/>
      <c r="HD170" s="360">
        <v>223258.33333333299</v>
      </c>
    </row>
    <row r="171" spans="1:212" s="299" customFormat="1">
      <c r="A171" s="670"/>
      <c r="B171" s="684"/>
      <c r="C171" s="686"/>
      <c r="D171" s="676"/>
      <c r="E171" s="688"/>
      <c r="F171" s="655"/>
      <c r="G171" s="655"/>
      <c r="H171" s="657"/>
      <c r="I171" s="313"/>
      <c r="J171" s="295"/>
      <c r="K171" s="295"/>
      <c r="L171" s="295"/>
      <c r="M171" s="295"/>
      <c r="N171" s="295"/>
      <c r="O171" s="295"/>
      <c r="P171" s="295"/>
      <c r="Q171" s="295"/>
      <c r="R171" s="295"/>
      <c r="S171" s="295"/>
      <c r="T171" s="295"/>
      <c r="U171" s="295"/>
      <c r="V171" s="295"/>
      <c r="W171" s="295"/>
      <c r="X171" s="295"/>
      <c r="Y171" s="295"/>
      <c r="Z171" s="295"/>
      <c r="AA171" s="295"/>
      <c r="AB171" s="295"/>
      <c r="AC171" s="295"/>
      <c r="AD171" s="293"/>
      <c r="AE171" s="295"/>
      <c r="AF171" s="295"/>
      <c r="AG171" s="295"/>
      <c r="AH171" s="293"/>
      <c r="AI171" s="295"/>
      <c r="AJ171" s="295"/>
      <c r="AK171" s="295"/>
      <c r="AL171" s="293"/>
      <c r="AM171" s="295"/>
      <c r="AN171" s="295"/>
      <c r="AO171" s="295"/>
      <c r="AP171" s="293"/>
      <c r="AQ171" s="295"/>
      <c r="AR171" s="295"/>
      <c r="AS171" s="295"/>
      <c r="AT171" s="293"/>
      <c r="AU171" s="295"/>
      <c r="AV171" s="295"/>
      <c r="AW171" s="295"/>
      <c r="AX171" s="293"/>
      <c r="AY171" s="295"/>
      <c r="AZ171" s="295"/>
      <c r="BA171" s="295"/>
      <c r="BB171" s="293"/>
      <c r="BC171" s="295"/>
      <c r="BD171" s="295"/>
      <c r="BE171" s="295"/>
      <c r="BF171" s="293"/>
      <c r="BG171" s="295"/>
      <c r="BH171" s="295"/>
      <c r="BI171" s="295"/>
      <c r="BJ171" s="293"/>
      <c r="BK171" s="295"/>
      <c r="BL171" s="295"/>
      <c r="BM171" s="295"/>
      <c r="BN171" s="293"/>
      <c r="BO171" s="295"/>
      <c r="BP171" s="295"/>
      <c r="BQ171" s="295"/>
      <c r="BR171" s="293"/>
      <c r="BS171" s="295"/>
      <c r="BT171" s="295"/>
      <c r="BU171" s="295"/>
      <c r="BV171" s="293"/>
      <c r="BW171" s="295"/>
      <c r="BX171" s="295"/>
      <c r="BY171" s="295"/>
      <c r="BZ171" s="293"/>
      <c r="CA171" s="295"/>
      <c r="CB171" s="295"/>
      <c r="CC171" s="295"/>
      <c r="CD171" s="293"/>
      <c r="CE171" s="295"/>
      <c r="CF171" s="295"/>
      <c r="CG171" s="295"/>
      <c r="CH171" s="293"/>
      <c r="CI171" s="295"/>
      <c r="CJ171" s="295"/>
      <c r="CK171" s="295"/>
      <c r="CL171" s="293"/>
      <c r="CM171" s="295"/>
      <c r="CN171" s="295"/>
      <c r="CO171" s="295"/>
      <c r="CP171" s="293">
        <f t="shared" si="2858"/>
        <v>0</v>
      </c>
      <c r="CQ171" s="312"/>
      <c r="CR171" s="312"/>
      <c r="CS171" s="312"/>
      <c r="CT171" s="312"/>
      <c r="CU171" s="312"/>
      <c r="CV171" s="312"/>
      <c r="CW171" s="312"/>
      <c r="CX171" s="312"/>
      <c r="CY171" s="312"/>
      <c r="CZ171" s="312"/>
      <c r="DA171" s="312"/>
      <c r="DB171" s="312"/>
      <c r="DC171" s="312"/>
      <c r="DD171" s="312"/>
      <c r="DE171" s="312"/>
      <c r="DF171" s="312"/>
      <c r="DG171" s="312"/>
      <c r="DH171" s="312"/>
      <c r="DI171" s="312"/>
      <c r="DJ171" s="312"/>
      <c r="DK171" s="312"/>
      <c r="DL171" s="312"/>
      <c r="DM171" s="312"/>
      <c r="DN171" s="312"/>
      <c r="DO171" s="312"/>
      <c r="DP171" s="312"/>
      <c r="DQ171" s="312"/>
      <c r="DR171" s="312"/>
      <c r="DS171" s="312"/>
      <c r="DT171" s="312"/>
      <c r="DU171" s="312"/>
      <c r="DV171" s="312"/>
      <c r="DW171" s="312"/>
      <c r="DX171" s="312"/>
      <c r="DY171" s="312"/>
      <c r="DZ171" s="312"/>
      <c r="EA171" s="312"/>
      <c r="EB171" s="312"/>
      <c r="EC171" s="312"/>
      <c r="ED171" s="312"/>
      <c r="EE171" s="312"/>
      <c r="EF171" s="312"/>
      <c r="EG171" s="312"/>
      <c r="EH171" s="312"/>
      <c r="EI171" s="312"/>
      <c r="EJ171" s="312"/>
      <c r="EK171" s="312"/>
      <c r="EL171" s="312"/>
      <c r="EM171" s="312"/>
      <c r="EN171" s="312"/>
      <c r="EO171" s="312"/>
      <c r="EP171" s="312"/>
      <c r="EQ171" s="312"/>
      <c r="ER171" s="312"/>
      <c r="ES171" s="312"/>
      <c r="ET171" s="312"/>
      <c r="EU171" s="312"/>
      <c r="EV171" s="312"/>
      <c r="EW171" s="312"/>
      <c r="EX171" s="312"/>
      <c r="EY171" s="312"/>
      <c r="EZ171" s="312"/>
      <c r="FA171" s="312"/>
      <c r="FB171" s="312"/>
      <c r="FC171" s="312"/>
      <c r="FD171" s="312"/>
      <c r="FE171" s="312"/>
      <c r="FF171" s="312"/>
      <c r="FG171" s="312"/>
      <c r="FH171" s="312"/>
      <c r="FI171" s="312"/>
      <c r="FJ171" s="312"/>
      <c r="FK171" s="312"/>
      <c r="FL171" s="312"/>
      <c r="FM171" s="312"/>
      <c r="FN171" s="312"/>
      <c r="FO171" s="312"/>
      <c r="FP171" s="312"/>
      <c r="FQ171" s="312"/>
      <c r="FR171" s="312"/>
      <c r="FS171" s="312"/>
      <c r="FT171" s="312"/>
      <c r="FU171" s="312"/>
      <c r="FV171" s="312"/>
      <c r="FW171" s="312"/>
      <c r="FX171" s="312"/>
      <c r="FY171" s="312"/>
      <c r="FZ171" s="312"/>
      <c r="GA171" s="312"/>
      <c r="GB171" s="312"/>
      <c r="GC171" s="312"/>
      <c r="GD171" s="312"/>
      <c r="GE171" s="312"/>
      <c r="GF171" s="312"/>
      <c r="GG171" s="312"/>
      <c r="GH171" s="312"/>
      <c r="GI171" s="312"/>
      <c r="GJ171" s="312"/>
      <c r="GK171" s="312"/>
      <c r="GL171" s="312"/>
      <c r="GM171" s="312"/>
      <c r="GN171" s="312"/>
      <c r="GO171" s="312"/>
      <c r="GP171" s="312"/>
      <c r="GQ171" s="312"/>
      <c r="GR171" s="312"/>
      <c r="GS171" s="312"/>
      <c r="GT171" s="312"/>
      <c r="GU171" s="312"/>
      <c r="GV171" s="312"/>
      <c r="GW171" s="312"/>
      <c r="GX171" s="312"/>
      <c r="GY171" s="312"/>
      <c r="GZ171" s="312"/>
      <c r="HA171" s="381">
        <f t="shared" si="3572"/>
        <v>0</v>
      </c>
      <c r="HB171" s="312"/>
      <c r="HC171" s="381"/>
      <c r="HD171" s="360">
        <v>164858.35</v>
      </c>
    </row>
    <row r="172" spans="1:212" ht="17.25" customHeight="1">
      <c r="A172" s="325">
        <v>86</v>
      </c>
      <c r="B172" s="301" t="s">
        <v>347</v>
      </c>
      <c r="C172" s="301" t="s">
        <v>1165</v>
      </c>
      <c r="D172" s="318" t="s">
        <v>1166</v>
      </c>
      <c r="E172" s="319" t="s">
        <v>1167</v>
      </c>
      <c r="F172" s="302">
        <v>77.02</v>
      </c>
      <c r="G172" s="303">
        <v>28.5</v>
      </c>
      <c r="H172" s="320">
        <f>G172*F172*365</f>
        <v>801200.54999999993</v>
      </c>
      <c r="I172" s="321">
        <v>200300.14</v>
      </c>
      <c r="J172" s="304">
        <f>ROUND(G172*F172*365/4,0)</f>
        <v>200300</v>
      </c>
      <c r="K172" s="322">
        <f t="shared" ref="K172:N172" si="3759">J172</f>
        <v>200300</v>
      </c>
      <c r="L172" s="322">
        <f t="shared" si="3759"/>
        <v>200300</v>
      </c>
      <c r="M172" s="322">
        <f t="shared" si="3759"/>
        <v>200300</v>
      </c>
      <c r="N172" s="322">
        <f t="shared" si="3759"/>
        <v>200300</v>
      </c>
      <c r="O172" s="322">
        <f t="shared" ref="O172:Q173" si="3760">N172</f>
        <v>200300</v>
      </c>
      <c r="P172" s="323">
        <f t="shared" si="3760"/>
        <v>200300</v>
      </c>
      <c r="Q172" s="303">
        <f t="shared" si="3760"/>
        <v>200300</v>
      </c>
      <c r="R172" s="293">
        <f>ROUND(Q172*(1+取值表!$D$10)*取值表!$I$10,0)</f>
        <v>206011</v>
      </c>
      <c r="S172" s="324">
        <f>R172</f>
        <v>206011</v>
      </c>
      <c r="T172" s="324">
        <f>S172</f>
        <v>206011</v>
      </c>
      <c r="U172" s="324">
        <f>T172</f>
        <v>206011</v>
      </c>
      <c r="V172" s="294">
        <f>ROUND(U172*(1+取值表!$D$10),0)</f>
        <v>225170</v>
      </c>
      <c r="W172" s="324">
        <f t="shared" ref="W172:Y172" si="3761">V172</f>
        <v>225170</v>
      </c>
      <c r="X172" s="324">
        <f t="shared" si="3761"/>
        <v>225170</v>
      </c>
      <c r="Y172" s="324">
        <f t="shared" si="3761"/>
        <v>225170</v>
      </c>
      <c r="Z172" s="295">
        <f>ROUND(Y172*(1+取值表!$D$10),0)</f>
        <v>246111</v>
      </c>
      <c r="AA172" s="324">
        <f t="shared" ref="AA172:AB173" si="3762">Z172</f>
        <v>246111</v>
      </c>
      <c r="AB172" s="324">
        <f t="shared" si="3762"/>
        <v>246111</v>
      </c>
      <c r="AC172" s="324">
        <f>AB172</f>
        <v>246111</v>
      </c>
      <c r="AD172" s="295">
        <f>ROUND(AC172*(1+取值表!$D$10),0)</f>
        <v>268999</v>
      </c>
      <c r="AE172" s="324">
        <f t="shared" ref="AE172:AE173" si="3763">AD172</f>
        <v>268999</v>
      </c>
      <c r="AF172" s="324">
        <f t="shared" ref="AF172:AF173" si="3764">AE172</f>
        <v>268999</v>
      </c>
      <c r="AG172" s="324">
        <f t="shared" ref="AG172:AG173" si="3765">AF172</f>
        <v>268999</v>
      </c>
      <c r="AH172" s="295">
        <f>ROUND(AG172*(1+取值表!$D$10),0)</f>
        <v>294016</v>
      </c>
      <c r="AI172" s="324">
        <f t="shared" ref="AI172:AI173" si="3766">AH172</f>
        <v>294016</v>
      </c>
      <c r="AJ172" s="324">
        <f t="shared" ref="AJ172:AJ173" si="3767">AI172</f>
        <v>294016</v>
      </c>
      <c r="AK172" s="324">
        <f t="shared" ref="AK172:AK173" si="3768">AJ172</f>
        <v>294016</v>
      </c>
      <c r="AL172" s="295">
        <f>ROUND(AK172*(1+取值表!$D$10),0)</f>
        <v>321359</v>
      </c>
      <c r="AM172" s="324">
        <f t="shared" ref="AM172:AM173" si="3769">AL172</f>
        <v>321359</v>
      </c>
      <c r="AN172" s="324">
        <f t="shared" ref="AN172:AN173" si="3770">AM172</f>
        <v>321359</v>
      </c>
      <c r="AO172" s="324">
        <f t="shared" ref="AO172:AO173" si="3771">AN172</f>
        <v>321359</v>
      </c>
      <c r="AP172" s="295">
        <f>ROUND(AO172*(1+取值表!$D$10),0)</f>
        <v>351245</v>
      </c>
      <c r="AQ172" s="324">
        <f t="shared" ref="AQ172:AQ173" si="3772">AP172</f>
        <v>351245</v>
      </c>
      <c r="AR172" s="324">
        <f t="shared" ref="AR172:AR173" si="3773">AQ172</f>
        <v>351245</v>
      </c>
      <c r="AS172" s="324">
        <f t="shared" ref="AS172:AS173" si="3774">AR172</f>
        <v>351245</v>
      </c>
      <c r="AT172" s="295">
        <f>ROUND(AS172*(1+取值表!$D$10),0)</f>
        <v>383911</v>
      </c>
      <c r="AU172" s="324">
        <f t="shared" ref="AU172:AU173" si="3775">AT172</f>
        <v>383911</v>
      </c>
      <c r="AV172" s="324">
        <f t="shared" ref="AV172:AV173" si="3776">AU172</f>
        <v>383911</v>
      </c>
      <c r="AW172" s="324">
        <f t="shared" ref="AW172:AW173" si="3777">AV172</f>
        <v>383911</v>
      </c>
      <c r="AX172" s="295">
        <f>ROUND(AW172*(1+取值表!$D$10),0)</f>
        <v>419615</v>
      </c>
      <c r="AY172" s="324">
        <f t="shared" ref="AY172:AY173" si="3778">AX172</f>
        <v>419615</v>
      </c>
      <c r="AZ172" s="324">
        <f t="shared" ref="AZ172:AZ173" si="3779">AY172</f>
        <v>419615</v>
      </c>
      <c r="BA172" s="324">
        <f t="shared" ref="BA172:BA173" si="3780">AZ172</f>
        <v>419615</v>
      </c>
      <c r="BB172" s="295">
        <f>ROUND(BA172*(1+取值表!$D$10),0)</f>
        <v>458639</v>
      </c>
      <c r="BC172" s="324">
        <f>BB172</f>
        <v>458639</v>
      </c>
      <c r="BD172" s="324">
        <f t="shared" ref="BD172:BD173" si="3781">BC172</f>
        <v>458639</v>
      </c>
      <c r="BE172" s="324">
        <f>BD172</f>
        <v>458639</v>
      </c>
      <c r="BF172" s="295">
        <f>ROUND(BE172*(1+取值表!$D$10),0)</f>
        <v>501292</v>
      </c>
      <c r="BG172" s="324">
        <f>BF172</f>
        <v>501292</v>
      </c>
      <c r="BH172" s="324">
        <f t="shared" ref="BH172:BH173" si="3782">BG172</f>
        <v>501292</v>
      </c>
      <c r="BI172" s="324">
        <f t="shared" ref="BI172:BI173" si="3783">BH172</f>
        <v>501292</v>
      </c>
      <c r="BJ172" s="295">
        <f>ROUND(BI172*(1+取值表!$D$10),0)</f>
        <v>547912</v>
      </c>
      <c r="BK172" s="324">
        <f t="shared" ref="BK172:BK173" si="3784">BJ172</f>
        <v>547912</v>
      </c>
      <c r="BL172" s="324">
        <f t="shared" ref="BL172:BL173" si="3785">BK172</f>
        <v>547912</v>
      </c>
      <c r="BM172" s="324">
        <f t="shared" ref="BM172:BM173" si="3786">BL172</f>
        <v>547912</v>
      </c>
      <c r="BN172" s="295">
        <f>ROUND(BM172*(1+取值表!$D$10),0)</f>
        <v>598868</v>
      </c>
      <c r="BO172" s="324">
        <f t="shared" ref="BO172:BO173" si="3787">BN172</f>
        <v>598868</v>
      </c>
      <c r="BP172" s="324">
        <f t="shared" ref="BP172:BP173" si="3788">BO172</f>
        <v>598868</v>
      </c>
      <c r="BQ172" s="324">
        <f t="shared" ref="BQ172:BQ173" si="3789">BP172</f>
        <v>598868</v>
      </c>
      <c r="BR172" s="295">
        <f>ROUND(BQ172*(1+取值表!$D$10),0)</f>
        <v>654563</v>
      </c>
      <c r="BS172" s="324">
        <f t="shared" ref="BS172:BS173" si="3790">BR172</f>
        <v>654563</v>
      </c>
      <c r="BT172" s="324">
        <f t="shared" ref="BT172:BT173" si="3791">BS172</f>
        <v>654563</v>
      </c>
      <c r="BU172" s="324">
        <f t="shared" ref="BU172:BU173" si="3792">BT172</f>
        <v>654563</v>
      </c>
      <c r="BV172" s="295">
        <f>ROUND(BU172*(1+取值表!$D$10),0)</f>
        <v>715437</v>
      </c>
      <c r="BW172" s="324">
        <f t="shared" ref="BW172:BW173" si="3793">BV172</f>
        <v>715437</v>
      </c>
      <c r="BX172" s="324">
        <f t="shared" ref="BX172:BX173" si="3794">BW172</f>
        <v>715437</v>
      </c>
      <c r="BY172" s="324">
        <f t="shared" ref="BY172:BY173" si="3795">BX172</f>
        <v>715437</v>
      </c>
      <c r="BZ172" s="295">
        <f>ROUND(BY172*(1+取值表!$D$10),0)</f>
        <v>781973</v>
      </c>
      <c r="CA172" s="324">
        <f t="shared" ref="CA172:CA173" si="3796">BZ172</f>
        <v>781973</v>
      </c>
      <c r="CB172" s="324">
        <f t="shared" ref="CB172:CB173" si="3797">CA172</f>
        <v>781973</v>
      </c>
      <c r="CC172" s="324">
        <f t="shared" ref="CC172:CC173" si="3798">CB172</f>
        <v>781973</v>
      </c>
      <c r="CD172" s="295">
        <f>ROUND(CC172*(1+取值表!$D$10),0)</f>
        <v>854696</v>
      </c>
      <c r="CE172" s="324">
        <f t="shared" ref="CE172:CE173" si="3799">CD172</f>
        <v>854696</v>
      </c>
      <c r="CF172" s="324">
        <f t="shared" ref="CF172:CF173" si="3800">CE172</f>
        <v>854696</v>
      </c>
      <c r="CG172" s="324">
        <f t="shared" ref="CG172:CG173" si="3801">CF172</f>
        <v>854696</v>
      </c>
      <c r="CH172" s="295">
        <f>ROUND(CG172*(1+取值表!$D$10),0)</f>
        <v>934183</v>
      </c>
      <c r="CI172" s="324">
        <f>CH172</f>
        <v>934183</v>
      </c>
      <c r="CJ172" s="324">
        <f t="shared" ref="CJ172:CJ173" si="3802">CI172</f>
        <v>934183</v>
      </c>
      <c r="CK172" s="324">
        <f t="shared" ref="CK172:CK173" si="3803">CJ172</f>
        <v>934183</v>
      </c>
      <c r="CL172" s="295">
        <f>ROUND(CK172*(1+取值表!$D$10),0)</f>
        <v>1021062</v>
      </c>
      <c r="CM172" s="324">
        <f>CL172</f>
        <v>1021062</v>
      </c>
      <c r="CN172" s="324">
        <f t="shared" ref="CN172:CN173" si="3804">CM172</f>
        <v>1021062</v>
      </c>
      <c r="CO172" s="324">
        <f t="shared" ref="CO172:CO173" si="3805">CN172</f>
        <v>1021062</v>
      </c>
      <c r="CP172" s="293">
        <f t="shared" si="2858"/>
        <v>40742648</v>
      </c>
    </row>
    <row r="173" spans="1:212" ht="12" customHeight="1">
      <c r="A173" s="679">
        <v>87</v>
      </c>
      <c r="B173" s="671" t="s">
        <v>180</v>
      </c>
      <c r="C173" s="673" t="s">
        <v>181</v>
      </c>
      <c r="D173" s="675" t="s">
        <v>481</v>
      </c>
      <c r="E173" s="677" t="s">
        <v>486</v>
      </c>
      <c r="F173" s="665">
        <v>73.38</v>
      </c>
      <c r="G173" s="665">
        <v>22</v>
      </c>
      <c r="H173" s="667">
        <f>F173*G173*365</f>
        <v>589241.39999999991</v>
      </c>
      <c r="I173" s="291">
        <v>147310.35</v>
      </c>
      <c r="J173" s="292">
        <f>ROUND(F173*G173*365/4,0)</f>
        <v>147310</v>
      </c>
      <c r="K173" s="293">
        <f>J173</f>
        <v>147310</v>
      </c>
      <c r="L173" s="293">
        <f>K173</f>
        <v>147310</v>
      </c>
      <c r="M173" s="293">
        <f>L173</f>
        <v>147310</v>
      </c>
      <c r="N173" s="293">
        <f>ROUND(M173*(1+取值表!$D$12)*取值表!$I$12,0)</f>
        <v>151510</v>
      </c>
      <c r="O173" s="293">
        <f t="shared" si="3760"/>
        <v>151510</v>
      </c>
      <c r="P173" s="293">
        <f t="shared" si="3760"/>
        <v>151510</v>
      </c>
      <c r="Q173" s="293">
        <f t="shared" si="3760"/>
        <v>151510</v>
      </c>
      <c r="R173" s="294">
        <f>ROUND(Q173*(1+取值表!$D$10),0)</f>
        <v>165600</v>
      </c>
      <c r="S173" s="293">
        <f t="shared" ref="S173:T173" si="3806">R173</f>
        <v>165600</v>
      </c>
      <c r="T173" s="293">
        <f t="shared" si="3806"/>
        <v>165600</v>
      </c>
      <c r="U173" s="293">
        <f>T173</f>
        <v>165600</v>
      </c>
      <c r="V173" s="295">
        <f>ROUND(U173*(1+取值表!$D$10),0)</f>
        <v>181001</v>
      </c>
      <c r="W173" s="293">
        <f t="shared" ref="W173:Y173" si="3807">V173</f>
        <v>181001</v>
      </c>
      <c r="X173" s="293">
        <f t="shared" si="3807"/>
        <v>181001</v>
      </c>
      <c r="Y173" s="293">
        <f t="shared" si="3807"/>
        <v>181001</v>
      </c>
      <c r="Z173" s="295">
        <f>ROUND(Y173*(1+取值表!$D$10),0)</f>
        <v>197834</v>
      </c>
      <c r="AA173" s="293">
        <f t="shared" si="3762"/>
        <v>197834</v>
      </c>
      <c r="AB173" s="293">
        <f t="shared" si="3762"/>
        <v>197834</v>
      </c>
      <c r="AC173" s="293">
        <f>AB173</f>
        <v>197834</v>
      </c>
      <c r="AD173" s="295">
        <f>ROUND(AC173*(1+取值表!$D$10),0)</f>
        <v>216233</v>
      </c>
      <c r="AE173" s="293">
        <f t="shared" si="3763"/>
        <v>216233</v>
      </c>
      <c r="AF173" s="293">
        <f t="shared" si="3764"/>
        <v>216233</v>
      </c>
      <c r="AG173" s="293">
        <f t="shared" si="3765"/>
        <v>216233</v>
      </c>
      <c r="AH173" s="295">
        <f>ROUND(AG173*(1+取值表!$D$10),0)</f>
        <v>236343</v>
      </c>
      <c r="AI173" s="293">
        <f t="shared" si="3766"/>
        <v>236343</v>
      </c>
      <c r="AJ173" s="293">
        <f t="shared" si="3767"/>
        <v>236343</v>
      </c>
      <c r="AK173" s="293">
        <f t="shared" si="3768"/>
        <v>236343</v>
      </c>
      <c r="AL173" s="295">
        <f>ROUND(AK173*(1+取值表!$D$10),0)</f>
        <v>258323</v>
      </c>
      <c r="AM173" s="293">
        <f t="shared" si="3769"/>
        <v>258323</v>
      </c>
      <c r="AN173" s="293">
        <f t="shared" si="3770"/>
        <v>258323</v>
      </c>
      <c r="AO173" s="293">
        <f t="shared" si="3771"/>
        <v>258323</v>
      </c>
      <c r="AP173" s="295">
        <f>ROUND(AO173*(1+取值表!$D$10),0)</f>
        <v>282347</v>
      </c>
      <c r="AQ173" s="293">
        <f t="shared" si="3772"/>
        <v>282347</v>
      </c>
      <c r="AR173" s="293">
        <f t="shared" si="3773"/>
        <v>282347</v>
      </c>
      <c r="AS173" s="293">
        <f t="shared" si="3774"/>
        <v>282347</v>
      </c>
      <c r="AT173" s="295">
        <f>ROUND(AS173*(1+取值表!$D$10),0)</f>
        <v>308605</v>
      </c>
      <c r="AU173" s="293">
        <f t="shared" si="3775"/>
        <v>308605</v>
      </c>
      <c r="AV173" s="293">
        <f t="shared" si="3776"/>
        <v>308605</v>
      </c>
      <c r="AW173" s="293">
        <f t="shared" si="3777"/>
        <v>308605</v>
      </c>
      <c r="AX173" s="295">
        <f>ROUND(AW173*(1+取值表!$D$10),0)</f>
        <v>337305</v>
      </c>
      <c r="AY173" s="293">
        <f t="shared" si="3778"/>
        <v>337305</v>
      </c>
      <c r="AZ173" s="293">
        <f t="shared" si="3779"/>
        <v>337305</v>
      </c>
      <c r="BA173" s="293">
        <f t="shared" si="3780"/>
        <v>337305</v>
      </c>
      <c r="BB173" s="295">
        <f>ROUND(BA173*(1+取值表!$D$10),0)</f>
        <v>368674</v>
      </c>
      <c r="BC173" s="293">
        <f>BB173</f>
        <v>368674</v>
      </c>
      <c r="BD173" s="293">
        <f t="shared" si="3781"/>
        <v>368674</v>
      </c>
      <c r="BE173" s="293">
        <f>BD173</f>
        <v>368674</v>
      </c>
      <c r="BF173" s="295">
        <f>ROUND(BE173*(1+取值表!$D$10),0)</f>
        <v>402961</v>
      </c>
      <c r="BG173" s="293">
        <f>BF173</f>
        <v>402961</v>
      </c>
      <c r="BH173" s="293">
        <f t="shared" si="3782"/>
        <v>402961</v>
      </c>
      <c r="BI173" s="293">
        <f t="shared" si="3783"/>
        <v>402961</v>
      </c>
      <c r="BJ173" s="295">
        <f>ROUND(BI173*(1+取值表!$D$10),0)</f>
        <v>440436</v>
      </c>
      <c r="BK173" s="293">
        <f t="shared" si="3784"/>
        <v>440436</v>
      </c>
      <c r="BL173" s="293">
        <f t="shared" si="3785"/>
        <v>440436</v>
      </c>
      <c r="BM173" s="293">
        <f t="shared" si="3786"/>
        <v>440436</v>
      </c>
      <c r="BN173" s="295">
        <f>ROUND(BM173*(1+取值表!$D$10),0)</f>
        <v>481397</v>
      </c>
      <c r="BO173" s="293">
        <f t="shared" si="3787"/>
        <v>481397</v>
      </c>
      <c r="BP173" s="293">
        <f t="shared" si="3788"/>
        <v>481397</v>
      </c>
      <c r="BQ173" s="293">
        <f t="shared" si="3789"/>
        <v>481397</v>
      </c>
      <c r="BR173" s="295">
        <f>ROUND(BQ173*(1+取值表!$D$10),0)</f>
        <v>526167</v>
      </c>
      <c r="BS173" s="293">
        <f t="shared" si="3790"/>
        <v>526167</v>
      </c>
      <c r="BT173" s="293">
        <f t="shared" si="3791"/>
        <v>526167</v>
      </c>
      <c r="BU173" s="293">
        <f t="shared" si="3792"/>
        <v>526167</v>
      </c>
      <c r="BV173" s="295">
        <f>ROUND(BU173*(1+取值表!$D$10),0)</f>
        <v>575101</v>
      </c>
      <c r="BW173" s="293">
        <f t="shared" si="3793"/>
        <v>575101</v>
      </c>
      <c r="BX173" s="293">
        <f t="shared" si="3794"/>
        <v>575101</v>
      </c>
      <c r="BY173" s="293">
        <f t="shared" si="3795"/>
        <v>575101</v>
      </c>
      <c r="BZ173" s="295">
        <f>ROUND(BY173*(1+取值表!$D$10),0)</f>
        <v>628585</v>
      </c>
      <c r="CA173" s="293">
        <f t="shared" si="3796"/>
        <v>628585</v>
      </c>
      <c r="CB173" s="293">
        <f t="shared" si="3797"/>
        <v>628585</v>
      </c>
      <c r="CC173" s="293">
        <f t="shared" si="3798"/>
        <v>628585</v>
      </c>
      <c r="CD173" s="295">
        <f>ROUND(CC173*(1+取值表!$D$10),0)</f>
        <v>687043</v>
      </c>
      <c r="CE173" s="293">
        <f t="shared" si="3799"/>
        <v>687043</v>
      </c>
      <c r="CF173" s="293">
        <f t="shared" si="3800"/>
        <v>687043</v>
      </c>
      <c r="CG173" s="293">
        <f t="shared" si="3801"/>
        <v>687043</v>
      </c>
      <c r="CH173" s="295">
        <f>ROUND(CG173*(1+取值表!$D$10),0)</f>
        <v>750938</v>
      </c>
      <c r="CI173" s="293">
        <f>CH173</f>
        <v>750938</v>
      </c>
      <c r="CJ173" s="293">
        <f t="shared" si="3802"/>
        <v>750938</v>
      </c>
      <c r="CK173" s="293">
        <f t="shared" si="3803"/>
        <v>750938</v>
      </c>
      <c r="CL173" s="295">
        <f>ROUND(CK173*(1+取值表!$D$10),0)</f>
        <v>820775</v>
      </c>
      <c r="CM173" s="293">
        <f>CL173</f>
        <v>820775</v>
      </c>
      <c r="CN173" s="293">
        <f t="shared" si="3804"/>
        <v>820775</v>
      </c>
      <c r="CO173" s="293">
        <f t="shared" si="3805"/>
        <v>820775</v>
      </c>
      <c r="CP173" s="293">
        <f t="shared" si="2858"/>
        <v>32657952</v>
      </c>
    </row>
    <row r="174" spans="1:212">
      <c r="A174" s="680"/>
      <c r="B174" s="672"/>
      <c r="C174" s="674"/>
      <c r="D174" s="676"/>
      <c r="E174" s="678"/>
      <c r="F174" s="666"/>
      <c r="G174" s="666"/>
      <c r="H174" s="668"/>
      <c r="I174" s="291"/>
      <c r="J174" s="295"/>
      <c r="K174" s="293"/>
      <c r="L174" s="293"/>
      <c r="M174" s="293"/>
      <c r="N174" s="293"/>
      <c r="O174" s="293"/>
      <c r="P174" s="293"/>
      <c r="Q174" s="293"/>
      <c r="R174" s="293"/>
      <c r="S174" s="293"/>
      <c r="T174" s="293"/>
      <c r="U174" s="293"/>
      <c r="V174" s="293"/>
      <c r="W174" s="293"/>
      <c r="X174" s="293"/>
      <c r="Y174" s="293"/>
      <c r="Z174" s="293"/>
      <c r="AA174" s="293"/>
      <c r="AB174" s="293"/>
      <c r="AC174" s="293"/>
      <c r="AD174" s="293"/>
      <c r="AE174" s="293"/>
      <c r="AF174" s="293"/>
      <c r="AG174" s="293"/>
      <c r="AH174" s="293"/>
      <c r="AI174" s="293"/>
      <c r="AJ174" s="293"/>
      <c r="AK174" s="293"/>
      <c r="AL174" s="293"/>
      <c r="AM174" s="293"/>
      <c r="AN174" s="293"/>
      <c r="AO174" s="293"/>
      <c r="AP174" s="293"/>
      <c r="AQ174" s="293"/>
      <c r="AR174" s="293"/>
      <c r="AS174" s="293"/>
      <c r="AT174" s="293"/>
      <c r="AU174" s="293"/>
      <c r="AV174" s="293"/>
      <c r="AW174" s="293"/>
      <c r="AX174" s="293"/>
      <c r="AY174" s="293"/>
      <c r="AZ174" s="293"/>
      <c r="BA174" s="293"/>
      <c r="BB174" s="293"/>
      <c r="BC174" s="293"/>
      <c r="BD174" s="293"/>
      <c r="BE174" s="293"/>
      <c r="BF174" s="293"/>
      <c r="BG174" s="293"/>
      <c r="BH174" s="293"/>
      <c r="BI174" s="293"/>
      <c r="BJ174" s="293"/>
      <c r="BK174" s="293"/>
      <c r="BL174" s="293"/>
      <c r="BM174" s="293"/>
      <c r="BN174" s="293"/>
      <c r="BO174" s="293"/>
      <c r="BP174" s="293"/>
      <c r="BQ174" s="293"/>
      <c r="BR174" s="293"/>
      <c r="BS174" s="293"/>
      <c r="BT174" s="293"/>
      <c r="BU174" s="293"/>
      <c r="BV174" s="293"/>
      <c r="BW174" s="293"/>
      <c r="BX174" s="293"/>
      <c r="BY174" s="293"/>
      <c r="BZ174" s="293"/>
      <c r="CA174" s="293"/>
      <c r="CB174" s="293"/>
      <c r="CC174" s="293"/>
      <c r="CD174" s="293"/>
      <c r="CE174" s="293"/>
      <c r="CF174" s="293"/>
      <c r="CG174" s="293"/>
      <c r="CH174" s="293"/>
      <c r="CI174" s="293"/>
      <c r="CJ174" s="293"/>
      <c r="CK174" s="293"/>
      <c r="CL174" s="293"/>
      <c r="CM174" s="293"/>
      <c r="CN174" s="293"/>
      <c r="CO174" s="293"/>
      <c r="CP174" s="293">
        <f t="shared" si="2858"/>
        <v>0</v>
      </c>
    </row>
    <row r="175" spans="1:212" s="314" customFormat="1">
      <c r="A175" s="679">
        <v>88</v>
      </c>
      <c r="B175" s="671" t="s">
        <v>182</v>
      </c>
      <c r="C175" s="673" t="s">
        <v>732</v>
      </c>
      <c r="D175" s="675" t="s">
        <v>482</v>
      </c>
      <c r="E175" s="677" t="s">
        <v>486</v>
      </c>
      <c r="F175" s="665">
        <v>190.71</v>
      </c>
      <c r="G175" s="665">
        <f>AVERAGE(16)</f>
        <v>16</v>
      </c>
      <c r="H175" s="667">
        <f>F175*G175*365</f>
        <v>1113746.4000000001</v>
      </c>
      <c r="I175" s="291">
        <v>278436.59999999998</v>
      </c>
      <c r="J175" s="295">
        <f>ROUND(F175*G175*365/4,0)</f>
        <v>278437</v>
      </c>
      <c r="K175" s="293">
        <f>J175</f>
        <v>278437</v>
      </c>
      <c r="L175" s="292">
        <f>K175</f>
        <v>278437</v>
      </c>
      <c r="M175" s="293">
        <f>L175</f>
        <v>278437</v>
      </c>
      <c r="N175" s="293">
        <f>ROUND(M175*(1+取值表!$D$12)*取值表!$I$12,0)</f>
        <v>286376</v>
      </c>
      <c r="O175" s="293">
        <f>N175</f>
        <v>286376</v>
      </c>
      <c r="P175" s="293">
        <f>O175</f>
        <v>286376</v>
      </c>
      <c r="Q175" s="293">
        <f>P175</f>
        <v>286376</v>
      </c>
      <c r="R175" s="294">
        <f>ROUND(Q175*(1+取值表!$D$10),0)</f>
        <v>313009</v>
      </c>
      <c r="S175" s="293">
        <f t="shared" ref="S175:T175" si="3808">R175</f>
        <v>313009</v>
      </c>
      <c r="T175" s="293">
        <f t="shared" si="3808"/>
        <v>313009</v>
      </c>
      <c r="U175" s="293">
        <f>T175</f>
        <v>313009</v>
      </c>
      <c r="V175" s="295">
        <f>ROUND(U175*(1+取值表!$D$10),0)</f>
        <v>342119</v>
      </c>
      <c r="W175" s="293">
        <f t="shared" ref="W175:Y175" si="3809">V175</f>
        <v>342119</v>
      </c>
      <c r="X175" s="293">
        <f t="shared" si="3809"/>
        <v>342119</v>
      </c>
      <c r="Y175" s="293">
        <f t="shared" si="3809"/>
        <v>342119</v>
      </c>
      <c r="Z175" s="295">
        <f>ROUND(Y175*(1+取值表!$D$10),0)</f>
        <v>373936</v>
      </c>
      <c r="AA175" s="293">
        <f t="shared" ref="AA175" si="3810">Z175</f>
        <v>373936</v>
      </c>
      <c r="AB175" s="293">
        <f t="shared" ref="AB175" si="3811">AA175</f>
        <v>373936</v>
      </c>
      <c r="AC175" s="293">
        <f>AB175</f>
        <v>373936</v>
      </c>
      <c r="AD175" s="295">
        <f>ROUND(AC175*(1+取值表!$D$10),0)</f>
        <v>408712</v>
      </c>
      <c r="AE175" s="293">
        <f t="shared" ref="AE175" si="3812">AD175</f>
        <v>408712</v>
      </c>
      <c r="AF175" s="293">
        <f t="shared" ref="AF175" si="3813">AE175</f>
        <v>408712</v>
      </c>
      <c r="AG175" s="293">
        <f t="shared" ref="AG175" si="3814">AF175</f>
        <v>408712</v>
      </c>
      <c r="AH175" s="295">
        <f>ROUND(AG175*(1+取值表!$D$10),0)</f>
        <v>446722</v>
      </c>
      <c r="AI175" s="293">
        <f t="shared" ref="AI175" si="3815">AH175</f>
        <v>446722</v>
      </c>
      <c r="AJ175" s="293">
        <f t="shared" ref="AJ175" si="3816">AI175</f>
        <v>446722</v>
      </c>
      <c r="AK175" s="293">
        <f t="shared" ref="AK175" si="3817">AJ175</f>
        <v>446722</v>
      </c>
      <c r="AL175" s="295">
        <f>ROUND(AK175*(1+取值表!$D$10),0)</f>
        <v>488267</v>
      </c>
      <c r="AM175" s="293">
        <f t="shared" ref="AM175" si="3818">AL175</f>
        <v>488267</v>
      </c>
      <c r="AN175" s="293">
        <f t="shared" ref="AN175" si="3819">AM175</f>
        <v>488267</v>
      </c>
      <c r="AO175" s="293">
        <f t="shared" ref="AO175" si="3820">AN175</f>
        <v>488267</v>
      </c>
      <c r="AP175" s="295">
        <f>ROUND(AO175*(1+取值表!$D$10),0)</f>
        <v>533676</v>
      </c>
      <c r="AQ175" s="293">
        <f t="shared" ref="AQ175" si="3821">AP175</f>
        <v>533676</v>
      </c>
      <c r="AR175" s="293">
        <f t="shared" ref="AR175" si="3822">AQ175</f>
        <v>533676</v>
      </c>
      <c r="AS175" s="293">
        <f t="shared" ref="AS175" si="3823">AR175</f>
        <v>533676</v>
      </c>
      <c r="AT175" s="295">
        <f>ROUND(AS175*(1+取值表!$D$10),0)</f>
        <v>583308</v>
      </c>
      <c r="AU175" s="293">
        <f t="shared" ref="AU175" si="3824">AT175</f>
        <v>583308</v>
      </c>
      <c r="AV175" s="293">
        <f t="shared" ref="AV175" si="3825">AU175</f>
        <v>583308</v>
      </c>
      <c r="AW175" s="293">
        <f t="shared" ref="AW175" si="3826">AV175</f>
        <v>583308</v>
      </c>
      <c r="AX175" s="295">
        <f>ROUND(AW175*(1+取值表!$D$10),0)</f>
        <v>637556</v>
      </c>
      <c r="AY175" s="293">
        <f t="shared" ref="AY175" si="3827">AX175</f>
        <v>637556</v>
      </c>
      <c r="AZ175" s="293">
        <f t="shared" ref="AZ175" si="3828">AY175</f>
        <v>637556</v>
      </c>
      <c r="BA175" s="293">
        <f t="shared" ref="BA175" si="3829">AZ175</f>
        <v>637556</v>
      </c>
      <c r="BB175" s="295">
        <f>ROUND(BA175*(1+取值表!$D$10),0)</f>
        <v>696849</v>
      </c>
      <c r="BC175" s="293">
        <f>BB175</f>
        <v>696849</v>
      </c>
      <c r="BD175" s="293">
        <f t="shared" ref="BD175" si="3830">BC175</f>
        <v>696849</v>
      </c>
      <c r="BE175" s="293">
        <f>BD175</f>
        <v>696849</v>
      </c>
      <c r="BF175" s="295">
        <f>ROUND(BE175*(1+取值表!$D$10),0)</f>
        <v>761656</v>
      </c>
      <c r="BG175" s="293">
        <f>BF175</f>
        <v>761656</v>
      </c>
      <c r="BH175" s="293">
        <f t="shared" ref="BH175" si="3831">BG175</f>
        <v>761656</v>
      </c>
      <c r="BI175" s="293">
        <f t="shared" ref="BI175" si="3832">BH175</f>
        <v>761656</v>
      </c>
      <c r="BJ175" s="295">
        <f>ROUND(BI175*(1+取值表!$D$10),0)</f>
        <v>832490</v>
      </c>
      <c r="BK175" s="293">
        <f t="shared" ref="BK175" si="3833">BJ175</f>
        <v>832490</v>
      </c>
      <c r="BL175" s="293">
        <f t="shared" ref="BL175" si="3834">BK175</f>
        <v>832490</v>
      </c>
      <c r="BM175" s="293">
        <f t="shared" ref="BM175" si="3835">BL175</f>
        <v>832490</v>
      </c>
      <c r="BN175" s="295">
        <f>ROUND(BM175*(1+取值表!$D$10),0)</f>
        <v>909912</v>
      </c>
      <c r="BO175" s="293">
        <f t="shared" ref="BO175" si="3836">BN175</f>
        <v>909912</v>
      </c>
      <c r="BP175" s="293">
        <f t="shared" ref="BP175" si="3837">BO175</f>
        <v>909912</v>
      </c>
      <c r="BQ175" s="293">
        <f t="shared" ref="BQ175" si="3838">BP175</f>
        <v>909912</v>
      </c>
      <c r="BR175" s="295">
        <f>ROUND(BQ175*(1+取值表!$D$10),0)</f>
        <v>994534</v>
      </c>
      <c r="BS175" s="293">
        <f t="shared" ref="BS175" si="3839">BR175</f>
        <v>994534</v>
      </c>
      <c r="BT175" s="293">
        <f t="shared" ref="BT175" si="3840">BS175</f>
        <v>994534</v>
      </c>
      <c r="BU175" s="293">
        <f t="shared" ref="BU175" si="3841">BT175</f>
        <v>994534</v>
      </c>
      <c r="BV175" s="295">
        <f>ROUND(BU175*(1+取值表!$D$10),0)</f>
        <v>1087026</v>
      </c>
      <c r="BW175" s="293">
        <f t="shared" ref="BW175" si="3842">BV175</f>
        <v>1087026</v>
      </c>
      <c r="BX175" s="293">
        <f t="shared" ref="BX175" si="3843">BW175</f>
        <v>1087026</v>
      </c>
      <c r="BY175" s="293">
        <f t="shared" ref="BY175" si="3844">BX175</f>
        <v>1087026</v>
      </c>
      <c r="BZ175" s="295">
        <f>ROUND(BY175*(1+取值表!$D$10),0)</f>
        <v>1188119</v>
      </c>
      <c r="CA175" s="293">
        <f t="shared" ref="CA175" si="3845">BZ175</f>
        <v>1188119</v>
      </c>
      <c r="CB175" s="293">
        <f t="shared" ref="CB175" si="3846">CA175</f>
        <v>1188119</v>
      </c>
      <c r="CC175" s="293">
        <f t="shared" ref="CC175" si="3847">CB175</f>
        <v>1188119</v>
      </c>
      <c r="CD175" s="295">
        <f>ROUND(CC175*(1+取值表!$D$10),0)</f>
        <v>1298614</v>
      </c>
      <c r="CE175" s="293">
        <f t="shared" ref="CE175" si="3848">CD175</f>
        <v>1298614</v>
      </c>
      <c r="CF175" s="293">
        <f t="shared" ref="CF175" si="3849">CE175</f>
        <v>1298614</v>
      </c>
      <c r="CG175" s="293">
        <f t="shared" ref="CG175" si="3850">CF175</f>
        <v>1298614</v>
      </c>
      <c r="CH175" s="295">
        <f>ROUND(CG175*(1+取值表!$D$10),0)</f>
        <v>1419385</v>
      </c>
      <c r="CI175" s="293">
        <f>CH175</f>
        <v>1419385</v>
      </c>
      <c r="CJ175" s="293">
        <f t="shared" ref="CJ175" si="3851">CI175</f>
        <v>1419385</v>
      </c>
      <c r="CK175" s="293">
        <f t="shared" ref="CK175" si="3852">CJ175</f>
        <v>1419385</v>
      </c>
      <c r="CL175" s="295">
        <f>ROUND(CK175*(1+取值表!$D$10),0)</f>
        <v>1551388</v>
      </c>
      <c r="CM175" s="293">
        <f>CL175</f>
        <v>1551388</v>
      </c>
      <c r="CN175" s="293">
        <f t="shared" ref="CN175" si="3853">CM175</f>
        <v>1551388</v>
      </c>
      <c r="CO175" s="293">
        <f t="shared" ref="CO175" si="3854">CN175</f>
        <v>1551388</v>
      </c>
      <c r="CP175" s="293">
        <f t="shared" si="2858"/>
        <v>61728364</v>
      </c>
      <c r="CQ175" s="289"/>
    </row>
    <row r="176" spans="1:212" s="314" customFormat="1" ht="13.5" customHeight="1">
      <c r="A176" s="680"/>
      <c r="B176" s="672"/>
      <c r="C176" s="674"/>
      <c r="D176" s="676"/>
      <c r="E176" s="678"/>
      <c r="F176" s="666"/>
      <c r="G176" s="666"/>
      <c r="H176" s="668"/>
      <c r="I176" s="291"/>
      <c r="J176" s="295"/>
      <c r="K176" s="293"/>
      <c r="L176" s="293"/>
      <c r="M176" s="293"/>
      <c r="N176" s="293"/>
      <c r="O176" s="293"/>
      <c r="P176" s="293"/>
      <c r="Q176" s="293"/>
      <c r="R176" s="293"/>
      <c r="S176" s="293"/>
      <c r="T176" s="293"/>
      <c r="U176" s="293"/>
      <c r="V176" s="293"/>
      <c r="W176" s="293"/>
      <c r="X176" s="293"/>
      <c r="Y176" s="293"/>
      <c r="Z176" s="293"/>
      <c r="AA176" s="293"/>
      <c r="AB176" s="293"/>
      <c r="AC176" s="293"/>
      <c r="AD176" s="293"/>
      <c r="AE176" s="293"/>
      <c r="AF176" s="293"/>
      <c r="AG176" s="293"/>
      <c r="AH176" s="293"/>
      <c r="AI176" s="293"/>
      <c r="AJ176" s="293"/>
      <c r="AK176" s="293"/>
      <c r="AL176" s="293"/>
      <c r="AM176" s="293"/>
      <c r="AN176" s="293"/>
      <c r="AO176" s="293"/>
      <c r="AP176" s="293"/>
      <c r="AQ176" s="293"/>
      <c r="AR176" s="293"/>
      <c r="AS176" s="293"/>
      <c r="AT176" s="293"/>
      <c r="AU176" s="293"/>
      <c r="AV176" s="293"/>
      <c r="AW176" s="293"/>
      <c r="AX176" s="293"/>
      <c r="AY176" s="293"/>
      <c r="AZ176" s="293"/>
      <c r="BA176" s="293"/>
      <c r="BB176" s="293"/>
      <c r="BC176" s="293"/>
      <c r="BD176" s="293"/>
      <c r="BE176" s="293"/>
      <c r="BF176" s="293"/>
      <c r="BG176" s="293"/>
      <c r="BH176" s="293"/>
      <c r="BI176" s="293"/>
      <c r="BJ176" s="293"/>
      <c r="BK176" s="293"/>
      <c r="BL176" s="293"/>
      <c r="BM176" s="293"/>
      <c r="BN176" s="293"/>
      <c r="BO176" s="293"/>
      <c r="BP176" s="293"/>
      <c r="BQ176" s="293"/>
      <c r="BR176" s="293"/>
      <c r="BS176" s="293"/>
      <c r="BT176" s="293"/>
      <c r="BU176" s="293"/>
      <c r="BV176" s="293"/>
      <c r="BW176" s="293"/>
      <c r="BX176" s="293"/>
      <c r="BY176" s="293"/>
      <c r="BZ176" s="293"/>
      <c r="CA176" s="293"/>
      <c r="CB176" s="293"/>
      <c r="CC176" s="293"/>
      <c r="CD176" s="293"/>
      <c r="CE176" s="293"/>
      <c r="CF176" s="293"/>
      <c r="CG176" s="293"/>
      <c r="CH176" s="293"/>
      <c r="CI176" s="293"/>
      <c r="CJ176" s="293"/>
      <c r="CK176" s="293"/>
      <c r="CL176" s="293"/>
      <c r="CM176" s="293"/>
      <c r="CN176" s="293"/>
      <c r="CO176" s="293"/>
      <c r="CP176" s="293">
        <f t="shared" si="2858"/>
        <v>0</v>
      </c>
      <c r="CQ176" s="289"/>
    </row>
    <row r="177" spans="1:95">
      <c r="A177" s="679">
        <v>89</v>
      </c>
      <c r="B177" s="671" t="s">
        <v>183</v>
      </c>
      <c r="C177" s="673" t="s">
        <v>184</v>
      </c>
      <c r="D177" s="675" t="s">
        <v>483</v>
      </c>
      <c r="E177" s="677" t="s">
        <v>486</v>
      </c>
      <c r="F177" s="665">
        <v>130.25</v>
      </c>
      <c r="G177" s="665">
        <v>18.5</v>
      </c>
      <c r="H177" s="667">
        <f>F177*G177*365</f>
        <v>879513.125</v>
      </c>
      <c r="I177" s="291">
        <v>219878.28</v>
      </c>
      <c r="J177" s="295">
        <f>ROUND(F177*G177*365/4,0)</f>
        <v>219878</v>
      </c>
      <c r="K177" s="292">
        <f>J177</f>
        <v>219878</v>
      </c>
      <c r="L177" s="293">
        <f>K177</f>
        <v>219878</v>
      </c>
      <c r="M177" s="293">
        <f>L177</f>
        <v>219878</v>
      </c>
      <c r="N177" s="293">
        <f>ROUND(M177*(1+取值表!$D$12)*取值表!$I$12,0)</f>
        <v>226147</v>
      </c>
      <c r="O177" s="293">
        <f>N177</f>
        <v>226147</v>
      </c>
      <c r="P177" s="293">
        <f>O177</f>
        <v>226147</v>
      </c>
      <c r="Q177" s="293">
        <f>P177</f>
        <v>226147</v>
      </c>
      <c r="R177" s="294">
        <f>ROUND(Q177*(1+取值表!$D$10),0)</f>
        <v>247179</v>
      </c>
      <c r="S177" s="293">
        <f t="shared" ref="S177:T177" si="3855">R177</f>
        <v>247179</v>
      </c>
      <c r="T177" s="293">
        <f t="shared" si="3855"/>
        <v>247179</v>
      </c>
      <c r="U177" s="293">
        <f>T177</f>
        <v>247179</v>
      </c>
      <c r="V177" s="295">
        <f>ROUND(U177*(1+取值表!$D$10),0)</f>
        <v>270167</v>
      </c>
      <c r="W177" s="293">
        <f t="shared" ref="W177:Y177" si="3856">V177</f>
        <v>270167</v>
      </c>
      <c r="X177" s="293">
        <f t="shared" si="3856"/>
        <v>270167</v>
      </c>
      <c r="Y177" s="293">
        <f t="shared" si="3856"/>
        <v>270167</v>
      </c>
      <c r="Z177" s="295">
        <f>ROUND(Y177*(1+取值表!$D$10),0)</f>
        <v>295293</v>
      </c>
      <c r="AA177" s="293">
        <f t="shared" ref="AA177" si="3857">Z177</f>
        <v>295293</v>
      </c>
      <c r="AB177" s="293">
        <f t="shared" ref="AB177" si="3858">AA177</f>
        <v>295293</v>
      </c>
      <c r="AC177" s="293">
        <f>AB177</f>
        <v>295293</v>
      </c>
      <c r="AD177" s="295">
        <f>ROUND(AC177*(1+取值表!$D$10),0)</f>
        <v>322755</v>
      </c>
      <c r="AE177" s="293">
        <f t="shared" ref="AE177" si="3859">AD177</f>
        <v>322755</v>
      </c>
      <c r="AF177" s="293">
        <f t="shared" ref="AF177" si="3860">AE177</f>
        <v>322755</v>
      </c>
      <c r="AG177" s="293">
        <f t="shared" ref="AG177" si="3861">AF177</f>
        <v>322755</v>
      </c>
      <c r="AH177" s="295">
        <f>ROUND(AG177*(1+取值表!$D$10),0)</f>
        <v>352771</v>
      </c>
      <c r="AI177" s="293">
        <f t="shared" ref="AI177" si="3862">AH177</f>
        <v>352771</v>
      </c>
      <c r="AJ177" s="293">
        <f t="shared" ref="AJ177" si="3863">AI177</f>
        <v>352771</v>
      </c>
      <c r="AK177" s="293">
        <f t="shared" ref="AK177" si="3864">AJ177</f>
        <v>352771</v>
      </c>
      <c r="AL177" s="295">
        <f>ROUND(AK177*(1+取值表!$D$10),0)</f>
        <v>385579</v>
      </c>
      <c r="AM177" s="293">
        <f t="shared" ref="AM177" si="3865">AL177</f>
        <v>385579</v>
      </c>
      <c r="AN177" s="293">
        <f t="shared" ref="AN177" si="3866">AM177</f>
        <v>385579</v>
      </c>
      <c r="AO177" s="293">
        <f t="shared" ref="AO177" si="3867">AN177</f>
        <v>385579</v>
      </c>
      <c r="AP177" s="295">
        <f>ROUND(AO177*(1+取值表!$D$10),0)</f>
        <v>421438</v>
      </c>
      <c r="AQ177" s="293">
        <f t="shared" ref="AQ177" si="3868">AP177</f>
        <v>421438</v>
      </c>
      <c r="AR177" s="293">
        <f t="shared" ref="AR177" si="3869">AQ177</f>
        <v>421438</v>
      </c>
      <c r="AS177" s="293">
        <f t="shared" ref="AS177" si="3870">AR177</f>
        <v>421438</v>
      </c>
      <c r="AT177" s="295">
        <f>ROUND(AS177*(1+取值表!$D$10),0)</f>
        <v>460632</v>
      </c>
      <c r="AU177" s="293">
        <f t="shared" ref="AU177" si="3871">AT177</f>
        <v>460632</v>
      </c>
      <c r="AV177" s="293">
        <f t="shared" ref="AV177" si="3872">AU177</f>
        <v>460632</v>
      </c>
      <c r="AW177" s="293">
        <f t="shared" ref="AW177" si="3873">AV177</f>
        <v>460632</v>
      </c>
      <c r="AX177" s="295">
        <f>ROUND(AW177*(1+取值表!$D$10),0)</f>
        <v>503471</v>
      </c>
      <c r="AY177" s="293">
        <f t="shared" ref="AY177" si="3874">AX177</f>
        <v>503471</v>
      </c>
      <c r="AZ177" s="293">
        <f t="shared" ref="AZ177" si="3875">AY177</f>
        <v>503471</v>
      </c>
      <c r="BA177" s="293">
        <f t="shared" ref="BA177" si="3876">AZ177</f>
        <v>503471</v>
      </c>
      <c r="BB177" s="295">
        <f>ROUND(BA177*(1+取值表!$D$10),0)</f>
        <v>550294</v>
      </c>
      <c r="BC177" s="293">
        <f>BB177</f>
        <v>550294</v>
      </c>
      <c r="BD177" s="293">
        <f t="shared" ref="BD177" si="3877">BC177</f>
        <v>550294</v>
      </c>
      <c r="BE177" s="293">
        <f>BD177</f>
        <v>550294</v>
      </c>
      <c r="BF177" s="295">
        <f>ROUND(BE177*(1+取值表!$D$10),0)</f>
        <v>601471</v>
      </c>
      <c r="BG177" s="293">
        <f>BF177</f>
        <v>601471</v>
      </c>
      <c r="BH177" s="293">
        <f t="shared" ref="BH177" si="3878">BG177</f>
        <v>601471</v>
      </c>
      <c r="BI177" s="293">
        <f t="shared" ref="BI177" si="3879">BH177</f>
        <v>601471</v>
      </c>
      <c r="BJ177" s="295">
        <f>ROUND(BI177*(1+取值表!$D$10),0)</f>
        <v>657408</v>
      </c>
      <c r="BK177" s="293">
        <f t="shared" ref="BK177" si="3880">BJ177</f>
        <v>657408</v>
      </c>
      <c r="BL177" s="293">
        <f t="shared" ref="BL177" si="3881">BK177</f>
        <v>657408</v>
      </c>
      <c r="BM177" s="293">
        <f t="shared" ref="BM177" si="3882">BL177</f>
        <v>657408</v>
      </c>
      <c r="BN177" s="295">
        <f>ROUND(BM177*(1+取值表!$D$10),0)</f>
        <v>718547</v>
      </c>
      <c r="BO177" s="293">
        <f t="shared" ref="BO177" si="3883">BN177</f>
        <v>718547</v>
      </c>
      <c r="BP177" s="293">
        <f t="shared" ref="BP177" si="3884">BO177</f>
        <v>718547</v>
      </c>
      <c r="BQ177" s="293">
        <f t="shared" ref="BQ177" si="3885">BP177</f>
        <v>718547</v>
      </c>
      <c r="BR177" s="295">
        <f>ROUND(BQ177*(1+取值表!$D$10),0)</f>
        <v>785372</v>
      </c>
      <c r="BS177" s="293">
        <f t="shared" ref="BS177" si="3886">BR177</f>
        <v>785372</v>
      </c>
      <c r="BT177" s="293">
        <f t="shared" ref="BT177" si="3887">BS177</f>
        <v>785372</v>
      </c>
      <c r="BU177" s="293">
        <f t="shared" ref="BU177" si="3888">BT177</f>
        <v>785372</v>
      </c>
      <c r="BV177" s="295">
        <f>ROUND(BU177*(1+取值表!$D$10),0)</f>
        <v>858412</v>
      </c>
      <c r="BW177" s="293">
        <f t="shared" ref="BW177" si="3889">BV177</f>
        <v>858412</v>
      </c>
      <c r="BX177" s="293">
        <f t="shared" ref="BX177" si="3890">BW177</f>
        <v>858412</v>
      </c>
      <c r="BY177" s="293">
        <f t="shared" ref="BY177" si="3891">BX177</f>
        <v>858412</v>
      </c>
      <c r="BZ177" s="295">
        <f>ROUND(BY177*(1+取值表!$D$10),0)</f>
        <v>938244</v>
      </c>
      <c r="CA177" s="293">
        <f t="shared" ref="CA177" si="3892">BZ177</f>
        <v>938244</v>
      </c>
      <c r="CB177" s="293">
        <f t="shared" ref="CB177" si="3893">CA177</f>
        <v>938244</v>
      </c>
      <c r="CC177" s="293">
        <f t="shared" ref="CC177" si="3894">CB177</f>
        <v>938244</v>
      </c>
      <c r="CD177" s="295">
        <f>ROUND(CC177*(1+取值表!$D$10),0)</f>
        <v>1025501</v>
      </c>
      <c r="CE177" s="293">
        <f t="shared" ref="CE177" si="3895">CD177</f>
        <v>1025501</v>
      </c>
      <c r="CF177" s="293">
        <f t="shared" ref="CF177" si="3896">CE177</f>
        <v>1025501</v>
      </c>
      <c r="CG177" s="293">
        <f t="shared" ref="CG177" si="3897">CF177</f>
        <v>1025501</v>
      </c>
      <c r="CH177" s="295">
        <f>ROUND(CG177*(1+取值表!$D$10),0)</f>
        <v>1120873</v>
      </c>
      <c r="CI177" s="293">
        <f>CH177</f>
        <v>1120873</v>
      </c>
      <c r="CJ177" s="293">
        <f t="shared" ref="CJ177" si="3898">CI177</f>
        <v>1120873</v>
      </c>
      <c r="CK177" s="293">
        <f t="shared" ref="CK177" si="3899">CJ177</f>
        <v>1120873</v>
      </c>
      <c r="CL177" s="295">
        <f>ROUND(CK177*(1+取值表!$D$10),0)</f>
        <v>1225114</v>
      </c>
      <c r="CM177" s="293">
        <f>CL177</f>
        <v>1225114</v>
      </c>
      <c r="CN177" s="293">
        <f t="shared" ref="CN177" si="3900">CM177</f>
        <v>1225114</v>
      </c>
      <c r="CO177" s="293">
        <f t="shared" ref="CO177" si="3901">CN177</f>
        <v>1225114</v>
      </c>
      <c r="CP177" s="293">
        <f t="shared" si="2858"/>
        <v>48746184</v>
      </c>
    </row>
    <row r="178" spans="1:95">
      <c r="A178" s="680"/>
      <c r="B178" s="672"/>
      <c r="C178" s="674"/>
      <c r="D178" s="676"/>
      <c r="E178" s="678"/>
      <c r="F178" s="666"/>
      <c r="G178" s="666"/>
      <c r="H178" s="668"/>
      <c r="I178" s="291"/>
      <c r="J178" s="295"/>
      <c r="K178" s="293"/>
      <c r="L178" s="293"/>
      <c r="M178" s="293"/>
      <c r="N178" s="293"/>
      <c r="O178" s="293"/>
      <c r="P178" s="293"/>
      <c r="Q178" s="293"/>
      <c r="R178" s="293"/>
      <c r="S178" s="293"/>
      <c r="T178" s="293"/>
      <c r="U178" s="293"/>
      <c r="V178" s="293"/>
      <c r="W178" s="293"/>
      <c r="X178" s="293"/>
      <c r="Y178" s="293"/>
      <c r="Z178" s="293"/>
      <c r="AA178" s="293"/>
      <c r="AB178" s="293"/>
      <c r="AC178" s="293"/>
      <c r="AD178" s="295"/>
      <c r="AE178" s="293"/>
      <c r="AF178" s="293"/>
      <c r="AG178" s="293"/>
      <c r="AH178" s="295"/>
      <c r="AI178" s="293"/>
      <c r="AJ178" s="293"/>
      <c r="AK178" s="293"/>
      <c r="AL178" s="295"/>
      <c r="AM178" s="293"/>
      <c r="AN178" s="293"/>
      <c r="AO178" s="293"/>
      <c r="AP178" s="295"/>
      <c r="AQ178" s="293"/>
      <c r="AR178" s="293"/>
      <c r="AS178" s="293"/>
      <c r="AT178" s="295"/>
      <c r="AU178" s="293"/>
      <c r="AV178" s="293"/>
      <c r="AW178" s="293"/>
      <c r="AX178" s="295"/>
      <c r="AY178" s="293"/>
      <c r="AZ178" s="293"/>
      <c r="BA178" s="293"/>
      <c r="BB178" s="295"/>
      <c r="BC178" s="293"/>
      <c r="BD178" s="293"/>
      <c r="BE178" s="293"/>
      <c r="BF178" s="295"/>
      <c r="BG178" s="293"/>
      <c r="BH178" s="293"/>
      <c r="BI178" s="293"/>
      <c r="BJ178" s="295"/>
      <c r="BK178" s="293"/>
      <c r="BL178" s="293"/>
      <c r="BM178" s="293"/>
      <c r="BN178" s="295"/>
      <c r="BO178" s="293"/>
      <c r="BP178" s="293"/>
      <c r="BQ178" s="293"/>
      <c r="BR178" s="295"/>
      <c r="BS178" s="293"/>
      <c r="BT178" s="293"/>
      <c r="BU178" s="293"/>
      <c r="BV178" s="295"/>
      <c r="BW178" s="293"/>
      <c r="BX178" s="293"/>
      <c r="BY178" s="293"/>
      <c r="BZ178" s="295"/>
      <c r="CA178" s="293"/>
      <c r="CB178" s="293"/>
      <c r="CC178" s="293"/>
      <c r="CD178" s="295"/>
      <c r="CE178" s="293"/>
      <c r="CF178" s="293"/>
      <c r="CG178" s="293"/>
      <c r="CH178" s="295"/>
      <c r="CI178" s="293"/>
      <c r="CJ178" s="293"/>
      <c r="CK178" s="293"/>
      <c r="CL178" s="295"/>
      <c r="CM178" s="293"/>
      <c r="CN178" s="293"/>
      <c r="CO178" s="293"/>
      <c r="CP178" s="293">
        <f t="shared" si="2858"/>
        <v>0</v>
      </c>
    </row>
    <row r="179" spans="1:95" ht="12" customHeight="1">
      <c r="A179" s="679">
        <v>90</v>
      </c>
      <c r="B179" s="671" t="s">
        <v>185</v>
      </c>
      <c r="C179" s="673" t="s">
        <v>108</v>
      </c>
      <c r="D179" s="675" t="s">
        <v>484</v>
      </c>
      <c r="E179" s="677" t="s">
        <v>486</v>
      </c>
      <c r="F179" s="665">
        <v>189.97</v>
      </c>
      <c r="G179" s="665">
        <v>15</v>
      </c>
      <c r="H179" s="667">
        <f>F179*G179*365</f>
        <v>1040085.7500000001</v>
      </c>
      <c r="I179" s="291">
        <v>260021.44</v>
      </c>
      <c r="J179" s="292">
        <f>ROUND(F179*G179*365/4,0)</f>
        <v>260021</v>
      </c>
      <c r="K179" s="293">
        <f>J179</f>
        <v>260021</v>
      </c>
      <c r="L179" s="293">
        <f>K179</f>
        <v>260021</v>
      </c>
      <c r="M179" s="293">
        <f>L179</f>
        <v>260021</v>
      </c>
      <c r="N179" s="293">
        <f>ROUND(M179*(1+取值表!$D$12)*取值表!$I$12,0)</f>
        <v>267435</v>
      </c>
      <c r="O179" s="293">
        <f>N179</f>
        <v>267435</v>
      </c>
      <c r="P179" s="293">
        <f>O179</f>
        <v>267435</v>
      </c>
      <c r="Q179" s="293">
        <f>P179</f>
        <v>267435</v>
      </c>
      <c r="R179" s="294">
        <f>ROUND(Q179*(1+取值表!$D$10),0)</f>
        <v>292306</v>
      </c>
      <c r="S179" s="293">
        <f t="shared" ref="S179:T179" si="3902">R179</f>
        <v>292306</v>
      </c>
      <c r="T179" s="293">
        <f t="shared" si="3902"/>
        <v>292306</v>
      </c>
      <c r="U179" s="293">
        <f>T179</f>
        <v>292306</v>
      </c>
      <c r="V179" s="295">
        <f>ROUND(U179*(1+取值表!$D$10),0)</f>
        <v>319490</v>
      </c>
      <c r="W179" s="293">
        <f t="shared" ref="W179:Y179" si="3903">V179</f>
        <v>319490</v>
      </c>
      <c r="X179" s="293">
        <f t="shared" si="3903"/>
        <v>319490</v>
      </c>
      <c r="Y179" s="293">
        <f t="shared" si="3903"/>
        <v>319490</v>
      </c>
      <c r="Z179" s="295">
        <f>ROUND(Y179*(1+取值表!$D$10),0)</f>
        <v>349203</v>
      </c>
      <c r="AA179" s="293">
        <f t="shared" ref="AA179" si="3904">Z179</f>
        <v>349203</v>
      </c>
      <c r="AB179" s="293">
        <f t="shared" ref="AB179" si="3905">AA179</f>
        <v>349203</v>
      </c>
      <c r="AC179" s="293">
        <f>AB179</f>
        <v>349203</v>
      </c>
      <c r="AD179" s="295">
        <f>ROUND(AC179*(1+取值表!$D$10),0)</f>
        <v>381679</v>
      </c>
      <c r="AE179" s="293">
        <f t="shared" ref="AE179" si="3906">AD179</f>
        <v>381679</v>
      </c>
      <c r="AF179" s="293">
        <f t="shared" ref="AF179" si="3907">AE179</f>
        <v>381679</v>
      </c>
      <c r="AG179" s="293">
        <f t="shared" ref="AG179" si="3908">AF179</f>
        <v>381679</v>
      </c>
      <c r="AH179" s="295">
        <f>ROUND(AG179*(1+取值表!$D$10),0)</f>
        <v>417175</v>
      </c>
      <c r="AI179" s="293">
        <f t="shared" ref="AI179" si="3909">AH179</f>
        <v>417175</v>
      </c>
      <c r="AJ179" s="293">
        <f t="shared" ref="AJ179" si="3910">AI179</f>
        <v>417175</v>
      </c>
      <c r="AK179" s="293">
        <f t="shared" ref="AK179" si="3911">AJ179</f>
        <v>417175</v>
      </c>
      <c r="AL179" s="295">
        <f>ROUND(AK179*(1+取值表!$D$10),0)</f>
        <v>455972</v>
      </c>
      <c r="AM179" s="293">
        <f t="shared" ref="AM179" si="3912">AL179</f>
        <v>455972</v>
      </c>
      <c r="AN179" s="293">
        <f t="shared" ref="AN179" si="3913">AM179</f>
        <v>455972</v>
      </c>
      <c r="AO179" s="293">
        <f t="shared" ref="AO179" si="3914">AN179</f>
        <v>455972</v>
      </c>
      <c r="AP179" s="295">
        <f>ROUND(AO179*(1+取值表!$D$10),0)</f>
        <v>498377</v>
      </c>
      <c r="AQ179" s="293">
        <f t="shared" ref="AQ179" si="3915">AP179</f>
        <v>498377</v>
      </c>
      <c r="AR179" s="293">
        <f t="shared" ref="AR179" si="3916">AQ179</f>
        <v>498377</v>
      </c>
      <c r="AS179" s="293">
        <f t="shared" ref="AS179" si="3917">AR179</f>
        <v>498377</v>
      </c>
      <c r="AT179" s="295">
        <f>ROUND(AS179*(1+取值表!$D$10),0)</f>
        <v>544726</v>
      </c>
      <c r="AU179" s="293">
        <f t="shared" ref="AU179" si="3918">AT179</f>
        <v>544726</v>
      </c>
      <c r="AV179" s="293">
        <f t="shared" ref="AV179" si="3919">AU179</f>
        <v>544726</v>
      </c>
      <c r="AW179" s="293">
        <f t="shared" ref="AW179" si="3920">AV179</f>
        <v>544726</v>
      </c>
      <c r="AX179" s="295">
        <f>ROUND(AW179*(1+取值表!$D$10),0)</f>
        <v>595386</v>
      </c>
      <c r="AY179" s="293">
        <f t="shared" ref="AY179" si="3921">AX179</f>
        <v>595386</v>
      </c>
      <c r="AZ179" s="293">
        <f t="shared" ref="AZ179" si="3922">AY179</f>
        <v>595386</v>
      </c>
      <c r="BA179" s="293">
        <f t="shared" ref="BA179" si="3923">AZ179</f>
        <v>595386</v>
      </c>
      <c r="BB179" s="295">
        <f>ROUND(BA179*(1+取值表!$D$10),0)</f>
        <v>650757</v>
      </c>
      <c r="BC179" s="293">
        <f>BB179</f>
        <v>650757</v>
      </c>
      <c r="BD179" s="293">
        <f t="shared" ref="BD179" si="3924">BC179</f>
        <v>650757</v>
      </c>
      <c r="BE179" s="293">
        <f>BD179</f>
        <v>650757</v>
      </c>
      <c r="BF179" s="295">
        <f>ROUND(BE179*(1+取值表!$D$10),0)</f>
        <v>711277</v>
      </c>
      <c r="BG179" s="293">
        <f>BF179</f>
        <v>711277</v>
      </c>
      <c r="BH179" s="293">
        <f t="shared" ref="BH179" si="3925">BG179</f>
        <v>711277</v>
      </c>
      <c r="BI179" s="293">
        <f t="shared" ref="BI179" si="3926">BH179</f>
        <v>711277</v>
      </c>
      <c r="BJ179" s="295">
        <f>ROUND(BI179*(1+取值表!$D$10),0)</f>
        <v>777426</v>
      </c>
      <c r="BK179" s="293">
        <f t="shared" ref="BK179" si="3927">BJ179</f>
        <v>777426</v>
      </c>
      <c r="BL179" s="293">
        <f t="shared" ref="BL179" si="3928">BK179</f>
        <v>777426</v>
      </c>
      <c r="BM179" s="293">
        <f t="shared" ref="BM179" si="3929">BL179</f>
        <v>777426</v>
      </c>
      <c r="BN179" s="295">
        <f>ROUND(BM179*(1+取值表!$D$10),0)</f>
        <v>849727</v>
      </c>
      <c r="BO179" s="293">
        <f t="shared" ref="BO179" si="3930">BN179</f>
        <v>849727</v>
      </c>
      <c r="BP179" s="293">
        <f t="shared" ref="BP179" si="3931">BO179</f>
        <v>849727</v>
      </c>
      <c r="BQ179" s="293">
        <f t="shared" ref="BQ179" si="3932">BP179</f>
        <v>849727</v>
      </c>
      <c r="BR179" s="295">
        <f>ROUND(BQ179*(1+取值表!$D$10),0)</f>
        <v>928752</v>
      </c>
      <c r="BS179" s="293">
        <f t="shared" ref="BS179" si="3933">BR179</f>
        <v>928752</v>
      </c>
      <c r="BT179" s="293">
        <f t="shared" ref="BT179" si="3934">BS179</f>
        <v>928752</v>
      </c>
      <c r="BU179" s="293">
        <f t="shared" ref="BU179" si="3935">BT179</f>
        <v>928752</v>
      </c>
      <c r="BV179" s="295">
        <f>ROUND(BU179*(1+取值表!$D$10),0)</f>
        <v>1015126</v>
      </c>
      <c r="BW179" s="293">
        <f t="shared" ref="BW179" si="3936">BV179</f>
        <v>1015126</v>
      </c>
      <c r="BX179" s="293">
        <f t="shared" ref="BX179" si="3937">BW179</f>
        <v>1015126</v>
      </c>
      <c r="BY179" s="293">
        <f t="shared" ref="BY179" si="3938">BX179</f>
        <v>1015126</v>
      </c>
      <c r="BZ179" s="295">
        <f>ROUND(BY179*(1+取值表!$D$10),0)</f>
        <v>1109533</v>
      </c>
      <c r="CA179" s="293">
        <f t="shared" ref="CA179" si="3939">BZ179</f>
        <v>1109533</v>
      </c>
      <c r="CB179" s="293">
        <f t="shared" ref="CB179" si="3940">CA179</f>
        <v>1109533</v>
      </c>
      <c r="CC179" s="293">
        <f t="shared" ref="CC179" si="3941">CB179</f>
        <v>1109533</v>
      </c>
      <c r="CD179" s="295">
        <f>ROUND(CC179*(1+取值表!$D$10),0)</f>
        <v>1212720</v>
      </c>
      <c r="CE179" s="293">
        <f t="shared" ref="CE179" si="3942">CD179</f>
        <v>1212720</v>
      </c>
      <c r="CF179" s="293">
        <f t="shared" ref="CF179" si="3943">CE179</f>
        <v>1212720</v>
      </c>
      <c r="CG179" s="293">
        <f t="shared" ref="CG179" si="3944">CF179</f>
        <v>1212720</v>
      </c>
      <c r="CH179" s="295">
        <f>ROUND(CG179*(1+取值表!$D$10),0)</f>
        <v>1325503</v>
      </c>
      <c r="CI179" s="293">
        <f>CH179</f>
        <v>1325503</v>
      </c>
      <c r="CJ179" s="293">
        <f t="shared" ref="CJ179" si="3945">CI179</f>
        <v>1325503</v>
      </c>
      <c r="CK179" s="293">
        <f t="shared" ref="CK179" si="3946">CJ179</f>
        <v>1325503</v>
      </c>
      <c r="CL179" s="295">
        <f>ROUND(CK179*(1+取值表!$D$10),0)</f>
        <v>1448775</v>
      </c>
      <c r="CM179" s="293">
        <f>CL179</f>
        <v>1448775</v>
      </c>
      <c r="CN179" s="293">
        <f t="shared" ref="CN179" si="3947">CM179</f>
        <v>1448775</v>
      </c>
      <c r="CO179" s="293">
        <f t="shared" ref="CO179" si="3948">CN179</f>
        <v>1448775</v>
      </c>
      <c r="CP179" s="293">
        <f t="shared" si="2858"/>
        <v>57645464</v>
      </c>
    </row>
    <row r="180" spans="1:95">
      <c r="A180" s="680"/>
      <c r="B180" s="672"/>
      <c r="C180" s="674"/>
      <c r="D180" s="676"/>
      <c r="E180" s="678"/>
      <c r="F180" s="666"/>
      <c r="G180" s="666"/>
      <c r="H180" s="668"/>
      <c r="I180" s="291"/>
      <c r="J180" s="295"/>
      <c r="K180" s="293"/>
      <c r="L180" s="293"/>
      <c r="M180" s="293"/>
      <c r="N180" s="293"/>
      <c r="O180" s="293"/>
      <c r="P180" s="293"/>
      <c r="Q180" s="293"/>
      <c r="R180" s="293"/>
      <c r="S180" s="293"/>
      <c r="T180" s="293"/>
      <c r="U180" s="293"/>
      <c r="V180" s="293"/>
      <c r="W180" s="293"/>
      <c r="X180" s="293"/>
      <c r="Y180" s="293"/>
      <c r="Z180" s="293"/>
      <c r="AA180" s="293"/>
      <c r="AB180" s="293"/>
      <c r="AC180" s="293"/>
      <c r="AD180" s="293"/>
      <c r="AE180" s="293"/>
      <c r="AF180" s="293"/>
      <c r="AG180" s="293"/>
      <c r="AH180" s="293"/>
      <c r="AI180" s="293"/>
      <c r="AJ180" s="293"/>
      <c r="AK180" s="293"/>
      <c r="AL180" s="293"/>
      <c r="AM180" s="293"/>
      <c r="AN180" s="293"/>
      <c r="AO180" s="293"/>
      <c r="AP180" s="293"/>
      <c r="AQ180" s="293"/>
      <c r="AR180" s="293"/>
      <c r="AS180" s="293"/>
      <c r="AT180" s="293"/>
      <c r="AU180" s="293"/>
      <c r="AV180" s="293"/>
      <c r="AW180" s="293"/>
      <c r="AX180" s="293"/>
      <c r="AY180" s="293"/>
      <c r="AZ180" s="293"/>
      <c r="BA180" s="293"/>
      <c r="BB180" s="293"/>
      <c r="BC180" s="293"/>
      <c r="BD180" s="293"/>
      <c r="BE180" s="293"/>
      <c r="BF180" s="293"/>
      <c r="BG180" s="293"/>
      <c r="BH180" s="293"/>
      <c r="BI180" s="293"/>
      <c r="BJ180" s="293"/>
      <c r="BK180" s="293"/>
      <c r="BL180" s="293"/>
      <c r="BM180" s="293"/>
      <c r="BN180" s="293"/>
      <c r="BO180" s="293"/>
      <c r="BP180" s="293"/>
      <c r="BQ180" s="293"/>
      <c r="BR180" s="293"/>
      <c r="BS180" s="293"/>
      <c r="BT180" s="293"/>
      <c r="BU180" s="293"/>
      <c r="BV180" s="293"/>
      <c r="BW180" s="293"/>
      <c r="BX180" s="293"/>
      <c r="BY180" s="293"/>
      <c r="BZ180" s="293"/>
      <c r="CA180" s="293"/>
      <c r="CB180" s="293"/>
      <c r="CC180" s="293"/>
      <c r="CD180" s="293"/>
      <c r="CE180" s="293"/>
      <c r="CF180" s="293"/>
      <c r="CG180" s="293"/>
      <c r="CH180" s="293"/>
      <c r="CI180" s="293"/>
      <c r="CJ180" s="293"/>
      <c r="CK180" s="293"/>
      <c r="CL180" s="293"/>
      <c r="CM180" s="293"/>
      <c r="CN180" s="293"/>
      <c r="CO180" s="293"/>
      <c r="CP180" s="293">
        <f t="shared" si="2858"/>
        <v>0</v>
      </c>
    </row>
    <row r="181" spans="1:95" s="314" customFormat="1" ht="12" customHeight="1">
      <c r="A181" s="679">
        <v>91</v>
      </c>
      <c r="B181" s="671" t="s">
        <v>186</v>
      </c>
      <c r="C181" s="673" t="s">
        <v>30</v>
      </c>
      <c r="D181" s="675" t="s">
        <v>187</v>
      </c>
      <c r="E181" s="677" t="s">
        <v>486</v>
      </c>
      <c r="F181" s="665">
        <v>178</v>
      </c>
      <c r="G181" s="665">
        <v>16</v>
      </c>
      <c r="H181" s="667">
        <f>F181*G181*365</f>
        <v>1039520</v>
      </c>
      <c r="I181" s="291">
        <v>259880</v>
      </c>
      <c r="J181" s="295">
        <f>ROUND(F181*G181*365/4,0)</f>
        <v>259880</v>
      </c>
      <c r="K181" s="293">
        <f>J181</f>
        <v>259880</v>
      </c>
      <c r="L181" s="292">
        <f>K181</f>
        <v>259880</v>
      </c>
      <c r="M181" s="293">
        <f>L181</f>
        <v>259880</v>
      </c>
      <c r="N181" s="293">
        <f>ROUND(M181*(1+取值表!$D$12)*取值表!$I$12,0)</f>
        <v>267290</v>
      </c>
      <c r="O181" s="293">
        <f>N181</f>
        <v>267290</v>
      </c>
      <c r="P181" s="293">
        <f>O181</f>
        <v>267290</v>
      </c>
      <c r="Q181" s="293">
        <f>P181</f>
        <v>267290</v>
      </c>
      <c r="R181" s="294">
        <f>ROUND(Q181*(1+取值表!$D$10),0)</f>
        <v>292148</v>
      </c>
      <c r="S181" s="293">
        <f t="shared" ref="S181:T181" si="3949">R181</f>
        <v>292148</v>
      </c>
      <c r="T181" s="293">
        <f t="shared" si="3949"/>
        <v>292148</v>
      </c>
      <c r="U181" s="293">
        <f>T181</f>
        <v>292148</v>
      </c>
      <c r="V181" s="295">
        <f>ROUND(U181*(1+取值表!$D$10),0)</f>
        <v>319318</v>
      </c>
      <c r="W181" s="293">
        <f t="shared" ref="W181:Y181" si="3950">V181</f>
        <v>319318</v>
      </c>
      <c r="X181" s="293">
        <f t="shared" si="3950"/>
        <v>319318</v>
      </c>
      <c r="Y181" s="293">
        <f t="shared" si="3950"/>
        <v>319318</v>
      </c>
      <c r="Z181" s="295">
        <f>ROUND(Y181*(1+取值表!$D$10),0)</f>
        <v>349015</v>
      </c>
      <c r="AA181" s="293">
        <f t="shared" ref="AA181" si="3951">Z181</f>
        <v>349015</v>
      </c>
      <c r="AB181" s="293">
        <f t="shared" ref="AB181" si="3952">AA181</f>
        <v>349015</v>
      </c>
      <c r="AC181" s="293">
        <f>AB181</f>
        <v>349015</v>
      </c>
      <c r="AD181" s="295">
        <f>ROUND(AC181*(1+取值表!$D$10),0)</f>
        <v>381473</v>
      </c>
      <c r="AE181" s="293">
        <f t="shared" ref="AE181" si="3953">AD181</f>
        <v>381473</v>
      </c>
      <c r="AF181" s="293">
        <f t="shared" ref="AF181" si="3954">AE181</f>
        <v>381473</v>
      </c>
      <c r="AG181" s="293">
        <f t="shared" ref="AG181" si="3955">AF181</f>
        <v>381473</v>
      </c>
      <c r="AH181" s="295">
        <f>ROUND(AG181*(1+取值表!$D$10),0)</f>
        <v>416950</v>
      </c>
      <c r="AI181" s="293">
        <f t="shared" ref="AI181" si="3956">AH181</f>
        <v>416950</v>
      </c>
      <c r="AJ181" s="293">
        <f t="shared" ref="AJ181" si="3957">AI181</f>
        <v>416950</v>
      </c>
      <c r="AK181" s="293">
        <f t="shared" ref="AK181" si="3958">AJ181</f>
        <v>416950</v>
      </c>
      <c r="AL181" s="295">
        <f>ROUND(AK181*(1+取值表!$D$10),0)</f>
        <v>455726</v>
      </c>
      <c r="AM181" s="293">
        <f t="shared" ref="AM181" si="3959">AL181</f>
        <v>455726</v>
      </c>
      <c r="AN181" s="293">
        <f t="shared" ref="AN181" si="3960">AM181</f>
        <v>455726</v>
      </c>
      <c r="AO181" s="293">
        <f t="shared" ref="AO181" si="3961">AN181</f>
        <v>455726</v>
      </c>
      <c r="AP181" s="295">
        <f>ROUND(AO181*(1+取值表!$D$10),0)</f>
        <v>498109</v>
      </c>
      <c r="AQ181" s="293">
        <f t="shared" ref="AQ181" si="3962">AP181</f>
        <v>498109</v>
      </c>
      <c r="AR181" s="293">
        <f t="shared" ref="AR181" si="3963">AQ181</f>
        <v>498109</v>
      </c>
      <c r="AS181" s="293">
        <f t="shared" ref="AS181" si="3964">AR181</f>
        <v>498109</v>
      </c>
      <c r="AT181" s="295">
        <f>ROUND(AS181*(1+取值表!$D$10),0)</f>
        <v>544433</v>
      </c>
      <c r="AU181" s="293">
        <f t="shared" ref="AU181" si="3965">AT181</f>
        <v>544433</v>
      </c>
      <c r="AV181" s="293">
        <f t="shared" ref="AV181" si="3966">AU181</f>
        <v>544433</v>
      </c>
      <c r="AW181" s="293">
        <f t="shared" ref="AW181" si="3967">AV181</f>
        <v>544433</v>
      </c>
      <c r="AX181" s="295">
        <f>ROUND(AW181*(1+取值表!$D$10),0)</f>
        <v>595065</v>
      </c>
      <c r="AY181" s="293">
        <f t="shared" ref="AY181" si="3968">AX181</f>
        <v>595065</v>
      </c>
      <c r="AZ181" s="293">
        <f t="shared" ref="AZ181" si="3969">AY181</f>
        <v>595065</v>
      </c>
      <c r="BA181" s="293">
        <f t="shared" ref="BA181" si="3970">AZ181</f>
        <v>595065</v>
      </c>
      <c r="BB181" s="295">
        <f>ROUND(BA181*(1+取值表!$D$10),0)</f>
        <v>650406</v>
      </c>
      <c r="BC181" s="293">
        <f>BB181</f>
        <v>650406</v>
      </c>
      <c r="BD181" s="293">
        <f t="shared" ref="BD181" si="3971">BC181</f>
        <v>650406</v>
      </c>
      <c r="BE181" s="293">
        <f>BD181</f>
        <v>650406</v>
      </c>
      <c r="BF181" s="295">
        <f>ROUND(BE181*(1+取值表!$D$10),0)</f>
        <v>710894</v>
      </c>
      <c r="BG181" s="293">
        <f>BF181</f>
        <v>710894</v>
      </c>
      <c r="BH181" s="293">
        <f t="shared" ref="BH181" si="3972">BG181</f>
        <v>710894</v>
      </c>
      <c r="BI181" s="293">
        <f t="shared" ref="BI181" si="3973">BH181</f>
        <v>710894</v>
      </c>
      <c r="BJ181" s="295">
        <f>ROUND(BI181*(1+取值表!$D$10),0)</f>
        <v>777007</v>
      </c>
      <c r="BK181" s="293">
        <f t="shared" ref="BK181" si="3974">BJ181</f>
        <v>777007</v>
      </c>
      <c r="BL181" s="293">
        <f t="shared" ref="BL181" si="3975">BK181</f>
        <v>777007</v>
      </c>
      <c r="BM181" s="293">
        <f t="shared" ref="BM181" si="3976">BL181</f>
        <v>777007</v>
      </c>
      <c r="BN181" s="295">
        <f>ROUND(BM181*(1+取值表!$D$10),0)</f>
        <v>849269</v>
      </c>
      <c r="BO181" s="293">
        <f t="shared" ref="BO181" si="3977">BN181</f>
        <v>849269</v>
      </c>
      <c r="BP181" s="293">
        <f t="shared" ref="BP181" si="3978">BO181</f>
        <v>849269</v>
      </c>
      <c r="BQ181" s="293">
        <f t="shared" ref="BQ181" si="3979">BP181</f>
        <v>849269</v>
      </c>
      <c r="BR181" s="295">
        <f>ROUND(BQ181*(1+取值表!$D$10),0)</f>
        <v>928251</v>
      </c>
      <c r="BS181" s="293">
        <f t="shared" ref="BS181" si="3980">BR181</f>
        <v>928251</v>
      </c>
      <c r="BT181" s="293">
        <f t="shared" ref="BT181" si="3981">BS181</f>
        <v>928251</v>
      </c>
      <c r="BU181" s="293">
        <f t="shared" ref="BU181" si="3982">BT181</f>
        <v>928251</v>
      </c>
      <c r="BV181" s="295">
        <f>ROUND(BU181*(1+取值表!$D$10),0)</f>
        <v>1014578</v>
      </c>
      <c r="BW181" s="293">
        <f t="shared" ref="BW181" si="3983">BV181</f>
        <v>1014578</v>
      </c>
      <c r="BX181" s="293">
        <f t="shared" ref="BX181" si="3984">BW181</f>
        <v>1014578</v>
      </c>
      <c r="BY181" s="293">
        <f t="shared" ref="BY181" si="3985">BX181</f>
        <v>1014578</v>
      </c>
      <c r="BZ181" s="295">
        <f>ROUND(BY181*(1+取值表!$D$10),0)</f>
        <v>1108934</v>
      </c>
      <c r="CA181" s="293">
        <f t="shared" ref="CA181" si="3986">BZ181</f>
        <v>1108934</v>
      </c>
      <c r="CB181" s="293">
        <f t="shared" ref="CB181" si="3987">CA181</f>
        <v>1108934</v>
      </c>
      <c r="CC181" s="293">
        <f t="shared" ref="CC181" si="3988">CB181</f>
        <v>1108934</v>
      </c>
      <c r="CD181" s="295">
        <f>ROUND(CC181*(1+取值表!$D$10),0)</f>
        <v>1212065</v>
      </c>
      <c r="CE181" s="293">
        <f t="shared" ref="CE181" si="3989">CD181</f>
        <v>1212065</v>
      </c>
      <c r="CF181" s="293">
        <f t="shared" ref="CF181" si="3990">CE181</f>
        <v>1212065</v>
      </c>
      <c r="CG181" s="293">
        <f t="shared" ref="CG181" si="3991">CF181</f>
        <v>1212065</v>
      </c>
      <c r="CH181" s="295">
        <f>ROUND(CG181*(1+取值表!$D$10),0)</f>
        <v>1324787</v>
      </c>
      <c r="CI181" s="293">
        <f>CH181</f>
        <v>1324787</v>
      </c>
      <c r="CJ181" s="293">
        <f t="shared" ref="CJ181" si="3992">CI181</f>
        <v>1324787</v>
      </c>
      <c r="CK181" s="293">
        <f t="shared" ref="CK181" si="3993">CJ181</f>
        <v>1324787</v>
      </c>
      <c r="CL181" s="295">
        <f>ROUND(CK181*(1+取值表!$D$10),0)</f>
        <v>1447992</v>
      </c>
      <c r="CM181" s="293">
        <f>CL181</f>
        <v>1447992</v>
      </c>
      <c r="CN181" s="293">
        <f t="shared" ref="CN181" si="3994">CM181</f>
        <v>1447992</v>
      </c>
      <c r="CO181" s="293">
        <f t="shared" ref="CO181" si="3995">CN181</f>
        <v>1447992</v>
      </c>
      <c r="CP181" s="293">
        <f t="shared" si="2858"/>
        <v>57614360</v>
      </c>
      <c r="CQ181" s="289"/>
    </row>
    <row r="182" spans="1:95" s="314" customFormat="1">
      <c r="A182" s="680"/>
      <c r="B182" s="672"/>
      <c r="C182" s="674"/>
      <c r="D182" s="676"/>
      <c r="E182" s="678"/>
      <c r="F182" s="666"/>
      <c r="G182" s="666"/>
      <c r="H182" s="668"/>
      <c r="I182" s="291"/>
      <c r="J182" s="295"/>
      <c r="K182" s="293"/>
      <c r="L182" s="293"/>
      <c r="M182" s="293"/>
      <c r="N182" s="293"/>
      <c r="O182" s="293"/>
      <c r="P182" s="293"/>
      <c r="Q182" s="293"/>
      <c r="R182" s="293"/>
      <c r="S182" s="293"/>
      <c r="T182" s="293"/>
      <c r="U182" s="293"/>
      <c r="V182" s="293"/>
      <c r="W182" s="293"/>
      <c r="X182" s="293"/>
      <c r="Y182" s="293"/>
      <c r="Z182" s="293"/>
      <c r="AA182" s="293"/>
      <c r="AB182" s="293"/>
      <c r="AC182" s="293"/>
      <c r="AD182" s="293"/>
      <c r="AE182" s="293"/>
      <c r="AF182" s="293"/>
      <c r="AG182" s="293"/>
      <c r="AH182" s="293"/>
      <c r="AI182" s="293"/>
      <c r="AJ182" s="293"/>
      <c r="AK182" s="293"/>
      <c r="AL182" s="293"/>
      <c r="AM182" s="293"/>
      <c r="AN182" s="293"/>
      <c r="AO182" s="293"/>
      <c r="AP182" s="293"/>
      <c r="AQ182" s="293"/>
      <c r="AR182" s="293"/>
      <c r="AS182" s="293"/>
      <c r="AT182" s="293"/>
      <c r="AU182" s="293"/>
      <c r="AV182" s="293"/>
      <c r="AW182" s="293"/>
      <c r="AX182" s="293"/>
      <c r="AY182" s="293"/>
      <c r="AZ182" s="293"/>
      <c r="BA182" s="293"/>
      <c r="BB182" s="293"/>
      <c r="BC182" s="293"/>
      <c r="BD182" s="293"/>
      <c r="BE182" s="293"/>
      <c r="BF182" s="293"/>
      <c r="BG182" s="293"/>
      <c r="BH182" s="293"/>
      <c r="BI182" s="293"/>
      <c r="BJ182" s="293"/>
      <c r="BK182" s="293"/>
      <c r="BL182" s="293"/>
      <c r="BM182" s="293"/>
      <c r="BN182" s="293"/>
      <c r="BO182" s="293"/>
      <c r="BP182" s="293"/>
      <c r="BQ182" s="293"/>
      <c r="BR182" s="293"/>
      <c r="BS182" s="293"/>
      <c r="BT182" s="293"/>
      <c r="BU182" s="293"/>
      <c r="BV182" s="293"/>
      <c r="BW182" s="293"/>
      <c r="BX182" s="293"/>
      <c r="BY182" s="293"/>
      <c r="BZ182" s="293"/>
      <c r="CA182" s="293"/>
      <c r="CB182" s="293"/>
      <c r="CC182" s="293"/>
      <c r="CD182" s="293"/>
      <c r="CE182" s="293"/>
      <c r="CF182" s="293"/>
      <c r="CG182" s="293"/>
      <c r="CH182" s="293"/>
      <c r="CI182" s="293"/>
      <c r="CJ182" s="293"/>
      <c r="CK182" s="293"/>
      <c r="CL182" s="293"/>
      <c r="CM182" s="293"/>
      <c r="CN182" s="293"/>
      <c r="CO182" s="293"/>
      <c r="CP182" s="293">
        <f t="shared" si="2858"/>
        <v>0</v>
      </c>
      <c r="CQ182" s="289"/>
    </row>
    <row r="183" spans="1:95" ht="12" customHeight="1">
      <c r="A183" s="679">
        <v>92</v>
      </c>
      <c r="B183" s="645" t="s">
        <v>188</v>
      </c>
      <c r="C183" s="646" t="s">
        <v>12</v>
      </c>
      <c r="D183" s="647" t="s">
        <v>485</v>
      </c>
      <c r="E183" s="648" t="s">
        <v>486</v>
      </c>
      <c r="F183" s="642">
        <v>421.41</v>
      </c>
      <c r="G183" s="642">
        <f>AVERAGE(12,13,14)</f>
        <v>13</v>
      </c>
      <c r="H183" s="643">
        <f>F183*G183*365</f>
        <v>1999590.45</v>
      </c>
      <c r="I183" s="291">
        <v>480670.78</v>
      </c>
      <c r="J183" s="295">
        <f>K183</f>
        <v>461444</v>
      </c>
      <c r="K183" s="293">
        <f>ROUND(12*365*F183/4,0)</f>
        <v>461444</v>
      </c>
      <c r="L183" s="293">
        <f>M183</f>
        <v>499898</v>
      </c>
      <c r="M183" s="293">
        <f>N183</f>
        <v>499898</v>
      </c>
      <c r="N183" s="293">
        <f>O183</f>
        <v>499898</v>
      </c>
      <c r="O183" s="293">
        <f>ROUND(13*365*F183/4,0)</f>
        <v>499898</v>
      </c>
      <c r="P183" s="293">
        <f>Q183</f>
        <v>538351</v>
      </c>
      <c r="Q183" s="293">
        <f>R183</f>
        <v>538351</v>
      </c>
      <c r="R183" s="293">
        <f>S183</f>
        <v>538351</v>
      </c>
      <c r="S183" s="292">
        <f>ROUND(14*365*F183/4,0)</f>
        <v>538351</v>
      </c>
      <c r="T183" s="293">
        <f>S183</f>
        <v>538351</v>
      </c>
      <c r="U183" s="293">
        <f>T183</f>
        <v>538351</v>
      </c>
      <c r="V183" s="293">
        <f>ROUND(U183*(1+取值表!$D$12)*取值表!$I$12,0)</f>
        <v>553701</v>
      </c>
      <c r="W183" s="293">
        <f>V183</f>
        <v>553701</v>
      </c>
      <c r="X183" s="293">
        <f>W183</f>
        <v>553701</v>
      </c>
      <c r="Y183" s="293">
        <f>X183</f>
        <v>553701</v>
      </c>
      <c r="Z183" s="294">
        <f>ROUND(Y183*(1+取值表!$D$10),0)</f>
        <v>605195</v>
      </c>
      <c r="AA183" s="293">
        <f t="shared" ref="AA183:AB183" si="3996">Z183</f>
        <v>605195</v>
      </c>
      <c r="AB183" s="293">
        <f t="shared" si="3996"/>
        <v>605195</v>
      </c>
      <c r="AC183" s="293">
        <f>AB183</f>
        <v>605195</v>
      </c>
      <c r="AD183" s="295">
        <f>ROUND(AC183*(1+取值表!$D$10),0)</f>
        <v>661478</v>
      </c>
      <c r="AE183" s="293">
        <f t="shared" ref="AE183" si="3997">AD183</f>
        <v>661478</v>
      </c>
      <c r="AF183" s="293">
        <f t="shared" ref="AF183" si="3998">AE183</f>
        <v>661478</v>
      </c>
      <c r="AG183" s="293">
        <f t="shared" ref="AG183" si="3999">AF183</f>
        <v>661478</v>
      </c>
      <c r="AH183" s="295">
        <f>ROUND(AG183*(1+取值表!$D$10),0)</f>
        <v>722995</v>
      </c>
      <c r="AI183" s="293">
        <f t="shared" ref="AI183" si="4000">AH183</f>
        <v>722995</v>
      </c>
      <c r="AJ183" s="293">
        <f t="shared" ref="AJ183" si="4001">AI183</f>
        <v>722995</v>
      </c>
      <c r="AK183" s="293">
        <f t="shared" ref="AK183" si="4002">AJ183</f>
        <v>722995</v>
      </c>
      <c r="AL183" s="295">
        <f>ROUND(AK183*(1+取值表!$D$10),0)</f>
        <v>790234</v>
      </c>
      <c r="AM183" s="293">
        <f t="shared" ref="AM183" si="4003">AL183</f>
        <v>790234</v>
      </c>
      <c r="AN183" s="293">
        <f t="shared" ref="AN183" si="4004">AM183</f>
        <v>790234</v>
      </c>
      <c r="AO183" s="293">
        <f t="shared" ref="AO183" si="4005">AN183</f>
        <v>790234</v>
      </c>
      <c r="AP183" s="295">
        <f>ROUND(AO183*(1+取值表!$D$10),0)</f>
        <v>863726</v>
      </c>
      <c r="AQ183" s="293">
        <f t="shared" ref="AQ183" si="4006">AP183</f>
        <v>863726</v>
      </c>
      <c r="AR183" s="293">
        <f t="shared" ref="AR183" si="4007">AQ183</f>
        <v>863726</v>
      </c>
      <c r="AS183" s="293">
        <f t="shared" ref="AS183" si="4008">AR183</f>
        <v>863726</v>
      </c>
      <c r="AT183" s="295">
        <f>ROUND(AS183*(1+取值表!$D$10),0)</f>
        <v>944053</v>
      </c>
      <c r="AU183" s="293">
        <f t="shared" ref="AU183" si="4009">AT183</f>
        <v>944053</v>
      </c>
      <c r="AV183" s="293">
        <f t="shared" ref="AV183" si="4010">AU183</f>
        <v>944053</v>
      </c>
      <c r="AW183" s="293">
        <f t="shared" ref="AW183" si="4011">AV183</f>
        <v>944053</v>
      </c>
      <c r="AX183" s="295">
        <f>ROUND(AW183*(1+取值表!$D$10),0)</f>
        <v>1031850</v>
      </c>
      <c r="AY183" s="293">
        <f t="shared" ref="AY183" si="4012">AX183</f>
        <v>1031850</v>
      </c>
      <c r="AZ183" s="293">
        <f t="shared" ref="AZ183" si="4013">AY183</f>
        <v>1031850</v>
      </c>
      <c r="BA183" s="293">
        <f t="shared" ref="BA183" si="4014">AZ183</f>
        <v>1031850</v>
      </c>
      <c r="BB183" s="295">
        <f>ROUND(BA183*(1+取值表!$D$10),0)</f>
        <v>1127812</v>
      </c>
      <c r="BC183" s="293">
        <f>BB183</f>
        <v>1127812</v>
      </c>
      <c r="BD183" s="293">
        <f t="shared" ref="BD183" si="4015">BC183</f>
        <v>1127812</v>
      </c>
      <c r="BE183" s="293">
        <f>BD183</f>
        <v>1127812</v>
      </c>
      <c r="BF183" s="295">
        <f>ROUND(BE183*(1+取值表!$D$10),0)</f>
        <v>1232699</v>
      </c>
      <c r="BG183" s="293">
        <f>BF183</f>
        <v>1232699</v>
      </c>
      <c r="BH183" s="293">
        <f t="shared" ref="BH183" si="4016">BG183</f>
        <v>1232699</v>
      </c>
      <c r="BI183" s="293">
        <f t="shared" ref="BI183" si="4017">BH183</f>
        <v>1232699</v>
      </c>
      <c r="BJ183" s="295">
        <f>ROUND(BI183*(1+取值表!$D$10),0)</f>
        <v>1347340</v>
      </c>
      <c r="BK183" s="293">
        <f t="shared" ref="BK183" si="4018">BJ183</f>
        <v>1347340</v>
      </c>
      <c r="BL183" s="293">
        <f t="shared" ref="BL183" si="4019">BK183</f>
        <v>1347340</v>
      </c>
      <c r="BM183" s="293">
        <f t="shared" ref="BM183" si="4020">BL183</f>
        <v>1347340</v>
      </c>
      <c r="BN183" s="295">
        <f>ROUND(BM183*(1+取值表!$D$10),0)</f>
        <v>1472643</v>
      </c>
      <c r="BO183" s="293">
        <f t="shared" ref="BO183" si="4021">BN183</f>
        <v>1472643</v>
      </c>
      <c r="BP183" s="293">
        <f t="shared" ref="BP183" si="4022">BO183</f>
        <v>1472643</v>
      </c>
      <c r="BQ183" s="293">
        <f t="shared" ref="BQ183" si="4023">BP183</f>
        <v>1472643</v>
      </c>
      <c r="BR183" s="295">
        <f>ROUND(BQ183*(1+取值表!$D$10),0)</f>
        <v>1609599</v>
      </c>
      <c r="BS183" s="293">
        <f t="shared" ref="BS183" si="4024">BR183</f>
        <v>1609599</v>
      </c>
      <c r="BT183" s="293">
        <f t="shared" ref="BT183" si="4025">BS183</f>
        <v>1609599</v>
      </c>
      <c r="BU183" s="293">
        <f t="shared" ref="BU183" si="4026">BT183</f>
        <v>1609599</v>
      </c>
      <c r="BV183" s="295">
        <f>ROUND(BU183*(1+取值表!$D$10),0)</f>
        <v>1759292</v>
      </c>
      <c r="BW183" s="293">
        <f t="shared" ref="BW183" si="4027">BV183</f>
        <v>1759292</v>
      </c>
      <c r="BX183" s="293">
        <f t="shared" ref="BX183" si="4028">BW183</f>
        <v>1759292</v>
      </c>
      <c r="BY183" s="293">
        <f t="shared" ref="BY183" si="4029">BX183</f>
        <v>1759292</v>
      </c>
      <c r="BZ183" s="295">
        <f>ROUND(BY183*(1+取值表!$D$10),0)</f>
        <v>1922906</v>
      </c>
      <c r="CA183" s="293">
        <f t="shared" ref="CA183" si="4030">BZ183</f>
        <v>1922906</v>
      </c>
      <c r="CB183" s="293">
        <f t="shared" ref="CB183" si="4031">CA183</f>
        <v>1922906</v>
      </c>
      <c r="CC183" s="293">
        <f t="shared" ref="CC183" si="4032">CB183</f>
        <v>1922906</v>
      </c>
      <c r="CD183" s="295">
        <f>ROUND(CC183*(1+取值表!$D$10),0)</f>
        <v>2101736</v>
      </c>
      <c r="CE183" s="293">
        <f t="shared" ref="CE183" si="4033">CD183</f>
        <v>2101736</v>
      </c>
      <c r="CF183" s="293">
        <f t="shared" ref="CF183" si="4034">CE183</f>
        <v>2101736</v>
      </c>
      <c r="CG183" s="293">
        <f t="shared" ref="CG183" si="4035">CF183</f>
        <v>2101736</v>
      </c>
      <c r="CH183" s="295">
        <f>ROUND(CG183*(1+取值表!$D$10),0)</f>
        <v>2297197</v>
      </c>
      <c r="CI183" s="293">
        <f>CH183</f>
        <v>2297197</v>
      </c>
      <c r="CJ183" s="293">
        <f t="shared" ref="CJ183" si="4036">CI183</f>
        <v>2297197</v>
      </c>
      <c r="CK183" s="293">
        <f t="shared" ref="CK183" si="4037">CJ183</f>
        <v>2297197</v>
      </c>
      <c r="CL183" s="295">
        <f>ROUND(CK183*(1+取值表!$D$10),0)</f>
        <v>2510836</v>
      </c>
      <c r="CM183" s="293">
        <f>CL183</f>
        <v>2510836</v>
      </c>
      <c r="CN183" s="293">
        <f t="shared" ref="CN183" si="4038">CM183</f>
        <v>2510836</v>
      </c>
      <c r="CO183" s="293">
        <f t="shared" ref="CO183" si="4039">CN183</f>
        <v>2510836</v>
      </c>
      <c r="CP183" s="293">
        <f t="shared" si="2858"/>
        <v>100373754</v>
      </c>
    </row>
    <row r="184" spans="1:95">
      <c r="A184" s="680"/>
      <c r="B184" s="645"/>
      <c r="C184" s="646"/>
      <c r="D184" s="647"/>
      <c r="E184" s="648"/>
      <c r="F184" s="642"/>
      <c r="G184" s="642"/>
      <c r="H184" s="643"/>
      <c r="I184" s="291"/>
      <c r="J184" s="295"/>
      <c r="K184" s="293"/>
      <c r="L184" s="293"/>
      <c r="M184" s="293"/>
      <c r="N184" s="293"/>
      <c r="O184" s="293"/>
      <c r="P184" s="293"/>
      <c r="Q184" s="293"/>
      <c r="R184" s="293"/>
      <c r="S184" s="293"/>
      <c r="T184" s="293"/>
      <c r="U184" s="293"/>
      <c r="V184" s="293"/>
      <c r="W184" s="293"/>
      <c r="X184" s="293"/>
      <c r="Y184" s="293"/>
      <c r="Z184" s="293"/>
      <c r="AA184" s="293"/>
      <c r="AB184" s="293"/>
      <c r="AC184" s="293"/>
      <c r="AD184" s="295"/>
      <c r="AE184" s="293"/>
      <c r="AF184" s="293"/>
      <c r="AG184" s="293"/>
      <c r="AH184" s="295"/>
      <c r="AI184" s="293"/>
      <c r="AJ184" s="293"/>
      <c r="AK184" s="293"/>
      <c r="AL184" s="295"/>
      <c r="AM184" s="293"/>
      <c r="AN184" s="293"/>
      <c r="AO184" s="293"/>
      <c r="AP184" s="295"/>
      <c r="AQ184" s="293"/>
      <c r="AR184" s="293"/>
      <c r="AS184" s="293"/>
      <c r="AT184" s="295"/>
      <c r="AU184" s="293"/>
      <c r="AV184" s="293"/>
      <c r="AW184" s="293"/>
      <c r="AX184" s="295"/>
      <c r="AY184" s="293"/>
      <c r="AZ184" s="293"/>
      <c r="BA184" s="293"/>
      <c r="BB184" s="295"/>
      <c r="BC184" s="293"/>
      <c r="BD184" s="293"/>
      <c r="BE184" s="293"/>
      <c r="BF184" s="295"/>
      <c r="BG184" s="293"/>
      <c r="BH184" s="293"/>
      <c r="BI184" s="293"/>
      <c r="BJ184" s="295"/>
      <c r="BK184" s="293"/>
      <c r="BL184" s="293"/>
      <c r="BM184" s="293"/>
      <c r="BN184" s="295"/>
      <c r="BO184" s="293"/>
      <c r="BP184" s="293"/>
      <c r="BQ184" s="293"/>
      <c r="BR184" s="295"/>
      <c r="BS184" s="293"/>
      <c r="BT184" s="293"/>
      <c r="BU184" s="293"/>
      <c r="BV184" s="295"/>
      <c r="BW184" s="293"/>
      <c r="BX184" s="293"/>
      <c r="BY184" s="293"/>
      <c r="BZ184" s="295"/>
      <c r="CA184" s="293"/>
      <c r="CB184" s="293"/>
      <c r="CC184" s="293"/>
      <c r="CD184" s="295"/>
      <c r="CE184" s="293"/>
      <c r="CF184" s="293"/>
      <c r="CG184" s="293"/>
      <c r="CH184" s="295"/>
      <c r="CI184" s="293"/>
      <c r="CJ184" s="293"/>
      <c r="CK184" s="293"/>
      <c r="CL184" s="295"/>
      <c r="CM184" s="293"/>
      <c r="CN184" s="293"/>
      <c r="CO184" s="293"/>
      <c r="CP184" s="293">
        <f t="shared" si="2858"/>
        <v>0</v>
      </c>
    </row>
    <row r="185" spans="1:95" ht="12" customHeight="1">
      <c r="A185" s="679">
        <v>93</v>
      </c>
      <c r="B185" s="645" t="s">
        <v>189</v>
      </c>
      <c r="C185" s="646" t="s">
        <v>733</v>
      </c>
      <c r="D185" s="647" t="s">
        <v>190</v>
      </c>
      <c r="E185" s="648" t="s">
        <v>486</v>
      </c>
      <c r="F185" s="642">
        <v>582.67999999999995</v>
      </c>
      <c r="G185" s="642">
        <f>AVERAGE(6.5,7,7.5,8)</f>
        <v>7.25</v>
      </c>
      <c r="H185" s="643">
        <f>F185*G185*365</f>
        <v>1541916.9499999997</v>
      </c>
      <c r="I185" s="291">
        <v>192604.57</v>
      </c>
      <c r="J185" s="295">
        <f>K185</f>
        <v>372187</v>
      </c>
      <c r="K185" s="293">
        <f>L185</f>
        <v>372187</v>
      </c>
      <c r="L185" s="293">
        <f>ROUND(7*F185*365/4,0)</f>
        <v>372187</v>
      </c>
      <c r="M185" s="293">
        <f>N185</f>
        <v>398772</v>
      </c>
      <c r="N185" s="293">
        <f>O185</f>
        <v>398772</v>
      </c>
      <c r="O185" s="293">
        <f>P185</f>
        <v>398772</v>
      </c>
      <c r="P185" s="293">
        <f>ROUND(7.5*365*F185/4,0)</f>
        <v>398772</v>
      </c>
      <c r="Q185" s="293">
        <f>R185</f>
        <v>425356</v>
      </c>
      <c r="R185" s="293">
        <f>S185</f>
        <v>425356</v>
      </c>
      <c r="S185" s="293">
        <f>T185</f>
        <v>425356</v>
      </c>
      <c r="T185" s="292">
        <f>ROUND(8*F185*365/4,0)</f>
        <v>425356</v>
      </c>
      <c r="U185" s="293">
        <f>T185</f>
        <v>425356</v>
      </c>
      <c r="V185" s="293">
        <f>ROUND(U185*(1+取值表!$D$12)*取值表!$I$12,0)</f>
        <v>437484</v>
      </c>
      <c r="W185" s="293">
        <f>V185</f>
        <v>437484</v>
      </c>
      <c r="X185" s="293">
        <f>W185</f>
        <v>437484</v>
      </c>
      <c r="Y185" s="293">
        <f>X185</f>
        <v>437484</v>
      </c>
      <c r="Z185" s="294">
        <f>ROUND(Y185*(1+取值表!$D$10),0)</f>
        <v>478170</v>
      </c>
      <c r="AA185" s="293">
        <f t="shared" ref="AA185:AB185" si="4040">Z185</f>
        <v>478170</v>
      </c>
      <c r="AB185" s="293">
        <f t="shared" si="4040"/>
        <v>478170</v>
      </c>
      <c r="AC185" s="293">
        <f>AB185</f>
        <v>478170</v>
      </c>
      <c r="AD185" s="295">
        <f>ROUND(AC185*(1+取值表!$D$10),0)</f>
        <v>522640</v>
      </c>
      <c r="AE185" s="293">
        <f t="shared" ref="AE185:AG185" si="4041">AD185</f>
        <v>522640</v>
      </c>
      <c r="AF185" s="293">
        <f t="shared" si="4041"/>
        <v>522640</v>
      </c>
      <c r="AG185" s="293">
        <f t="shared" si="4041"/>
        <v>522640</v>
      </c>
      <c r="AH185" s="295">
        <f>ROUND(AG185*(1+取值表!$D$10),0)</f>
        <v>571246</v>
      </c>
      <c r="AI185" s="293">
        <f t="shared" ref="AI185" si="4042">AH185</f>
        <v>571246</v>
      </c>
      <c r="AJ185" s="293">
        <f t="shared" ref="AJ185" si="4043">AI185</f>
        <v>571246</v>
      </c>
      <c r="AK185" s="293">
        <f t="shared" ref="AK185" si="4044">AJ185</f>
        <v>571246</v>
      </c>
      <c r="AL185" s="295">
        <f>ROUND(AK185*(1+取值表!$D$10),0)</f>
        <v>624372</v>
      </c>
      <c r="AM185" s="293">
        <f t="shared" ref="AM185" si="4045">AL185</f>
        <v>624372</v>
      </c>
      <c r="AN185" s="293">
        <f t="shared" ref="AN185" si="4046">AM185</f>
        <v>624372</v>
      </c>
      <c r="AO185" s="293">
        <f t="shared" ref="AO185" si="4047">AN185</f>
        <v>624372</v>
      </c>
      <c r="AP185" s="295">
        <f>ROUND(AO185*(1+取值表!$D$10),0)</f>
        <v>682439</v>
      </c>
      <c r="AQ185" s="293">
        <f t="shared" ref="AQ185" si="4048">AP185</f>
        <v>682439</v>
      </c>
      <c r="AR185" s="293">
        <f t="shared" ref="AR185" si="4049">AQ185</f>
        <v>682439</v>
      </c>
      <c r="AS185" s="293">
        <f t="shared" ref="AS185" si="4050">AR185</f>
        <v>682439</v>
      </c>
      <c r="AT185" s="295">
        <f>ROUND(AS185*(1+取值表!$D$10),0)</f>
        <v>745906</v>
      </c>
      <c r="AU185" s="293">
        <f t="shared" ref="AU185" si="4051">AT185</f>
        <v>745906</v>
      </c>
      <c r="AV185" s="293">
        <f t="shared" ref="AV185" si="4052">AU185</f>
        <v>745906</v>
      </c>
      <c r="AW185" s="293">
        <f t="shared" ref="AW185" si="4053">AV185</f>
        <v>745906</v>
      </c>
      <c r="AX185" s="295">
        <f>ROUND(AW185*(1+取值表!$D$10),0)</f>
        <v>815275</v>
      </c>
      <c r="AY185" s="293">
        <f t="shared" ref="AY185" si="4054">AX185</f>
        <v>815275</v>
      </c>
      <c r="AZ185" s="293">
        <f t="shared" ref="AZ185" si="4055">AY185</f>
        <v>815275</v>
      </c>
      <c r="BA185" s="293">
        <f t="shared" ref="BA185" si="4056">AZ185</f>
        <v>815275</v>
      </c>
      <c r="BB185" s="295">
        <f>ROUND(BA185*(1+取值表!$D$10),0)</f>
        <v>891096</v>
      </c>
      <c r="BC185" s="293">
        <f>BB185</f>
        <v>891096</v>
      </c>
      <c r="BD185" s="293">
        <f t="shared" ref="BD185" si="4057">BC185</f>
        <v>891096</v>
      </c>
      <c r="BE185" s="293">
        <f>BD185</f>
        <v>891096</v>
      </c>
      <c r="BF185" s="295">
        <f>ROUND(BE185*(1+取值表!$D$10),0)</f>
        <v>973968</v>
      </c>
      <c r="BG185" s="293">
        <f>BF185</f>
        <v>973968</v>
      </c>
      <c r="BH185" s="293">
        <f t="shared" ref="BH185" si="4058">BG185</f>
        <v>973968</v>
      </c>
      <c r="BI185" s="293">
        <f t="shared" ref="BI185" si="4059">BH185</f>
        <v>973968</v>
      </c>
      <c r="BJ185" s="295">
        <f>ROUND(BI185*(1+取值表!$D$10),0)</f>
        <v>1064547</v>
      </c>
      <c r="BK185" s="293">
        <f t="shared" ref="BK185" si="4060">BJ185</f>
        <v>1064547</v>
      </c>
      <c r="BL185" s="293">
        <f t="shared" ref="BL185" si="4061">BK185</f>
        <v>1064547</v>
      </c>
      <c r="BM185" s="293">
        <f t="shared" ref="BM185" si="4062">BL185</f>
        <v>1064547</v>
      </c>
      <c r="BN185" s="295">
        <f>ROUND(BM185*(1+取值表!$D$10),0)</f>
        <v>1163550</v>
      </c>
      <c r="BO185" s="293">
        <f t="shared" ref="BO185" si="4063">BN185</f>
        <v>1163550</v>
      </c>
      <c r="BP185" s="293">
        <f t="shared" ref="BP185" si="4064">BO185</f>
        <v>1163550</v>
      </c>
      <c r="BQ185" s="293">
        <f t="shared" ref="BQ185" si="4065">BP185</f>
        <v>1163550</v>
      </c>
      <c r="BR185" s="295">
        <f>ROUND(BQ185*(1+取值表!$D$10),0)</f>
        <v>1271760</v>
      </c>
      <c r="BS185" s="293">
        <f t="shared" ref="BS185" si="4066">BR185</f>
        <v>1271760</v>
      </c>
      <c r="BT185" s="293">
        <f t="shared" ref="BT185" si="4067">BS185</f>
        <v>1271760</v>
      </c>
      <c r="BU185" s="293">
        <f t="shared" ref="BU185" si="4068">BT185</f>
        <v>1271760</v>
      </c>
      <c r="BV185" s="295">
        <f>ROUND(BU185*(1+取值表!$D$10),0)</f>
        <v>1390034</v>
      </c>
      <c r="BW185" s="293">
        <f t="shared" ref="BW185" si="4069">BV185</f>
        <v>1390034</v>
      </c>
      <c r="BX185" s="293">
        <f t="shared" ref="BX185" si="4070">BW185</f>
        <v>1390034</v>
      </c>
      <c r="BY185" s="293">
        <f t="shared" ref="BY185" si="4071">BX185</f>
        <v>1390034</v>
      </c>
      <c r="BZ185" s="295">
        <f>ROUND(BY185*(1+取值表!$D$10),0)</f>
        <v>1519307</v>
      </c>
      <c r="CA185" s="293">
        <f t="shared" ref="CA185" si="4072">BZ185</f>
        <v>1519307</v>
      </c>
      <c r="CB185" s="293">
        <f t="shared" ref="CB185" si="4073">CA185</f>
        <v>1519307</v>
      </c>
      <c r="CC185" s="293">
        <f t="shared" ref="CC185" si="4074">CB185</f>
        <v>1519307</v>
      </c>
      <c r="CD185" s="295">
        <f>ROUND(CC185*(1+取值表!$D$10),0)</f>
        <v>1660603</v>
      </c>
      <c r="CE185" s="293">
        <f t="shared" ref="CE185" si="4075">CD185</f>
        <v>1660603</v>
      </c>
      <c r="CF185" s="293">
        <f t="shared" ref="CF185" si="4076">CE185</f>
        <v>1660603</v>
      </c>
      <c r="CG185" s="293">
        <f t="shared" ref="CG185" si="4077">CF185</f>
        <v>1660603</v>
      </c>
      <c r="CH185" s="295">
        <f>ROUND(CG185*(1+取值表!$D$10),0)</f>
        <v>1815039</v>
      </c>
      <c r="CI185" s="293">
        <f>CH185</f>
        <v>1815039</v>
      </c>
      <c r="CJ185" s="293">
        <f t="shared" ref="CJ185" si="4078">CI185</f>
        <v>1815039</v>
      </c>
      <c r="CK185" s="293">
        <f t="shared" ref="CK185" si="4079">CJ185</f>
        <v>1815039</v>
      </c>
      <c r="CL185" s="295">
        <f>ROUND(CK185*(1+取值表!$D$10),0)</f>
        <v>1983838</v>
      </c>
      <c r="CM185" s="293">
        <f>CL185</f>
        <v>1983838</v>
      </c>
      <c r="CN185" s="293">
        <f t="shared" ref="CN185" si="4080">CM185</f>
        <v>1983838</v>
      </c>
      <c r="CO185" s="293">
        <f t="shared" ref="CO185" si="4081">CN185</f>
        <v>1983838</v>
      </c>
      <c r="CP185" s="293">
        <f t="shared" si="2858"/>
        <v>79283525</v>
      </c>
    </row>
    <row r="186" spans="1:95">
      <c r="A186" s="680"/>
      <c r="B186" s="645"/>
      <c r="C186" s="646"/>
      <c r="D186" s="647"/>
      <c r="E186" s="648"/>
      <c r="F186" s="642"/>
      <c r="G186" s="642"/>
      <c r="H186" s="643"/>
      <c r="I186" s="291"/>
      <c r="J186" s="295"/>
      <c r="K186" s="293"/>
      <c r="L186" s="293"/>
      <c r="M186" s="293"/>
      <c r="N186" s="293"/>
      <c r="O186" s="293"/>
      <c r="P186" s="293"/>
      <c r="Q186" s="293"/>
      <c r="R186" s="293"/>
      <c r="S186" s="293"/>
      <c r="T186" s="293"/>
      <c r="U186" s="293"/>
      <c r="V186" s="293"/>
      <c r="W186" s="293"/>
      <c r="X186" s="293"/>
      <c r="Y186" s="293"/>
      <c r="Z186" s="293"/>
      <c r="AA186" s="293"/>
      <c r="AB186" s="293"/>
      <c r="AC186" s="293"/>
      <c r="AD186" s="293"/>
      <c r="AE186" s="293"/>
      <c r="AF186" s="293"/>
      <c r="AG186" s="293"/>
      <c r="AH186" s="293"/>
      <c r="AI186" s="293"/>
      <c r="AJ186" s="293"/>
      <c r="AK186" s="293"/>
      <c r="AL186" s="293"/>
      <c r="AM186" s="293"/>
      <c r="AN186" s="293"/>
      <c r="AO186" s="293"/>
      <c r="AP186" s="293"/>
      <c r="AQ186" s="293"/>
      <c r="AR186" s="293"/>
      <c r="AS186" s="293"/>
      <c r="AT186" s="293"/>
      <c r="AU186" s="293"/>
      <c r="AV186" s="293"/>
      <c r="AW186" s="293"/>
      <c r="AX186" s="293"/>
      <c r="AY186" s="293"/>
      <c r="AZ186" s="293"/>
      <c r="BA186" s="293"/>
      <c r="BB186" s="293"/>
      <c r="BC186" s="293"/>
      <c r="BD186" s="293"/>
      <c r="BE186" s="293"/>
      <c r="BF186" s="293"/>
      <c r="BG186" s="293"/>
      <c r="BH186" s="293"/>
      <c r="BI186" s="293"/>
      <c r="BJ186" s="293"/>
      <c r="BK186" s="293"/>
      <c r="BL186" s="293"/>
      <c r="BM186" s="293"/>
      <c r="BN186" s="293"/>
      <c r="BO186" s="293"/>
      <c r="BP186" s="293"/>
      <c r="BQ186" s="293"/>
      <c r="BR186" s="293"/>
      <c r="BS186" s="293"/>
      <c r="BT186" s="293"/>
      <c r="BU186" s="293"/>
      <c r="BV186" s="293"/>
      <c r="BW186" s="293"/>
      <c r="BX186" s="293"/>
      <c r="BY186" s="293"/>
      <c r="BZ186" s="293"/>
      <c r="CA186" s="293"/>
      <c r="CB186" s="293"/>
      <c r="CC186" s="293"/>
      <c r="CD186" s="293"/>
      <c r="CE186" s="293"/>
      <c r="CF186" s="293"/>
      <c r="CG186" s="293"/>
      <c r="CH186" s="293"/>
      <c r="CI186" s="293"/>
      <c r="CJ186" s="293"/>
      <c r="CK186" s="293"/>
      <c r="CL186" s="293"/>
      <c r="CM186" s="293"/>
      <c r="CN186" s="293"/>
      <c r="CO186" s="293"/>
      <c r="CP186" s="293">
        <f t="shared" si="2858"/>
        <v>0</v>
      </c>
    </row>
    <row r="187" spans="1:95" ht="12" customHeight="1">
      <c r="A187" s="679">
        <v>94</v>
      </c>
      <c r="B187" s="645" t="s">
        <v>191</v>
      </c>
      <c r="C187" s="646" t="s">
        <v>734</v>
      </c>
      <c r="D187" s="647" t="s">
        <v>192</v>
      </c>
      <c r="E187" s="648" t="s">
        <v>486</v>
      </c>
      <c r="F187" s="642">
        <v>62.4</v>
      </c>
      <c r="G187" s="642">
        <f>AVERAGE(6.5,7,7.5,7.8)</f>
        <v>7.2</v>
      </c>
      <c r="H187" s="643">
        <f>F187*G187*365</f>
        <v>163987.19999999998</v>
      </c>
      <c r="I187" s="291">
        <v>41737.019999999997</v>
      </c>
      <c r="J187" s="295">
        <f>K187</f>
        <v>39858</v>
      </c>
      <c r="K187" s="293">
        <f>L187</f>
        <v>39858</v>
      </c>
      <c r="L187" s="293">
        <f>ROUND(7*F187*365/4,0)</f>
        <v>39858</v>
      </c>
      <c r="M187" s="293">
        <f>N187</f>
        <v>42705</v>
      </c>
      <c r="N187" s="293">
        <f>O187</f>
        <v>42705</v>
      </c>
      <c r="O187" s="293">
        <f>P187</f>
        <v>42705</v>
      </c>
      <c r="P187" s="293">
        <f>ROUND(7.5*365*F187/4,0)</f>
        <v>42705</v>
      </c>
      <c r="Q187" s="293">
        <f>R187</f>
        <v>44413</v>
      </c>
      <c r="R187" s="293">
        <f>S187</f>
        <v>44413</v>
      </c>
      <c r="S187" s="293">
        <f>T187</f>
        <v>44413</v>
      </c>
      <c r="T187" s="292">
        <f>ROUND(7.8*F187*365/4,0)</f>
        <v>44413</v>
      </c>
      <c r="U187" s="293">
        <f>T187</f>
        <v>44413</v>
      </c>
      <c r="V187" s="293">
        <f>ROUND(U187*(1+取值表!$D$12)*取值表!$I$12,0)</f>
        <v>45679</v>
      </c>
      <c r="W187" s="293">
        <f>V187</f>
        <v>45679</v>
      </c>
      <c r="X187" s="293">
        <f>W187</f>
        <v>45679</v>
      </c>
      <c r="Y187" s="293">
        <f>X187</f>
        <v>45679</v>
      </c>
      <c r="Z187" s="294">
        <f>ROUND(Y187*(1+取值表!$D$10),0)</f>
        <v>49927</v>
      </c>
      <c r="AA187" s="293">
        <f t="shared" ref="AA187:AB187" si="4082">Z187</f>
        <v>49927</v>
      </c>
      <c r="AB187" s="293">
        <f t="shared" si="4082"/>
        <v>49927</v>
      </c>
      <c r="AC187" s="293">
        <f>AB187</f>
        <v>49927</v>
      </c>
      <c r="AD187" s="295">
        <f>ROUND(AC187*(1+取值表!$D$10),0)</f>
        <v>54570</v>
      </c>
      <c r="AE187" s="293">
        <f t="shared" ref="AE187:AG187" si="4083">AD187</f>
        <v>54570</v>
      </c>
      <c r="AF187" s="293">
        <f t="shared" si="4083"/>
        <v>54570</v>
      </c>
      <c r="AG187" s="293">
        <f t="shared" si="4083"/>
        <v>54570</v>
      </c>
      <c r="AH187" s="295">
        <f>ROUND(AG187*(1+取值表!$D$10),0)</f>
        <v>59645</v>
      </c>
      <c r="AI187" s="293">
        <f t="shared" ref="AI187" si="4084">AH187</f>
        <v>59645</v>
      </c>
      <c r="AJ187" s="293">
        <f t="shared" ref="AJ187" si="4085">AI187</f>
        <v>59645</v>
      </c>
      <c r="AK187" s="293">
        <f t="shared" ref="AK187" si="4086">AJ187</f>
        <v>59645</v>
      </c>
      <c r="AL187" s="295">
        <f>ROUND(AK187*(1+取值表!$D$10),0)</f>
        <v>65192</v>
      </c>
      <c r="AM187" s="293">
        <f t="shared" ref="AM187" si="4087">AL187</f>
        <v>65192</v>
      </c>
      <c r="AN187" s="293">
        <f t="shared" ref="AN187" si="4088">AM187</f>
        <v>65192</v>
      </c>
      <c r="AO187" s="293">
        <f t="shared" ref="AO187" si="4089">AN187</f>
        <v>65192</v>
      </c>
      <c r="AP187" s="295">
        <f>ROUND(AO187*(1+取值表!$D$10),0)</f>
        <v>71255</v>
      </c>
      <c r="AQ187" s="293">
        <f t="shared" ref="AQ187" si="4090">AP187</f>
        <v>71255</v>
      </c>
      <c r="AR187" s="293">
        <f t="shared" ref="AR187" si="4091">AQ187</f>
        <v>71255</v>
      </c>
      <c r="AS187" s="293">
        <f t="shared" ref="AS187" si="4092">AR187</f>
        <v>71255</v>
      </c>
      <c r="AT187" s="295">
        <f>ROUND(AS187*(1+取值表!$D$10),0)</f>
        <v>77882</v>
      </c>
      <c r="AU187" s="293">
        <f t="shared" ref="AU187" si="4093">AT187</f>
        <v>77882</v>
      </c>
      <c r="AV187" s="293">
        <f t="shared" ref="AV187" si="4094">AU187</f>
        <v>77882</v>
      </c>
      <c r="AW187" s="293">
        <f t="shared" ref="AW187" si="4095">AV187</f>
        <v>77882</v>
      </c>
      <c r="AX187" s="295">
        <f>ROUND(AW187*(1+取值表!$D$10),0)</f>
        <v>85125</v>
      </c>
      <c r="AY187" s="293">
        <f t="shared" ref="AY187" si="4096">AX187</f>
        <v>85125</v>
      </c>
      <c r="AZ187" s="293">
        <f t="shared" ref="AZ187" si="4097">AY187</f>
        <v>85125</v>
      </c>
      <c r="BA187" s="293">
        <f t="shared" ref="BA187" si="4098">AZ187</f>
        <v>85125</v>
      </c>
      <c r="BB187" s="295">
        <f>ROUND(BA187*(1+取值表!$D$10),0)</f>
        <v>93042</v>
      </c>
      <c r="BC187" s="293">
        <f>BB187</f>
        <v>93042</v>
      </c>
      <c r="BD187" s="293">
        <f t="shared" ref="BD187" si="4099">BC187</f>
        <v>93042</v>
      </c>
      <c r="BE187" s="293">
        <f>BD187</f>
        <v>93042</v>
      </c>
      <c r="BF187" s="295">
        <f>ROUND(BE187*(1+取值表!$D$10),0)</f>
        <v>101695</v>
      </c>
      <c r="BG187" s="293">
        <f>BF187</f>
        <v>101695</v>
      </c>
      <c r="BH187" s="293">
        <f t="shared" ref="BH187" si="4100">BG187</f>
        <v>101695</v>
      </c>
      <c r="BI187" s="293">
        <f t="shared" ref="BI187" si="4101">BH187</f>
        <v>101695</v>
      </c>
      <c r="BJ187" s="295">
        <f>ROUND(BI187*(1+取值表!$D$10),0)</f>
        <v>111153</v>
      </c>
      <c r="BK187" s="293">
        <f t="shared" ref="BK187" si="4102">BJ187</f>
        <v>111153</v>
      </c>
      <c r="BL187" s="293">
        <f t="shared" ref="BL187" si="4103">BK187</f>
        <v>111153</v>
      </c>
      <c r="BM187" s="293">
        <f t="shared" ref="BM187" si="4104">BL187</f>
        <v>111153</v>
      </c>
      <c r="BN187" s="295">
        <f>ROUND(BM187*(1+取值表!$D$10),0)</f>
        <v>121490</v>
      </c>
      <c r="BO187" s="293">
        <f t="shared" ref="BO187" si="4105">BN187</f>
        <v>121490</v>
      </c>
      <c r="BP187" s="293">
        <f t="shared" ref="BP187" si="4106">BO187</f>
        <v>121490</v>
      </c>
      <c r="BQ187" s="293">
        <f t="shared" ref="BQ187" si="4107">BP187</f>
        <v>121490</v>
      </c>
      <c r="BR187" s="295">
        <f>ROUND(BQ187*(1+取值表!$D$10),0)</f>
        <v>132789</v>
      </c>
      <c r="BS187" s="293">
        <f t="shared" ref="BS187" si="4108">BR187</f>
        <v>132789</v>
      </c>
      <c r="BT187" s="293">
        <f t="shared" ref="BT187" si="4109">BS187</f>
        <v>132789</v>
      </c>
      <c r="BU187" s="293">
        <f t="shared" ref="BU187" si="4110">BT187</f>
        <v>132789</v>
      </c>
      <c r="BV187" s="295">
        <f>ROUND(BU187*(1+取值表!$D$10),0)</f>
        <v>145138</v>
      </c>
      <c r="BW187" s="293">
        <f t="shared" ref="BW187" si="4111">BV187</f>
        <v>145138</v>
      </c>
      <c r="BX187" s="293">
        <f t="shared" ref="BX187" si="4112">BW187</f>
        <v>145138</v>
      </c>
      <c r="BY187" s="293">
        <f t="shared" ref="BY187" si="4113">BX187</f>
        <v>145138</v>
      </c>
      <c r="BZ187" s="295">
        <f>ROUND(BY187*(1+取值表!$D$10),0)</f>
        <v>158636</v>
      </c>
      <c r="CA187" s="293">
        <f t="shared" ref="CA187" si="4114">BZ187</f>
        <v>158636</v>
      </c>
      <c r="CB187" s="293">
        <f t="shared" ref="CB187" si="4115">CA187</f>
        <v>158636</v>
      </c>
      <c r="CC187" s="293">
        <f t="shared" ref="CC187" si="4116">CB187</f>
        <v>158636</v>
      </c>
      <c r="CD187" s="295">
        <f>ROUND(CC187*(1+取值表!$D$10),0)</f>
        <v>173389</v>
      </c>
      <c r="CE187" s="293">
        <f t="shared" ref="CE187" si="4117">CD187</f>
        <v>173389</v>
      </c>
      <c r="CF187" s="293">
        <f t="shared" ref="CF187" si="4118">CE187</f>
        <v>173389</v>
      </c>
      <c r="CG187" s="293">
        <f t="shared" ref="CG187" si="4119">CF187</f>
        <v>173389</v>
      </c>
      <c r="CH187" s="295">
        <f>ROUND(CG187*(1+取值表!$D$10),0)</f>
        <v>189514</v>
      </c>
      <c r="CI187" s="293">
        <f>CH187</f>
        <v>189514</v>
      </c>
      <c r="CJ187" s="293">
        <f t="shared" ref="CJ187" si="4120">CI187</f>
        <v>189514</v>
      </c>
      <c r="CK187" s="293">
        <f t="shared" ref="CK187" si="4121">CJ187</f>
        <v>189514</v>
      </c>
      <c r="CL187" s="295">
        <f>ROUND(CK187*(1+取值表!$D$10),0)</f>
        <v>207139</v>
      </c>
      <c r="CM187" s="293">
        <f>CL187</f>
        <v>207139</v>
      </c>
      <c r="CN187" s="293">
        <f t="shared" ref="CN187" si="4122">CM187</f>
        <v>207139</v>
      </c>
      <c r="CO187" s="293">
        <f t="shared" ref="CO187" si="4123">CN187</f>
        <v>207139</v>
      </c>
      <c r="CP187" s="293">
        <f t="shared" si="2858"/>
        <v>8285499</v>
      </c>
    </row>
    <row r="188" spans="1:95">
      <c r="A188" s="680"/>
      <c r="B188" s="645"/>
      <c r="C188" s="646"/>
      <c r="D188" s="647"/>
      <c r="E188" s="648"/>
      <c r="F188" s="642"/>
      <c r="G188" s="642"/>
      <c r="H188" s="643"/>
      <c r="I188" s="291"/>
      <c r="J188" s="295"/>
      <c r="K188" s="293"/>
      <c r="L188" s="293"/>
      <c r="M188" s="293"/>
      <c r="N188" s="293"/>
      <c r="O188" s="293"/>
      <c r="P188" s="293"/>
      <c r="Q188" s="293"/>
      <c r="R188" s="293"/>
      <c r="S188" s="293"/>
      <c r="T188" s="293"/>
      <c r="U188" s="293"/>
      <c r="V188" s="293"/>
      <c r="W188" s="293"/>
      <c r="X188" s="293"/>
      <c r="Y188" s="293"/>
      <c r="Z188" s="293"/>
      <c r="AA188" s="293"/>
      <c r="AB188" s="293"/>
      <c r="AC188" s="293"/>
      <c r="AD188" s="293"/>
      <c r="AE188" s="293"/>
      <c r="AF188" s="293"/>
      <c r="AG188" s="293"/>
      <c r="AH188" s="293"/>
      <c r="AI188" s="293"/>
      <c r="AJ188" s="293"/>
      <c r="AK188" s="293"/>
      <c r="AL188" s="293"/>
      <c r="AM188" s="293"/>
      <c r="AN188" s="293"/>
      <c r="AO188" s="293"/>
      <c r="AP188" s="293"/>
      <c r="AQ188" s="293"/>
      <c r="AR188" s="293"/>
      <c r="AS188" s="293"/>
      <c r="AT188" s="293"/>
      <c r="AU188" s="293"/>
      <c r="AV188" s="293"/>
      <c r="AW188" s="293"/>
      <c r="AX188" s="293"/>
      <c r="AY188" s="293"/>
      <c r="AZ188" s="293"/>
      <c r="BA188" s="293"/>
      <c r="BB188" s="293"/>
      <c r="BC188" s="293"/>
      <c r="BD188" s="293"/>
      <c r="BE188" s="293"/>
      <c r="BF188" s="293"/>
      <c r="BG188" s="293"/>
      <c r="BH188" s="293"/>
      <c r="BI188" s="293"/>
      <c r="BJ188" s="293"/>
      <c r="BK188" s="293"/>
      <c r="BL188" s="293"/>
      <c r="BM188" s="293"/>
      <c r="BN188" s="293"/>
      <c r="BO188" s="293"/>
      <c r="BP188" s="293"/>
      <c r="BQ188" s="293"/>
      <c r="BR188" s="293"/>
      <c r="BS188" s="293"/>
      <c r="BT188" s="293"/>
      <c r="BU188" s="293"/>
      <c r="BV188" s="293"/>
      <c r="BW188" s="293"/>
      <c r="BX188" s="293"/>
      <c r="BY188" s="293"/>
      <c r="BZ188" s="293"/>
      <c r="CA188" s="293"/>
      <c r="CB188" s="293"/>
      <c r="CC188" s="293"/>
      <c r="CD188" s="293"/>
      <c r="CE188" s="293"/>
      <c r="CF188" s="293"/>
      <c r="CG188" s="293"/>
      <c r="CH188" s="293"/>
      <c r="CI188" s="293"/>
      <c r="CJ188" s="293"/>
      <c r="CK188" s="293"/>
      <c r="CL188" s="293"/>
      <c r="CM188" s="293"/>
      <c r="CN188" s="293"/>
      <c r="CO188" s="293"/>
      <c r="CP188" s="293">
        <f t="shared" si="2858"/>
        <v>0</v>
      </c>
    </row>
    <row r="189" spans="1:95" ht="12" customHeight="1">
      <c r="A189" s="679">
        <v>95</v>
      </c>
      <c r="B189" s="645" t="s">
        <v>193</v>
      </c>
      <c r="C189" s="646" t="s">
        <v>734</v>
      </c>
      <c r="D189" s="647" t="s">
        <v>190</v>
      </c>
      <c r="E189" s="648" t="s">
        <v>486</v>
      </c>
      <c r="F189" s="642">
        <v>582.67999999999995</v>
      </c>
      <c r="G189" s="642">
        <f>AVERAGE(6.5,7,7.5,8)</f>
        <v>7.25</v>
      </c>
      <c r="H189" s="643">
        <f>F189*G189*365</f>
        <v>1541916.9499999997</v>
      </c>
      <c r="I189" s="291">
        <v>380693.98</v>
      </c>
      <c r="J189" s="295">
        <f>K189</f>
        <v>372187</v>
      </c>
      <c r="K189" s="293">
        <f>L189</f>
        <v>372187</v>
      </c>
      <c r="L189" s="293">
        <f>ROUND(7*F189*365/4,0)</f>
        <v>372187</v>
      </c>
      <c r="M189" s="293">
        <f>N189</f>
        <v>398772</v>
      </c>
      <c r="N189" s="293">
        <f>O189</f>
        <v>398772</v>
      </c>
      <c r="O189" s="293">
        <f>P189</f>
        <v>398772</v>
      </c>
      <c r="P189" s="293">
        <f>ROUND(7.5*365*F189/4,0)</f>
        <v>398772</v>
      </c>
      <c r="Q189" s="293">
        <f>R189</f>
        <v>425356</v>
      </c>
      <c r="R189" s="293">
        <f>S189</f>
        <v>425356</v>
      </c>
      <c r="S189" s="293">
        <f>T189</f>
        <v>425356</v>
      </c>
      <c r="T189" s="292">
        <f>ROUND(8*F189*365/4,0)</f>
        <v>425356</v>
      </c>
      <c r="U189" s="293">
        <f>T189</f>
        <v>425356</v>
      </c>
      <c r="V189" s="293">
        <f>ROUND(U189*(1+取值表!$D$12)*取值表!$I$12,0)</f>
        <v>437484</v>
      </c>
      <c r="W189" s="293">
        <f>V189</f>
        <v>437484</v>
      </c>
      <c r="X189" s="293">
        <f>W189</f>
        <v>437484</v>
      </c>
      <c r="Y189" s="293">
        <f>X189</f>
        <v>437484</v>
      </c>
      <c r="Z189" s="294">
        <f>ROUND(Y189*(1+取值表!$D$10),0)</f>
        <v>478170</v>
      </c>
      <c r="AA189" s="293">
        <f t="shared" ref="AA189:AB189" si="4124">Z189</f>
        <v>478170</v>
      </c>
      <c r="AB189" s="293">
        <f t="shared" si="4124"/>
        <v>478170</v>
      </c>
      <c r="AC189" s="293">
        <f>AB189</f>
        <v>478170</v>
      </c>
      <c r="AD189" s="295">
        <f>ROUND(AC189*(1+取值表!$D$10),0)</f>
        <v>522640</v>
      </c>
      <c r="AE189" s="293">
        <f t="shared" ref="AE189:AG189" si="4125">AD189</f>
        <v>522640</v>
      </c>
      <c r="AF189" s="293">
        <f t="shared" si="4125"/>
        <v>522640</v>
      </c>
      <c r="AG189" s="293">
        <f t="shared" si="4125"/>
        <v>522640</v>
      </c>
      <c r="AH189" s="295">
        <f>ROUND(AG189*(1+取值表!$D$10),0)</f>
        <v>571246</v>
      </c>
      <c r="AI189" s="293">
        <f t="shared" ref="AI189" si="4126">AH189</f>
        <v>571246</v>
      </c>
      <c r="AJ189" s="293">
        <f t="shared" ref="AJ189" si="4127">AI189</f>
        <v>571246</v>
      </c>
      <c r="AK189" s="293">
        <f t="shared" ref="AK189" si="4128">AJ189</f>
        <v>571246</v>
      </c>
      <c r="AL189" s="295">
        <f>ROUND(AK189*(1+取值表!$D$10),0)</f>
        <v>624372</v>
      </c>
      <c r="AM189" s="293">
        <f t="shared" ref="AM189" si="4129">AL189</f>
        <v>624372</v>
      </c>
      <c r="AN189" s="293">
        <f t="shared" ref="AN189" si="4130">AM189</f>
        <v>624372</v>
      </c>
      <c r="AO189" s="293">
        <f t="shared" ref="AO189" si="4131">AN189</f>
        <v>624372</v>
      </c>
      <c r="AP189" s="295">
        <f>ROUND(AO189*(1+取值表!$D$10),0)</f>
        <v>682439</v>
      </c>
      <c r="AQ189" s="293">
        <f t="shared" ref="AQ189" si="4132">AP189</f>
        <v>682439</v>
      </c>
      <c r="AR189" s="293">
        <f t="shared" ref="AR189" si="4133">AQ189</f>
        <v>682439</v>
      </c>
      <c r="AS189" s="293">
        <f t="shared" ref="AS189" si="4134">AR189</f>
        <v>682439</v>
      </c>
      <c r="AT189" s="295">
        <f>ROUND(AS189*(1+取值表!$D$10),0)</f>
        <v>745906</v>
      </c>
      <c r="AU189" s="293">
        <f t="shared" ref="AU189" si="4135">AT189</f>
        <v>745906</v>
      </c>
      <c r="AV189" s="293">
        <f t="shared" ref="AV189" si="4136">AU189</f>
        <v>745906</v>
      </c>
      <c r="AW189" s="293">
        <f t="shared" ref="AW189" si="4137">AV189</f>
        <v>745906</v>
      </c>
      <c r="AX189" s="295">
        <f>ROUND(AW189*(1+取值表!$D$10),0)</f>
        <v>815275</v>
      </c>
      <c r="AY189" s="293">
        <f t="shared" ref="AY189" si="4138">AX189</f>
        <v>815275</v>
      </c>
      <c r="AZ189" s="293">
        <f t="shared" ref="AZ189" si="4139">AY189</f>
        <v>815275</v>
      </c>
      <c r="BA189" s="293">
        <f t="shared" ref="BA189" si="4140">AZ189</f>
        <v>815275</v>
      </c>
      <c r="BB189" s="295">
        <f>ROUND(BA189*(1+取值表!$D$10),0)</f>
        <v>891096</v>
      </c>
      <c r="BC189" s="293">
        <f>BB189</f>
        <v>891096</v>
      </c>
      <c r="BD189" s="293">
        <f t="shared" ref="BD189" si="4141">BC189</f>
        <v>891096</v>
      </c>
      <c r="BE189" s="293">
        <f>BD189</f>
        <v>891096</v>
      </c>
      <c r="BF189" s="295">
        <f>ROUND(BE189*(1+取值表!$D$10),0)</f>
        <v>973968</v>
      </c>
      <c r="BG189" s="293">
        <f>BF189</f>
        <v>973968</v>
      </c>
      <c r="BH189" s="293">
        <f t="shared" ref="BH189" si="4142">BG189</f>
        <v>973968</v>
      </c>
      <c r="BI189" s="293">
        <f t="shared" ref="BI189" si="4143">BH189</f>
        <v>973968</v>
      </c>
      <c r="BJ189" s="295">
        <f>ROUND(BI189*(1+取值表!$D$10),0)</f>
        <v>1064547</v>
      </c>
      <c r="BK189" s="293">
        <f t="shared" ref="BK189" si="4144">BJ189</f>
        <v>1064547</v>
      </c>
      <c r="BL189" s="293">
        <f t="shared" ref="BL189" si="4145">BK189</f>
        <v>1064547</v>
      </c>
      <c r="BM189" s="293">
        <f t="shared" ref="BM189" si="4146">BL189</f>
        <v>1064547</v>
      </c>
      <c r="BN189" s="295">
        <f>ROUND(BM189*(1+取值表!$D$10),0)</f>
        <v>1163550</v>
      </c>
      <c r="BO189" s="293">
        <f t="shared" ref="BO189" si="4147">BN189</f>
        <v>1163550</v>
      </c>
      <c r="BP189" s="293">
        <f t="shared" ref="BP189" si="4148">BO189</f>
        <v>1163550</v>
      </c>
      <c r="BQ189" s="293">
        <f t="shared" ref="BQ189" si="4149">BP189</f>
        <v>1163550</v>
      </c>
      <c r="BR189" s="295">
        <f>ROUND(BQ189*(1+取值表!$D$10),0)</f>
        <v>1271760</v>
      </c>
      <c r="BS189" s="293">
        <f t="shared" ref="BS189" si="4150">BR189</f>
        <v>1271760</v>
      </c>
      <c r="BT189" s="293">
        <f t="shared" ref="BT189" si="4151">BS189</f>
        <v>1271760</v>
      </c>
      <c r="BU189" s="293">
        <f t="shared" ref="BU189" si="4152">BT189</f>
        <v>1271760</v>
      </c>
      <c r="BV189" s="295">
        <f>ROUND(BU189*(1+取值表!$D$10),0)</f>
        <v>1390034</v>
      </c>
      <c r="BW189" s="293">
        <f t="shared" ref="BW189" si="4153">BV189</f>
        <v>1390034</v>
      </c>
      <c r="BX189" s="293">
        <f t="shared" ref="BX189" si="4154">BW189</f>
        <v>1390034</v>
      </c>
      <c r="BY189" s="293">
        <f t="shared" ref="BY189" si="4155">BX189</f>
        <v>1390034</v>
      </c>
      <c r="BZ189" s="295">
        <f>ROUND(BY189*(1+取值表!$D$10),0)</f>
        <v>1519307</v>
      </c>
      <c r="CA189" s="293">
        <f t="shared" ref="CA189" si="4156">BZ189</f>
        <v>1519307</v>
      </c>
      <c r="CB189" s="293">
        <f t="shared" ref="CB189" si="4157">CA189</f>
        <v>1519307</v>
      </c>
      <c r="CC189" s="293">
        <f t="shared" ref="CC189" si="4158">CB189</f>
        <v>1519307</v>
      </c>
      <c r="CD189" s="295">
        <f>ROUND(CC189*(1+取值表!$D$10),0)</f>
        <v>1660603</v>
      </c>
      <c r="CE189" s="293">
        <f t="shared" ref="CE189" si="4159">CD189</f>
        <v>1660603</v>
      </c>
      <c r="CF189" s="293">
        <f t="shared" ref="CF189" si="4160">CE189</f>
        <v>1660603</v>
      </c>
      <c r="CG189" s="293">
        <f t="shared" ref="CG189" si="4161">CF189</f>
        <v>1660603</v>
      </c>
      <c r="CH189" s="295">
        <f>ROUND(CG189*(1+取值表!$D$10),0)</f>
        <v>1815039</v>
      </c>
      <c r="CI189" s="293">
        <f>CH189</f>
        <v>1815039</v>
      </c>
      <c r="CJ189" s="293">
        <f t="shared" ref="CJ189" si="4162">CI189</f>
        <v>1815039</v>
      </c>
      <c r="CK189" s="293">
        <f t="shared" ref="CK189" si="4163">CJ189</f>
        <v>1815039</v>
      </c>
      <c r="CL189" s="295">
        <f>ROUND(CK189*(1+取值表!$D$10),0)</f>
        <v>1983838</v>
      </c>
      <c r="CM189" s="293">
        <f>CL189</f>
        <v>1983838</v>
      </c>
      <c r="CN189" s="293">
        <f t="shared" ref="CN189" si="4164">CM189</f>
        <v>1983838</v>
      </c>
      <c r="CO189" s="293">
        <f t="shared" ref="CO189" si="4165">CN189</f>
        <v>1983838</v>
      </c>
      <c r="CP189" s="293">
        <f t="shared" si="2858"/>
        <v>79283525</v>
      </c>
    </row>
    <row r="190" spans="1:95">
      <c r="A190" s="680"/>
      <c r="B190" s="645"/>
      <c r="C190" s="646"/>
      <c r="D190" s="647"/>
      <c r="E190" s="648"/>
      <c r="F190" s="642"/>
      <c r="G190" s="642"/>
      <c r="H190" s="643"/>
      <c r="I190" s="291"/>
      <c r="J190" s="295"/>
      <c r="K190" s="293"/>
      <c r="L190" s="293"/>
      <c r="M190" s="293"/>
      <c r="N190" s="293"/>
      <c r="O190" s="293"/>
      <c r="P190" s="293"/>
      <c r="Q190" s="293"/>
      <c r="R190" s="293"/>
      <c r="S190" s="293"/>
      <c r="T190" s="293"/>
      <c r="U190" s="293"/>
      <c r="V190" s="293"/>
      <c r="W190" s="293"/>
      <c r="X190" s="293"/>
      <c r="Y190" s="293"/>
      <c r="Z190" s="293"/>
      <c r="AA190" s="293"/>
      <c r="AB190" s="293"/>
      <c r="AC190" s="293"/>
      <c r="AD190" s="295"/>
      <c r="AE190" s="293"/>
      <c r="AF190" s="293"/>
      <c r="AG190" s="293"/>
      <c r="AH190" s="295"/>
      <c r="AI190" s="293"/>
      <c r="AJ190" s="293"/>
      <c r="AK190" s="293"/>
      <c r="AL190" s="295"/>
      <c r="AM190" s="293"/>
      <c r="AN190" s="293"/>
      <c r="AO190" s="293"/>
      <c r="AP190" s="295"/>
      <c r="AQ190" s="293"/>
      <c r="AR190" s="293"/>
      <c r="AS190" s="293"/>
      <c r="AT190" s="295"/>
      <c r="AU190" s="293"/>
      <c r="AV190" s="293"/>
      <c r="AW190" s="293"/>
      <c r="AX190" s="295"/>
      <c r="AY190" s="293"/>
      <c r="AZ190" s="293"/>
      <c r="BA190" s="293"/>
      <c r="BB190" s="295"/>
      <c r="BC190" s="293"/>
      <c r="BD190" s="293"/>
      <c r="BE190" s="293"/>
      <c r="BF190" s="295"/>
      <c r="BG190" s="293"/>
      <c r="BH190" s="293"/>
      <c r="BI190" s="293"/>
      <c r="BJ190" s="295"/>
      <c r="BK190" s="293"/>
      <c r="BL190" s="293"/>
      <c r="BM190" s="293"/>
      <c r="BN190" s="295"/>
      <c r="BO190" s="293"/>
      <c r="BP190" s="293"/>
      <c r="BQ190" s="293"/>
      <c r="BR190" s="295"/>
      <c r="BS190" s="293"/>
      <c r="BT190" s="293"/>
      <c r="BU190" s="293"/>
      <c r="BV190" s="295"/>
      <c r="BW190" s="293"/>
      <c r="BX190" s="293"/>
      <c r="BY190" s="293"/>
      <c r="BZ190" s="295"/>
      <c r="CA190" s="293"/>
      <c r="CB190" s="293"/>
      <c r="CC190" s="293"/>
      <c r="CD190" s="295"/>
      <c r="CE190" s="293"/>
      <c r="CF190" s="293"/>
      <c r="CG190" s="293"/>
      <c r="CH190" s="295"/>
      <c r="CI190" s="293"/>
      <c r="CJ190" s="293"/>
      <c r="CK190" s="293"/>
      <c r="CL190" s="295"/>
      <c r="CM190" s="293"/>
      <c r="CN190" s="293"/>
      <c r="CO190" s="293"/>
      <c r="CP190" s="293">
        <f t="shared" si="2858"/>
        <v>0</v>
      </c>
    </row>
    <row r="191" spans="1:95" ht="12" customHeight="1">
      <c r="A191" s="679">
        <v>96</v>
      </c>
      <c r="B191" s="645" t="s">
        <v>194</v>
      </c>
      <c r="C191" s="646" t="s">
        <v>735</v>
      </c>
      <c r="D191" s="647" t="s">
        <v>195</v>
      </c>
      <c r="E191" s="648" t="s">
        <v>486</v>
      </c>
      <c r="F191" s="642">
        <v>360.43</v>
      </c>
      <c r="G191" s="642">
        <f>AVERAGE(7,7.5,8)</f>
        <v>7.5</v>
      </c>
      <c r="H191" s="643">
        <f>F191*G191*365</f>
        <v>986677.125</v>
      </c>
      <c r="I191" s="291">
        <v>250944.88</v>
      </c>
      <c r="J191" s="295">
        <f>K191</f>
        <v>246669</v>
      </c>
      <c r="K191" s="293">
        <f>L191</f>
        <v>246669</v>
      </c>
      <c r="L191" s="293">
        <f>ROUND(7.5*F191*365/4,0)</f>
        <v>246669</v>
      </c>
      <c r="M191" s="293">
        <f>N191</f>
        <v>263114</v>
      </c>
      <c r="N191" s="293">
        <f>O191</f>
        <v>263114</v>
      </c>
      <c r="O191" s="293">
        <f>P191</f>
        <v>263114</v>
      </c>
      <c r="P191" s="292">
        <f>ROUND(8*F191*365/4,0)</f>
        <v>263114</v>
      </c>
      <c r="Q191" s="293">
        <f>P191</f>
        <v>263114</v>
      </c>
      <c r="R191" s="293">
        <f>ROUND(Q191*(1+取值表!$D$12)*取值表!$I$12,0)</f>
        <v>270616</v>
      </c>
      <c r="S191" s="293">
        <f>R191</f>
        <v>270616</v>
      </c>
      <c r="T191" s="293">
        <f>S191</f>
        <v>270616</v>
      </c>
      <c r="U191" s="293">
        <f>T191</f>
        <v>270616</v>
      </c>
      <c r="V191" s="294">
        <f>ROUND(U191*(1+取值表!$D$10),0)</f>
        <v>295783</v>
      </c>
      <c r="W191" s="293">
        <f>V191</f>
        <v>295783</v>
      </c>
      <c r="X191" s="293">
        <f>W191</f>
        <v>295783</v>
      </c>
      <c r="Y191" s="293">
        <f>X191</f>
        <v>295783</v>
      </c>
      <c r="Z191" s="295">
        <f>ROUND(Y191*(1+取值表!$D$10),0)</f>
        <v>323291</v>
      </c>
      <c r="AA191" s="293">
        <f t="shared" ref="AA191:AB191" si="4166">Z191</f>
        <v>323291</v>
      </c>
      <c r="AB191" s="293">
        <f t="shared" si="4166"/>
        <v>323291</v>
      </c>
      <c r="AC191" s="293">
        <f>AB191</f>
        <v>323291</v>
      </c>
      <c r="AD191" s="295">
        <f>ROUND(AC191*(1+取值表!$D$10),0)</f>
        <v>353357</v>
      </c>
      <c r="AE191" s="293">
        <f t="shared" ref="AE191:AG191" si="4167">AD191</f>
        <v>353357</v>
      </c>
      <c r="AF191" s="293">
        <f t="shared" si="4167"/>
        <v>353357</v>
      </c>
      <c r="AG191" s="293">
        <f t="shared" si="4167"/>
        <v>353357</v>
      </c>
      <c r="AH191" s="295">
        <f>ROUND(AG191*(1+取值表!$D$10),0)</f>
        <v>386219</v>
      </c>
      <c r="AI191" s="293">
        <f t="shared" ref="AI191" si="4168">AH191</f>
        <v>386219</v>
      </c>
      <c r="AJ191" s="293">
        <f t="shared" ref="AJ191" si="4169">AI191</f>
        <v>386219</v>
      </c>
      <c r="AK191" s="293">
        <f t="shared" ref="AK191" si="4170">AJ191</f>
        <v>386219</v>
      </c>
      <c r="AL191" s="295">
        <f>ROUND(AK191*(1+取值表!$D$10),0)</f>
        <v>422137</v>
      </c>
      <c r="AM191" s="293">
        <f t="shared" ref="AM191" si="4171">AL191</f>
        <v>422137</v>
      </c>
      <c r="AN191" s="293">
        <f t="shared" ref="AN191" si="4172">AM191</f>
        <v>422137</v>
      </c>
      <c r="AO191" s="293">
        <f t="shared" ref="AO191" si="4173">AN191</f>
        <v>422137</v>
      </c>
      <c r="AP191" s="295">
        <f>ROUND(AO191*(1+取值表!$D$10),0)</f>
        <v>461396</v>
      </c>
      <c r="AQ191" s="293">
        <f t="shared" ref="AQ191" si="4174">AP191</f>
        <v>461396</v>
      </c>
      <c r="AR191" s="293">
        <f t="shared" ref="AR191" si="4175">AQ191</f>
        <v>461396</v>
      </c>
      <c r="AS191" s="293">
        <f t="shared" ref="AS191" si="4176">AR191</f>
        <v>461396</v>
      </c>
      <c r="AT191" s="295">
        <f>ROUND(AS191*(1+取值表!$D$10),0)</f>
        <v>504306</v>
      </c>
      <c r="AU191" s="293">
        <f t="shared" ref="AU191" si="4177">AT191</f>
        <v>504306</v>
      </c>
      <c r="AV191" s="293">
        <f t="shared" ref="AV191" si="4178">AU191</f>
        <v>504306</v>
      </c>
      <c r="AW191" s="293">
        <f t="shared" ref="AW191" si="4179">AV191</f>
        <v>504306</v>
      </c>
      <c r="AX191" s="295">
        <f>ROUND(AW191*(1+取值表!$D$10),0)</f>
        <v>551206</v>
      </c>
      <c r="AY191" s="293">
        <f t="shared" ref="AY191" si="4180">AX191</f>
        <v>551206</v>
      </c>
      <c r="AZ191" s="293">
        <f t="shared" ref="AZ191" si="4181">AY191</f>
        <v>551206</v>
      </c>
      <c r="BA191" s="293">
        <f t="shared" ref="BA191" si="4182">AZ191</f>
        <v>551206</v>
      </c>
      <c r="BB191" s="295">
        <f>ROUND(BA191*(1+取值表!$D$10),0)</f>
        <v>602468</v>
      </c>
      <c r="BC191" s="293">
        <f>BB191</f>
        <v>602468</v>
      </c>
      <c r="BD191" s="293">
        <f t="shared" ref="BD191" si="4183">BC191</f>
        <v>602468</v>
      </c>
      <c r="BE191" s="293">
        <f>BD191</f>
        <v>602468</v>
      </c>
      <c r="BF191" s="295">
        <f>ROUND(BE191*(1+取值表!$D$10),0)</f>
        <v>658498</v>
      </c>
      <c r="BG191" s="293">
        <f>BF191</f>
        <v>658498</v>
      </c>
      <c r="BH191" s="293">
        <f t="shared" ref="BH191" si="4184">BG191</f>
        <v>658498</v>
      </c>
      <c r="BI191" s="293">
        <f t="shared" ref="BI191" si="4185">BH191</f>
        <v>658498</v>
      </c>
      <c r="BJ191" s="295">
        <f>ROUND(BI191*(1+取值表!$D$10),0)</f>
        <v>719738</v>
      </c>
      <c r="BK191" s="293">
        <f t="shared" ref="BK191" si="4186">BJ191</f>
        <v>719738</v>
      </c>
      <c r="BL191" s="293">
        <f t="shared" ref="BL191" si="4187">BK191</f>
        <v>719738</v>
      </c>
      <c r="BM191" s="293">
        <f t="shared" ref="BM191" si="4188">BL191</f>
        <v>719738</v>
      </c>
      <c r="BN191" s="295">
        <f>ROUND(BM191*(1+取值表!$D$10),0)</f>
        <v>786674</v>
      </c>
      <c r="BO191" s="293">
        <f t="shared" ref="BO191" si="4189">BN191</f>
        <v>786674</v>
      </c>
      <c r="BP191" s="293">
        <f t="shared" ref="BP191" si="4190">BO191</f>
        <v>786674</v>
      </c>
      <c r="BQ191" s="293">
        <f t="shared" ref="BQ191" si="4191">BP191</f>
        <v>786674</v>
      </c>
      <c r="BR191" s="295">
        <f>ROUND(BQ191*(1+取值表!$D$10),0)</f>
        <v>859835</v>
      </c>
      <c r="BS191" s="293">
        <f t="shared" ref="BS191" si="4192">BR191</f>
        <v>859835</v>
      </c>
      <c r="BT191" s="293">
        <f t="shared" ref="BT191" si="4193">BS191</f>
        <v>859835</v>
      </c>
      <c r="BU191" s="293">
        <f t="shared" ref="BU191" si="4194">BT191</f>
        <v>859835</v>
      </c>
      <c r="BV191" s="295">
        <f>ROUND(BU191*(1+取值表!$D$10),0)</f>
        <v>939800</v>
      </c>
      <c r="BW191" s="293">
        <f t="shared" ref="BW191" si="4195">BV191</f>
        <v>939800</v>
      </c>
      <c r="BX191" s="293">
        <f t="shared" ref="BX191" si="4196">BW191</f>
        <v>939800</v>
      </c>
      <c r="BY191" s="293">
        <f t="shared" ref="BY191" si="4197">BX191</f>
        <v>939800</v>
      </c>
      <c r="BZ191" s="295">
        <f>ROUND(BY191*(1+取值表!$D$10),0)</f>
        <v>1027201</v>
      </c>
      <c r="CA191" s="293">
        <f t="shared" ref="CA191" si="4198">BZ191</f>
        <v>1027201</v>
      </c>
      <c r="CB191" s="293">
        <f t="shared" ref="CB191" si="4199">CA191</f>
        <v>1027201</v>
      </c>
      <c r="CC191" s="293">
        <f t="shared" ref="CC191" si="4200">CB191</f>
        <v>1027201</v>
      </c>
      <c r="CD191" s="295">
        <f>ROUND(CC191*(1+取值表!$D$10),0)</f>
        <v>1122731</v>
      </c>
      <c r="CE191" s="293">
        <f t="shared" ref="CE191" si="4201">CD191</f>
        <v>1122731</v>
      </c>
      <c r="CF191" s="293">
        <f t="shared" ref="CF191" si="4202">CE191</f>
        <v>1122731</v>
      </c>
      <c r="CG191" s="293">
        <f t="shared" ref="CG191" si="4203">CF191</f>
        <v>1122731</v>
      </c>
      <c r="CH191" s="295">
        <f>ROUND(CG191*(1+取值表!$D$10),0)</f>
        <v>1227145</v>
      </c>
      <c r="CI191" s="293">
        <f>CH191</f>
        <v>1227145</v>
      </c>
      <c r="CJ191" s="293">
        <f t="shared" ref="CJ191" si="4204">CI191</f>
        <v>1227145</v>
      </c>
      <c r="CK191" s="293">
        <f t="shared" ref="CK191" si="4205">CJ191</f>
        <v>1227145</v>
      </c>
      <c r="CL191" s="295">
        <f>ROUND(CK191*(1+取值表!$D$10),0)</f>
        <v>1341269</v>
      </c>
      <c r="CM191" s="293">
        <f>CL191</f>
        <v>1341269</v>
      </c>
      <c r="CN191" s="293">
        <f t="shared" ref="CN191" si="4206">CM191</f>
        <v>1341269</v>
      </c>
      <c r="CO191" s="293">
        <f t="shared" ref="CO191" si="4207">CN191</f>
        <v>1341269</v>
      </c>
      <c r="CP191" s="293">
        <f t="shared" si="2858"/>
        <v>53470257</v>
      </c>
    </row>
    <row r="192" spans="1:95">
      <c r="A192" s="680"/>
      <c r="B192" s="645"/>
      <c r="C192" s="646"/>
      <c r="D192" s="647"/>
      <c r="E192" s="648"/>
      <c r="F192" s="642"/>
      <c r="G192" s="642"/>
      <c r="H192" s="643"/>
      <c r="I192" s="291"/>
      <c r="J192" s="295"/>
      <c r="K192" s="293"/>
      <c r="L192" s="293"/>
      <c r="M192" s="293"/>
      <c r="N192" s="293"/>
      <c r="O192" s="293"/>
      <c r="P192" s="293"/>
      <c r="Q192" s="293"/>
      <c r="R192" s="293"/>
      <c r="S192" s="293"/>
      <c r="T192" s="293"/>
      <c r="U192" s="293"/>
      <c r="V192" s="293"/>
      <c r="W192" s="293"/>
      <c r="X192" s="293"/>
      <c r="Y192" s="293"/>
      <c r="Z192" s="293"/>
      <c r="AA192" s="293"/>
      <c r="AB192" s="293"/>
      <c r="AC192" s="293"/>
      <c r="AD192" s="293"/>
      <c r="AE192" s="293"/>
      <c r="AF192" s="293"/>
      <c r="AG192" s="293"/>
      <c r="AH192" s="293"/>
      <c r="AI192" s="293"/>
      <c r="AJ192" s="293"/>
      <c r="AK192" s="293"/>
      <c r="AL192" s="293"/>
      <c r="AM192" s="293"/>
      <c r="AN192" s="293"/>
      <c r="AO192" s="293"/>
      <c r="AP192" s="293"/>
      <c r="AQ192" s="293"/>
      <c r="AR192" s="293"/>
      <c r="AS192" s="293"/>
      <c r="AT192" s="293"/>
      <c r="AU192" s="293"/>
      <c r="AV192" s="293"/>
      <c r="AW192" s="293"/>
      <c r="AX192" s="293"/>
      <c r="AY192" s="293"/>
      <c r="AZ192" s="293"/>
      <c r="BA192" s="293"/>
      <c r="BB192" s="293"/>
      <c r="BC192" s="293"/>
      <c r="BD192" s="293"/>
      <c r="BE192" s="293"/>
      <c r="BF192" s="293"/>
      <c r="BG192" s="293"/>
      <c r="BH192" s="293"/>
      <c r="BI192" s="293"/>
      <c r="BJ192" s="293"/>
      <c r="BK192" s="293"/>
      <c r="BL192" s="293"/>
      <c r="BM192" s="293"/>
      <c r="BN192" s="293"/>
      <c r="BO192" s="293"/>
      <c r="BP192" s="293"/>
      <c r="BQ192" s="293"/>
      <c r="BR192" s="293"/>
      <c r="BS192" s="293"/>
      <c r="BT192" s="293"/>
      <c r="BU192" s="293"/>
      <c r="BV192" s="293"/>
      <c r="BW192" s="293"/>
      <c r="BX192" s="293"/>
      <c r="BY192" s="293"/>
      <c r="BZ192" s="293"/>
      <c r="CA192" s="293"/>
      <c r="CB192" s="293"/>
      <c r="CC192" s="293"/>
      <c r="CD192" s="293"/>
      <c r="CE192" s="293"/>
      <c r="CF192" s="293"/>
      <c r="CG192" s="293"/>
      <c r="CH192" s="293"/>
      <c r="CI192" s="293"/>
      <c r="CJ192" s="293"/>
      <c r="CK192" s="293"/>
      <c r="CL192" s="293"/>
      <c r="CM192" s="293"/>
      <c r="CN192" s="293"/>
      <c r="CO192" s="293"/>
      <c r="CP192" s="293">
        <f t="shared" si="2858"/>
        <v>0</v>
      </c>
    </row>
    <row r="193" spans="1:94" ht="12" customHeight="1">
      <c r="A193" s="679">
        <v>97</v>
      </c>
      <c r="B193" s="645" t="s">
        <v>196</v>
      </c>
      <c r="C193" s="646" t="s">
        <v>736</v>
      </c>
      <c r="D193" s="647" t="s">
        <v>487</v>
      </c>
      <c r="E193" s="648" t="s">
        <v>486</v>
      </c>
      <c r="F193" s="642">
        <v>216.86</v>
      </c>
      <c r="G193" s="642">
        <v>7.5</v>
      </c>
      <c r="H193" s="643">
        <f>F193*G193*365</f>
        <v>593654.25</v>
      </c>
      <c r="I193" s="291">
        <v>161671.84</v>
      </c>
      <c r="J193" s="293">
        <f>K193</f>
        <v>148414</v>
      </c>
      <c r="K193" s="293">
        <f>L193</f>
        <v>148414</v>
      </c>
      <c r="L193" s="293">
        <f>M193</f>
        <v>148414</v>
      </c>
      <c r="M193" s="292">
        <f>ROUND(7.5*F193*365/4,0)</f>
        <v>148414</v>
      </c>
      <c r="N193" s="293">
        <f>ROUND(M193*(1+取值表!$D$12)*取值表!$I$12,0)</f>
        <v>152646</v>
      </c>
      <c r="O193" s="293">
        <f>N193</f>
        <v>152646</v>
      </c>
      <c r="P193" s="293">
        <f>O193</f>
        <v>152646</v>
      </c>
      <c r="Q193" s="293">
        <f>P193</f>
        <v>152646</v>
      </c>
      <c r="R193" s="294">
        <f>ROUND(Q193*(1+取值表!$D$10),0)</f>
        <v>166842</v>
      </c>
      <c r="S193" s="293">
        <f>R193</f>
        <v>166842</v>
      </c>
      <c r="T193" s="293">
        <f>S193</f>
        <v>166842</v>
      </c>
      <c r="U193" s="293">
        <f>T193</f>
        <v>166842</v>
      </c>
      <c r="V193" s="295">
        <f>ROUND(U193*(1+取值表!$D$10),0)</f>
        <v>182358</v>
      </c>
      <c r="W193" s="293">
        <f t="shared" ref="W193:Y193" si="4208">V193</f>
        <v>182358</v>
      </c>
      <c r="X193" s="293">
        <f t="shared" si="4208"/>
        <v>182358</v>
      </c>
      <c r="Y193" s="293">
        <f t="shared" si="4208"/>
        <v>182358</v>
      </c>
      <c r="Z193" s="295">
        <f>ROUND(Y193*(1+取值表!$D$10),0)</f>
        <v>199317</v>
      </c>
      <c r="AA193" s="293">
        <f t="shared" ref="AA193:AB193" si="4209">Z193</f>
        <v>199317</v>
      </c>
      <c r="AB193" s="293">
        <f t="shared" si="4209"/>
        <v>199317</v>
      </c>
      <c r="AC193" s="293">
        <f>AB193</f>
        <v>199317</v>
      </c>
      <c r="AD193" s="295">
        <f>ROUND(AC193*(1+取值表!$D$10),0)</f>
        <v>217853</v>
      </c>
      <c r="AE193" s="293">
        <f t="shared" ref="AE193:AG193" si="4210">AD193</f>
        <v>217853</v>
      </c>
      <c r="AF193" s="293">
        <f t="shared" si="4210"/>
        <v>217853</v>
      </c>
      <c r="AG193" s="293">
        <f t="shared" si="4210"/>
        <v>217853</v>
      </c>
      <c r="AH193" s="295">
        <f>ROUND(AG193*(1+取值表!$D$10),0)</f>
        <v>238113</v>
      </c>
      <c r="AI193" s="293">
        <f t="shared" ref="AI193" si="4211">AH193</f>
        <v>238113</v>
      </c>
      <c r="AJ193" s="293">
        <f t="shared" ref="AJ193" si="4212">AI193</f>
        <v>238113</v>
      </c>
      <c r="AK193" s="293">
        <f t="shared" ref="AK193" si="4213">AJ193</f>
        <v>238113</v>
      </c>
      <c r="AL193" s="295">
        <f>ROUND(AK193*(1+取值表!$D$10),0)</f>
        <v>260258</v>
      </c>
      <c r="AM193" s="293">
        <f t="shared" ref="AM193" si="4214">AL193</f>
        <v>260258</v>
      </c>
      <c r="AN193" s="293">
        <f t="shared" ref="AN193" si="4215">AM193</f>
        <v>260258</v>
      </c>
      <c r="AO193" s="293">
        <f t="shared" ref="AO193" si="4216">AN193</f>
        <v>260258</v>
      </c>
      <c r="AP193" s="295">
        <f>ROUND(AO193*(1+取值表!$D$10),0)</f>
        <v>284462</v>
      </c>
      <c r="AQ193" s="293">
        <f t="shared" ref="AQ193" si="4217">AP193</f>
        <v>284462</v>
      </c>
      <c r="AR193" s="293">
        <f t="shared" ref="AR193" si="4218">AQ193</f>
        <v>284462</v>
      </c>
      <c r="AS193" s="293">
        <f t="shared" ref="AS193" si="4219">AR193</f>
        <v>284462</v>
      </c>
      <c r="AT193" s="295">
        <f>ROUND(AS193*(1+取值表!$D$10),0)</f>
        <v>310917</v>
      </c>
      <c r="AU193" s="293">
        <f t="shared" ref="AU193" si="4220">AT193</f>
        <v>310917</v>
      </c>
      <c r="AV193" s="293">
        <f t="shared" ref="AV193" si="4221">AU193</f>
        <v>310917</v>
      </c>
      <c r="AW193" s="293">
        <f t="shared" ref="AW193" si="4222">AV193</f>
        <v>310917</v>
      </c>
      <c r="AX193" s="295">
        <f>ROUND(AW193*(1+取值表!$D$10),0)</f>
        <v>339832</v>
      </c>
      <c r="AY193" s="293">
        <f t="shared" ref="AY193" si="4223">AX193</f>
        <v>339832</v>
      </c>
      <c r="AZ193" s="293">
        <f t="shared" ref="AZ193" si="4224">AY193</f>
        <v>339832</v>
      </c>
      <c r="BA193" s="293">
        <f t="shared" ref="BA193" si="4225">AZ193</f>
        <v>339832</v>
      </c>
      <c r="BB193" s="295">
        <f>ROUND(BA193*(1+取值表!$D$10),0)</f>
        <v>371436</v>
      </c>
      <c r="BC193" s="293">
        <f>BB193</f>
        <v>371436</v>
      </c>
      <c r="BD193" s="293">
        <f t="shared" ref="BD193" si="4226">BC193</f>
        <v>371436</v>
      </c>
      <c r="BE193" s="293">
        <f>BD193</f>
        <v>371436</v>
      </c>
      <c r="BF193" s="295">
        <f>ROUND(BE193*(1+取值表!$D$10),0)</f>
        <v>405980</v>
      </c>
      <c r="BG193" s="293">
        <f>BF193</f>
        <v>405980</v>
      </c>
      <c r="BH193" s="293">
        <f t="shared" ref="BH193" si="4227">BG193</f>
        <v>405980</v>
      </c>
      <c r="BI193" s="293">
        <f t="shared" ref="BI193" si="4228">BH193</f>
        <v>405980</v>
      </c>
      <c r="BJ193" s="295">
        <f>ROUND(BI193*(1+取值表!$D$10),0)</f>
        <v>443736</v>
      </c>
      <c r="BK193" s="293">
        <f t="shared" ref="BK193" si="4229">BJ193</f>
        <v>443736</v>
      </c>
      <c r="BL193" s="293">
        <f t="shared" ref="BL193" si="4230">BK193</f>
        <v>443736</v>
      </c>
      <c r="BM193" s="293">
        <f t="shared" ref="BM193" si="4231">BL193</f>
        <v>443736</v>
      </c>
      <c r="BN193" s="295">
        <f>ROUND(BM193*(1+取值表!$D$10),0)</f>
        <v>485003</v>
      </c>
      <c r="BO193" s="293">
        <f t="shared" ref="BO193" si="4232">BN193</f>
        <v>485003</v>
      </c>
      <c r="BP193" s="293">
        <f t="shared" ref="BP193" si="4233">BO193</f>
        <v>485003</v>
      </c>
      <c r="BQ193" s="293">
        <f t="shared" ref="BQ193" si="4234">BP193</f>
        <v>485003</v>
      </c>
      <c r="BR193" s="295">
        <f>ROUND(BQ193*(1+取值表!$D$10),0)</f>
        <v>530108</v>
      </c>
      <c r="BS193" s="293">
        <f t="shared" ref="BS193" si="4235">BR193</f>
        <v>530108</v>
      </c>
      <c r="BT193" s="293">
        <f t="shared" ref="BT193" si="4236">BS193</f>
        <v>530108</v>
      </c>
      <c r="BU193" s="293">
        <f t="shared" ref="BU193" si="4237">BT193</f>
        <v>530108</v>
      </c>
      <c r="BV193" s="295">
        <f>ROUND(BU193*(1+取值表!$D$10),0)</f>
        <v>579408</v>
      </c>
      <c r="BW193" s="293">
        <f t="shared" ref="BW193" si="4238">BV193</f>
        <v>579408</v>
      </c>
      <c r="BX193" s="293">
        <f t="shared" ref="BX193" si="4239">BW193</f>
        <v>579408</v>
      </c>
      <c r="BY193" s="293">
        <f t="shared" ref="BY193" si="4240">BX193</f>
        <v>579408</v>
      </c>
      <c r="BZ193" s="295">
        <f>ROUND(BY193*(1+取值表!$D$10),0)</f>
        <v>633293</v>
      </c>
      <c r="CA193" s="293">
        <f t="shared" ref="CA193" si="4241">BZ193</f>
        <v>633293</v>
      </c>
      <c r="CB193" s="293">
        <f t="shared" ref="CB193" si="4242">CA193</f>
        <v>633293</v>
      </c>
      <c r="CC193" s="293">
        <f t="shared" ref="CC193" si="4243">CB193</f>
        <v>633293</v>
      </c>
      <c r="CD193" s="295">
        <f>ROUND(CC193*(1+取值表!$D$10),0)</f>
        <v>692189</v>
      </c>
      <c r="CE193" s="293">
        <f t="shared" ref="CE193" si="4244">CD193</f>
        <v>692189</v>
      </c>
      <c r="CF193" s="293">
        <f t="shared" ref="CF193" si="4245">CE193</f>
        <v>692189</v>
      </c>
      <c r="CG193" s="293">
        <f t="shared" ref="CG193" si="4246">CF193</f>
        <v>692189</v>
      </c>
      <c r="CH193" s="295">
        <f>ROUND(CG193*(1+取值表!$D$10),0)</f>
        <v>756563</v>
      </c>
      <c r="CI193" s="293">
        <f>CH193</f>
        <v>756563</v>
      </c>
      <c r="CJ193" s="293">
        <f t="shared" ref="CJ193" si="4247">CI193</f>
        <v>756563</v>
      </c>
      <c r="CK193" s="293">
        <f t="shared" ref="CK193" si="4248">CJ193</f>
        <v>756563</v>
      </c>
      <c r="CL193" s="295">
        <f>ROUND(CK193*(1+取值表!$D$10),0)</f>
        <v>826923</v>
      </c>
      <c r="CM193" s="293">
        <f>CL193</f>
        <v>826923</v>
      </c>
      <c r="CN193" s="293">
        <f t="shared" ref="CN193" si="4249">CM193</f>
        <v>826923</v>
      </c>
      <c r="CO193" s="293">
        <f t="shared" ref="CO193" si="4250">CN193</f>
        <v>826923</v>
      </c>
      <c r="CP193" s="293">
        <f t="shared" si="2858"/>
        <v>32902604</v>
      </c>
    </row>
    <row r="194" spans="1:94">
      <c r="A194" s="680"/>
      <c r="B194" s="645"/>
      <c r="C194" s="646"/>
      <c r="D194" s="647"/>
      <c r="E194" s="648"/>
      <c r="F194" s="642"/>
      <c r="G194" s="642"/>
      <c r="H194" s="643"/>
      <c r="I194" s="291"/>
      <c r="J194" s="295"/>
      <c r="K194" s="293"/>
      <c r="L194" s="293"/>
      <c r="M194" s="293"/>
      <c r="N194" s="293"/>
      <c r="O194" s="293"/>
      <c r="P194" s="293"/>
      <c r="Q194" s="293"/>
      <c r="R194" s="293"/>
      <c r="S194" s="293"/>
      <c r="T194" s="293"/>
      <c r="U194" s="293"/>
      <c r="V194" s="293"/>
      <c r="W194" s="293"/>
      <c r="X194" s="293"/>
      <c r="Y194" s="293"/>
      <c r="Z194" s="293"/>
      <c r="AA194" s="293"/>
      <c r="AB194" s="293"/>
      <c r="AC194" s="293"/>
      <c r="AD194" s="293"/>
      <c r="AE194" s="293"/>
      <c r="AF194" s="293"/>
      <c r="AG194" s="293"/>
      <c r="AH194" s="293"/>
      <c r="AI194" s="293"/>
      <c r="AJ194" s="293"/>
      <c r="AK194" s="293"/>
      <c r="AL194" s="293"/>
      <c r="AM194" s="293"/>
      <c r="AN194" s="293"/>
      <c r="AO194" s="293"/>
      <c r="AP194" s="293"/>
      <c r="AQ194" s="293"/>
      <c r="AR194" s="293"/>
      <c r="AS194" s="293"/>
      <c r="AT194" s="293"/>
      <c r="AU194" s="293"/>
      <c r="AV194" s="293"/>
      <c r="AW194" s="293"/>
      <c r="AX194" s="293"/>
      <c r="AY194" s="293"/>
      <c r="AZ194" s="293"/>
      <c r="BA194" s="293"/>
      <c r="BB194" s="293"/>
      <c r="BC194" s="293"/>
      <c r="BD194" s="293"/>
      <c r="BE194" s="293"/>
      <c r="BF194" s="293"/>
      <c r="BG194" s="293"/>
      <c r="BH194" s="293"/>
      <c r="BI194" s="293"/>
      <c r="BJ194" s="293"/>
      <c r="BK194" s="293"/>
      <c r="BL194" s="293"/>
      <c r="BM194" s="293"/>
      <c r="BN194" s="293"/>
      <c r="BO194" s="293"/>
      <c r="BP194" s="293"/>
      <c r="BQ194" s="293"/>
      <c r="BR194" s="293"/>
      <c r="BS194" s="293"/>
      <c r="BT194" s="293"/>
      <c r="BU194" s="293"/>
      <c r="BV194" s="293"/>
      <c r="BW194" s="293"/>
      <c r="BX194" s="293"/>
      <c r="BY194" s="293"/>
      <c r="BZ194" s="293"/>
      <c r="CA194" s="293"/>
      <c r="CB194" s="293"/>
      <c r="CC194" s="293"/>
      <c r="CD194" s="293"/>
      <c r="CE194" s="293"/>
      <c r="CF194" s="293"/>
      <c r="CG194" s="293"/>
      <c r="CH194" s="293"/>
      <c r="CI194" s="293"/>
      <c r="CJ194" s="293"/>
      <c r="CK194" s="293"/>
      <c r="CL194" s="293"/>
      <c r="CM194" s="293"/>
      <c r="CN194" s="293"/>
      <c r="CO194" s="293"/>
      <c r="CP194" s="293">
        <f t="shared" si="2858"/>
        <v>0</v>
      </c>
    </row>
    <row r="195" spans="1:94" ht="12" customHeight="1">
      <c r="A195" s="679">
        <v>98</v>
      </c>
      <c r="B195" s="645" t="s">
        <v>197</v>
      </c>
      <c r="C195" s="646" t="s">
        <v>737</v>
      </c>
      <c r="D195" s="647" t="s">
        <v>198</v>
      </c>
      <c r="E195" s="648" t="s">
        <v>486</v>
      </c>
      <c r="F195" s="642">
        <v>401.59</v>
      </c>
      <c r="G195" s="642">
        <f>AVERAGE(12,13)</f>
        <v>12.5</v>
      </c>
      <c r="H195" s="643">
        <f>F195*G195*365</f>
        <v>1832254.375</v>
      </c>
      <c r="I195" s="291">
        <v>417754</v>
      </c>
      <c r="J195" s="295">
        <f>K195</f>
        <v>439741</v>
      </c>
      <c r="K195" s="293">
        <f>L195</f>
        <v>439741</v>
      </c>
      <c r="L195" s="295">
        <f>ROUND(12*365*F195/4,0)</f>
        <v>439741</v>
      </c>
      <c r="M195" s="293">
        <f>N195</f>
        <v>476386</v>
      </c>
      <c r="N195" s="293">
        <f>O195</f>
        <v>476386</v>
      </c>
      <c r="O195" s="293">
        <f>P195</f>
        <v>476386</v>
      </c>
      <c r="P195" s="292">
        <f>ROUND(13*F195*365/4,0)</f>
        <v>476386</v>
      </c>
      <c r="Q195" s="293">
        <f>P195</f>
        <v>476386</v>
      </c>
      <c r="R195" s="293">
        <f>ROUND(Q195*(1+取值表!$D$12)*取值表!$I$12,0)</f>
        <v>489969</v>
      </c>
      <c r="S195" s="293">
        <f>R195</f>
        <v>489969</v>
      </c>
      <c r="T195" s="293">
        <f>S195</f>
        <v>489969</v>
      </c>
      <c r="U195" s="293">
        <f>T195</f>
        <v>489969</v>
      </c>
      <c r="V195" s="294">
        <f>ROUND(U195*(1+取值表!$D$10),0)</f>
        <v>535536</v>
      </c>
      <c r="W195" s="293">
        <f t="shared" ref="W195:Y195" si="4251">V195</f>
        <v>535536</v>
      </c>
      <c r="X195" s="293">
        <f t="shared" si="4251"/>
        <v>535536</v>
      </c>
      <c r="Y195" s="293">
        <f t="shared" si="4251"/>
        <v>535536</v>
      </c>
      <c r="Z195" s="295">
        <f>ROUND(Y195*(1+取值表!$D$10),0)</f>
        <v>585341</v>
      </c>
      <c r="AA195" s="293">
        <f t="shared" ref="AA195:AB195" si="4252">Z195</f>
        <v>585341</v>
      </c>
      <c r="AB195" s="293">
        <f t="shared" si="4252"/>
        <v>585341</v>
      </c>
      <c r="AC195" s="293">
        <f>AB195</f>
        <v>585341</v>
      </c>
      <c r="AD195" s="295">
        <f>ROUND(AC195*(1+取值表!$D$10),0)</f>
        <v>639778</v>
      </c>
      <c r="AE195" s="293">
        <f t="shared" ref="AE195:AG195" si="4253">AD195</f>
        <v>639778</v>
      </c>
      <c r="AF195" s="293">
        <f t="shared" si="4253"/>
        <v>639778</v>
      </c>
      <c r="AG195" s="293">
        <f t="shared" si="4253"/>
        <v>639778</v>
      </c>
      <c r="AH195" s="295">
        <f>ROUND(AG195*(1+取值表!$D$10),0)</f>
        <v>699277</v>
      </c>
      <c r="AI195" s="293">
        <f t="shared" ref="AI195" si="4254">AH195</f>
        <v>699277</v>
      </c>
      <c r="AJ195" s="293">
        <f t="shared" ref="AJ195" si="4255">AI195</f>
        <v>699277</v>
      </c>
      <c r="AK195" s="293">
        <f t="shared" ref="AK195" si="4256">AJ195</f>
        <v>699277</v>
      </c>
      <c r="AL195" s="295">
        <f>ROUND(AK195*(1+取值表!$D$10),0)</f>
        <v>764310</v>
      </c>
      <c r="AM195" s="293">
        <f t="shared" ref="AM195" si="4257">AL195</f>
        <v>764310</v>
      </c>
      <c r="AN195" s="293">
        <f t="shared" ref="AN195" si="4258">AM195</f>
        <v>764310</v>
      </c>
      <c r="AO195" s="293">
        <f t="shared" ref="AO195" si="4259">AN195</f>
        <v>764310</v>
      </c>
      <c r="AP195" s="295">
        <f>ROUND(AO195*(1+取值表!$D$10),0)</f>
        <v>835391</v>
      </c>
      <c r="AQ195" s="293">
        <f t="shared" ref="AQ195" si="4260">AP195</f>
        <v>835391</v>
      </c>
      <c r="AR195" s="293">
        <f t="shared" ref="AR195" si="4261">AQ195</f>
        <v>835391</v>
      </c>
      <c r="AS195" s="293">
        <f t="shared" ref="AS195" si="4262">AR195</f>
        <v>835391</v>
      </c>
      <c r="AT195" s="295">
        <f>ROUND(AS195*(1+取值表!$D$10),0)</f>
        <v>913082</v>
      </c>
      <c r="AU195" s="293">
        <f t="shared" ref="AU195" si="4263">AT195</f>
        <v>913082</v>
      </c>
      <c r="AV195" s="293">
        <f t="shared" ref="AV195" si="4264">AU195</f>
        <v>913082</v>
      </c>
      <c r="AW195" s="293">
        <f t="shared" ref="AW195" si="4265">AV195</f>
        <v>913082</v>
      </c>
      <c r="AX195" s="295">
        <f>ROUND(AW195*(1+取值表!$D$10),0)</f>
        <v>997999</v>
      </c>
      <c r="AY195" s="293">
        <f t="shared" ref="AY195" si="4266">AX195</f>
        <v>997999</v>
      </c>
      <c r="AZ195" s="293">
        <f t="shared" ref="AZ195" si="4267">AY195</f>
        <v>997999</v>
      </c>
      <c r="BA195" s="293">
        <f t="shared" ref="BA195" si="4268">AZ195</f>
        <v>997999</v>
      </c>
      <c r="BB195" s="295">
        <f>ROUND(BA195*(1+取值表!$D$10),0)</f>
        <v>1090813</v>
      </c>
      <c r="BC195" s="293">
        <f>BB195</f>
        <v>1090813</v>
      </c>
      <c r="BD195" s="293">
        <f t="shared" ref="BD195" si="4269">BC195</f>
        <v>1090813</v>
      </c>
      <c r="BE195" s="293">
        <f>BD195</f>
        <v>1090813</v>
      </c>
      <c r="BF195" s="295">
        <f>ROUND(BE195*(1+取值表!$D$10),0)</f>
        <v>1192259</v>
      </c>
      <c r="BG195" s="293">
        <f>BF195</f>
        <v>1192259</v>
      </c>
      <c r="BH195" s="293">
        <f t="shared" ref="BH195" si="4270">BG195</f>
        <v>1192259</v>
      </c>
      <c r="BI195" s="293">
        <f t="shared" ref="BI195" si="4271">BH195</f>
        <v>1192259</v>
      </c>
      <c r="BJ195" s="295">
        <f>ROUND(BI195*(1+取值表!$D$10),0)</f>
        <v>1303139</v>
      </c>
      <c r="BK195" s="293">
        <f t="shared" ref="BK195" si="4272">BJ195</f>
        <v>1303139</v>
      </c>
      <c r="BL195" s="293">
        <f t="shared" ref="BL195" si="4273">BK195</f>
        <v>1303139</v>
      </c>
      <c r="BM195" s="293">
        <f t="shared" ref="BM195" si="4274">BL195</f>
        <v>1303139</v>
      </c>
      <c r="BN195" s="295">
        <f>ROUND(BM195*(1+取值表!$D$10),0)</f>
        <v>1424331</v>
      </c>
      <c r="BO195" s="293">
        <f t="shared" ref="BO195" si="4275">BN195</f>
        <v>1424331</v>
      </c>
      <c r="BP195" s="293">
        <f t="shared" ref="BP195" si="4276">BO195</f>
        <v>1424331</v>
      </c>
      <c r="BQ195" s="293">
        <f t="shared" ref="BQ195" si="4277">BP195</f>
        <v>1424331</v>
      </c>
      <c r="BR195" s="295">
        <f>ROUND(BQ195*(1+取值表!$D$10),0)</f>
        <v>1556794</v>
      </c>
      <c r="BS195" s="293">
        <f t="shared" ref="BS195" si="4278">BR195</f>
        <v>1556794</v>
      </c>
      <c r="BT195" s="293">
        <f t="shared" ref="BT195" si="4279">BS195</f>
        <v>1556794</v>
      </c>
      <c r="BU195" s="293">
        <f t="shared" ref="BU195" si="4280">BT195</f>
        <v>1556794</v>
      </c>
      <c r="BV195" s="295">
        <f>ROUND(BU195*(1+取值表!$D$10),0)</f>
        <v>1701576</v>
      </c>
      <c r="BW195" s="293">
        <f t="shared" ref="BW195" si="4281">BV195</f>
        <v>1701576</v>
      </c>
      <c r="BX195" s="293">
        <f t="shared" ref="BX195" si="4282">BW195</f>
        <v>1701576</v>
      </c>
      <c r="BY195" s="293">
        <f t="shared" ref="BY195" si="4283">BX195</f>
        <v>1701576</v>
      </c>
      <c r="BZ195" s="295">
        <f>ROUND(BY195*(1+取值表!$D$10),0)</f>
        <v>1859823</v>
      </c>
      <c r="CA195" s="293">
        <f t="shared" ref="CA195" si="4284">BZ195</f>
        <v>1859823</v>
      </c>
      <c r="CB195" s="293">
        <f t="shared" ref="CB195" si="4285">CA195</f>
        <v>1859823</v>
      </c>
      <c r="CC195" s="293">
        <f t="shared" ref="CC195" si="4286">CB195</f>
        <v>1859823</v>
      </c>
      <c r="CD195" s="295">
        <f>ROUND(CC195*(1+取值表!$D$10),0)</f>
        <v>2032787</v>
      </c>
      <c r="CE195" s="293">
        <f t="shared" ref="CE195" si="4287">CD195</f>
        <v>2032787</v>
      </c>
      <c r="CF195" s="293">
        <f t="shared" ref="CF195" si="4288">CE195</f>
        <v>2032787</v>
      </c>
      <c r="CG195" s="293">
        <f t="shared" ref="CG195" si="4289">CF195</f>
        <v>2032787</v>
      </c>
      <c r="CH195" s="295">
        <f>ROUND(CG195*(1+取值表!$D$10),0)</f>
        <v>2221836</v>
      </c>
      <c r="CI195" s="293">
        <f>CH195</f>
        <v>2221836</v>
      </c>
      <c r="CJ195" s="293">
        <f t="shared" ref="CJ195" si="4290">CI195</f>
        <v>2221836</v>
      </c>
      <c r="CK195" s="293">
        <f t="shared" ref="CK195" si="4291">CJ195</f>
        <v>2221836</v>
      </c>
      <c r="CL195" s="295">
        <f>ROUND(CK195*(1+取值表!$D$10),0)</f>
        <v>2428467</v>
      </c>
      <c r="CM195" s="293">
        <f>CL195</f>
        <v>2428467</v>
      </c>
      <c r="CN195" s="293">
        <f t="shared" ref="CN195" si="4292">CM195</f>
        <v>2428467</v>
      </c>
      <c r="CO195" s="293">
        <f t="shared" ref="CO195" si="4293">CN195</f>
        <v>2428467</v>
      </c>
      <c r="CP195" s="293">
        <f t="shared" ref="CP195:CP258" si="4294">SUM(J195:CO195)</f>
        <v>96791185</v>
      </c>
    </row>
    <row r="196" spans="1:94">
      <c r="A196" s="680"/>
      <c r="B196" s="645"/>
      <c r="C196" s="646"/>
      <c r="D196" s="647"/>
      <c r="E196" s="648"/>
      <c r="F196" s="642"/>
      <c r="G196" s="642"/>
      <c r="H196" s="643"/>
      <c r="I196" s="291"/>
      <c r="J196" s="295"/>
      <c r="K196" s="293"/>
      <c r="L196" s="293"/>
      <c r="M196" s="293"/>
      <c r="N196" s="293"/>
      <c r="O196" s="293"/>
      <c r="P196" s="293"/>
      <c r="Q196" s="293"/>
      <c r="R196" s="293"/>
      <c r="S196" s="293"/>
      <c r="T196" s="293"/>
      <c r="U196" s="293"/>
      <c r="V196" s="293"/>
      <c r="W196" s="293"/>
      <c r="X196" s="293"/>
      <c r="Y196" s="293"/>
      <c r="Z196" s="293"/>
      <c r="AA196" s="293"/>
      <c r="AB196" s="293"/>
      <c r="AC196" s="293"/>
      <c r="AD196" s="295"/>
      <c r="AE196" s="293"/>
      <c r="AF196" s="293"/>
      <c r="AG196" s="293"/>
      <c r="AH196" s="295"/>
      <c r="AI196" s="293"/>
      <c r="AJ196" s="293"/>
      <c r="AK196" s="293"/>
      <c r="AL196" s="295"/>
      <c r="AM196" s="293"/>
      <c r="AN196" s="293"/>
      <c r="AO196" s="293"/>
      <c r="AP196" s="295"/>
      <c r="AQ196" s="293"/>
      <c r="AR196" s="293"/>
      <c r="AS196" s="293"/>
      <c r="AT196" s="295"/>
      <c r="AU196" s="293"/>
      <c r="AV196" s="293"/>
      <c r="AW196" s="293"/>
      <c r="AX196" s="295"/>
      <c r="AY196" s="293"/>
      <c r="AZ196" s="293"/>
      <c r="BA196" s="293"/>
      <c r="BB196" s="295"/>
      <c r="BC196" s="293"/>
      <c r="BD196" s="293"/>
      <c r="BE196" s="293"/>
      <c r="BF196" s="295"/>
      <c r="BG196" s="293"/>
      <c r="BH196" s="293"/>
      <c r="BI196" s="293"/>
      <c r="BJ196" s="295"/>
      <c r="BK196" s="293"/>
      <c r="BL196" s="293"/>
      <c r="BM196" s="293"/>
      <c r="BN196" s="295"/>
      <c r="BO196" s="293"/>
      <c r="BP196" s="293"/>
      <c r="BQ196" s="293"/>
      <c r="BR196" s="295"/>
      <c r="BS196" s="293"/>
      <c r="BT196" s="293"/>
      <c r="BU196" s="293"/>
      <c r="BV196" s="295"/>
      <c r="BW196" s="293"/>
      <c r="BX196" s="293"/>
      <c r="BY196" s="293"/>
      <c r="BZ196" s="295"/>
      <c r="CA196" s="293"/>
      <c r="CB196" s="293"/>
      <c r="CC196" s="293"/>
      <c r="CD196" s="295"/>
      <c r="CE196" s="293"/>
      <c r="CF196" s="293"/>
      <c r="CG196" s="293"/>
      <c r="CH196" s="295"/>
      <c r="CI196" s="293"/>
      <c r="CJ196" s="293"/>
      <c r="CK196" s="293"/>
      <c r="CL196" s="295"/>
      <c r="CM196" s="293"/>
      <c r="CN196" s="293"/>
      <c r="CO196" s="293"/>
      <c r="CP196" s="293">
        <f t="shared" si="4294"/>
        <v>0</v>
      </c>
    </row>
    <row r="197" spans="1:94">
      <c r="A197" s="679">
        <v>99</v>
      </c>
      <c r="B197" s="645" t="s">
        <v>199</v>
      </c>
      <c r="C197" s="646" t="s">
        <v>200</v>
      </c>
      <c r="D197" s="647" t="s">
        <v>488</v>
      </c>
      <c r="E197" s="648" t="s">
        <v>486</v>
      </c>
      <c r="F197" s="642">
        <v>17.79</v>
      </c>
      <c r="G197" s="642">
        <v>32.5</v>
      </c>
      <c r="H197" s="643">
        <f>F197*G197*365</f>
        <v>211033.87499999997</v>
      </c>
      <c r="I197" s="291">
        <v>52758.48</v>
      </c>
      <c r="J197" s="292">
        <f>ROUND(F197*G197*365/4,0)</f>
        <v>52758</v>
      </c>
      <c r="K197" s="293">
        <f>J197</f>
        <v>52758</v>
      </c>
      <c r="L197" s="293">
        <f>K197</f>
        <v>52758</v>
      </c>
      <c r="M197" s="293">
        <f>L197</f>
        <v>52758</v>
      </c>
      <c r="N197" s="293">
        <f>ROUND(M197*(1+取值表!$D$12)*取值表!$I$12,0)</f>
        <v>54262</v>
      </c>
      <c r="O197" s="293">
        <f>N197</f>
        <v>54262</v>
      </c>
      <c r="P197" s="293">
        <f>O197</f>
        <v>54262</v>
      </c>
      <c r="Q197" s="293">
        <f>P197</f>
        <v>54262</v>
      </c>
      <c r="R197" s="294">
        <f>ROUND(Q197*(1+取值表!$D$10),0)</f>
        <v>59308</v>
      </c>
      <c r="S197" s="293">
        <f t="shared" ref="S197:T197" si="4295">R197</f>
        <v>59308</v>
      </c>
      <c r="T197" s="293">
        <f t="shared" si="4295"/>
        <v>59308</v>
      </c>
      <c r="U197" s="293">
        <f>T197</f>
        <v>59308</v>
      </c>
      <c r="V197" s="295">
        <f>ROUND(U197*(1+取值表!$D$10),0)</f>
        <v>64824</v>
      </c>
      <c r="W197" s="293">
        <f t="shared" ref="W197:Y197" si="4296">V197</f>
        <v>64824</v>
      </c>
      <c r="X197" s="293">
        <f t="shared" si="4296"/>
        <v>64824</v>
      </c>
      <c r="Y197" s="293">
        <f t="shared" si="4296"/>
        <v>64824</v>
      </c>
      <c r="Z197" s="295">
        <f>ROUND(Y197*(1+取值表!$D$10),0)</f>
        <v>70853</v>
      </c>
      <c r="AA197" s="293">
        <f t="shared" ref="AA197" si="4297">Z197</f>
        <v>70853</v>
      </c>
      <c r="AB197" s="293">
        <f t="shared" ref="AB197" si="4298">AA197</f>
        <v>70853</v>
      </c>
      <c r="AC197" s="293">
        <f>AB197</f>
        <v>70853</v>
      </c>
      <c r="AD197" s="295">
        <f>ROUND(AC197*(1+取值表!$D$10),0)</f>
        <v>77442</v>
      </c>
      <c r="AE197" s="293">
        <f t="shared" ref="AE197" si="4299">AD197</f>
        <v>77442</v>
      </c>
      <c r="AF197" s="293">
        <f t="shared" ref="AF197" si="4300">AE197</f>
        <v>77442</v>
      </c>
      <c r="AG197" s="293">
        <f t="shared" ref="AG197" si="4301">AF197</f>
        <v>77442</v>
      </c>
      <c r="AH197" s="295">
        <f>ROUND(AG197*(1+取值表!$D$10),0)</f>
        <v>84644</v>
      </c>
      <c r="AI197" s="293">
        <f t="shared" ref="AI197" si="4302">AH197</f>
        <v>84644</v>
      </c>
      <c r="AJ197" s="293">
        <f t="shared" ref="AJ197" si="4303">AI197</f>
        <v>84644</v>
      </c>
      <c r="AK197" s="293">
        <f t="shared" ref="AK197" si="4304">AJ197</f>
        <v>84644</v>
      </c>
      <c r="AL197" s="295">
        <f>ROUND(AK197*(1+取值表!$D$10),0)</f>
        <v>92516</v>
      </c>
      <c r="AM197" s="293">
        <f t="shared" ref="AM197" si="4305">AL197</f>
        <v>92516</v>
      </c>
      <c r="AN197" s="293">
        <f t="shared" ref="AN197" si="4306">AM197</f>
        <v>92516</v>
      </c>
      <c r="AO197" s="293">
        <f t="shared" ref="AO197" si="4307">AN197</f>
        <v>92516</v>
      </c>
      <c r="AP197" s="295">
        <f>ROUND(AO197*(1+取值表!$D$10),0)</f>
        <v>101120</v>
      </c>
      <c r="AQ197" s="293">
        <f t="shared" ref="AQ197" si="4308">AP197</f>
        <v>101120</v>
      </c>
      <c r="AR197" s="293">
        <f t="shared" ref="AR197" si="4309">AQ197</f>
        <v>101120</v>
      </c>
      <c r="AS197" s="293">
        <f t="shared" ref="AS197" si="4310">AR197</f>
        <v>101120</v>
      </c>
      <c r="AT197" s="295">
        <f>ROUND(AS197*(1+取值表!$D$10),0)</f>
        <v>110524</v>
      </c>
      <c r="AU197" s="293">
        <f t="shared" ref="AU197" si="4311">AT197</f>
        <v>110524</v>
      </c>
      <c r="AV197" s="293">
        <f t="shared" ref="AV197" si="4312">AU197</f>
        <v>110524</v>
      </c>
      <c r="AW197" s="293">
        <f t="shared" ref="AW197" si="4313">AV197</f>
        <v>110524</v>
      </c>
      <c r="AX197" s="295">
        <f>ROUND(AW197*(1+取值表!$D$10),0)</f>
        <v>120803</v>
      </c>
      <c r="AY197" s="293">
        <f t="shared" ref="AY197" si="4314">AX197</f>
        <v>120803</v>
      </c>
      <c r="AZ197" s="293">
        <f t="shared" ref="AZ197" si="4315">AY197</f>
        <v>120803</v>
      </c>
      <c r="BA197" s="293">
        <f t="shared" ref="BA197" si="4316">AZ197</f>
        <v>120803</v>
      </c>
      <c r="BB197" s="295">
        <f>ROUND(BA197*(1+取值表!$D$10),0)</f>
        <v>132038</v>
      </c>
      <c r="BC197" s="293">
        <f>BB197</f>
        <v>132038</v>
      </c>
      <c r="BD197" s="293">
        <f t="shared" ref="BD197" si="4317">BC197</f>
        <v>132038</v>
      </c>
      <c r="BE197" s="293">
        <f>BD197</f>
        <v>132038</v>
      </c>
      <c r="BF197" s="295">
        <f>ROUND(BE197*(1+取值表!$D$10),0)</f>
        <v>144318</v>
      </c>
      <c r="BG197" s="293">
        <f>BF197</f>
        <v>144318</v>
      </c>
      <c r="BH197" s="293">
        <f t="shared" ref="BH197" si="4318">BG197</f>
        <v>144318</v>
      </c>
      <c r="BI197" s="293">
        <f t="shared" ref="BI197" si="4319">BH197</f>
        <v>144318</v>
      </c>
      <c r="BJ197" s="295">
        <f>ROUND(BI197*(1+取值表!$D$10),0)</f>
        <v>157740</v>
      </c>
      <c r="BK197" s="293">
        <f t="shared" ref="BK197" si="4320">BJ197</f>
        <v>157740</v>
      </c>
      <c r="BL197" s="293">
        <f t="shared" ref="BL197" si="4321">BK197</f>
        <v>157740</v>
      </c>
      <c r="BM197" s="293">
        <f t="shared" ref="BM197" si="4322">BL197</f>
        <v>157740</v>
      </c>
      <c r="BN197" s="295">
        <f>ROUND(BM197*(1+取值表!$D$10),0)</f>
        <v>172410</v>
      </c>
      <c r="BO197" s="293">
        <f t="shared" ref="BO197" si="4323">BN197</f>
        <v>172410</v>
      </c>
      <c r="BP197" s="293">
        <f t="shared" ref="BP197" si="4324">BO197</f>
        <v>172410</v>
      </c>
      <c r="BQ197" s="293">
        <f t="shared" ref="BQ197" si="4325">BP197</f>
        <v>172410</v>
      </c>
      <c r="BR197" s="295">
        <f>ROUND(BQ197*(1+取值表!$D$10),0)</f>
        <v>188444</v>
      </c>
      <c r="BS197" s="293">
        <f t="shared" ref="BS197" si="4326">BR197</f>
        <v>188444</v>
      </c>
      <c r="BT197" s="293">
        <f t="shared" ref="BT197" si="4327">BS197</f>
        <v>188444</v>
      </c>
      <c r="BU197" s="293">
        <f t="shared" ref="BU197" si="4328">BT197</f>
        <v>188444</v>
      </c>
      <c r="BV197" s="295">
        <f>ROUND(BU197*(1+取值表!$D$10),0)</f>
        <v>205969</v>
      </c>
      <c r="BW197" s="293">
        <f t="shared" ref="BW197" si="4329">BV197</f>
        <v>205969</v>
      </c>
      <c r="BX197" s="293">
        <f t="shared" ref="BX197" si="4330">BW197</f>
        <v>205969</v>
      </c>
      <c r="BY197" s="293">
        <f t="shared" ref="BY197" si="4331">BX197</f>
        <v>205969</v>
      </c>
      <c r="BZ197" s="295">
        <f>ROUND(BY197*(1+取值表!$D$10),0)</f>
        <v>225124</v>
      </c>
      <c r="CA197" s="293">
        <f t="shared" ref="CA197" si="4332">BZ197</f>
        <v>225124</v>
      </c>
      <c r="CB197" s="293">
        <f t="shared" ref="CB197" si="4333">CA197</f>
        <v>225124</v>
      </c>
      <c r="CC197" s="293">
        <f t="shared" ref="CC197" si="4334">CB197</f>
        <v>225124</v>
      </c>
      <c r="CD197" s="295">
        <f>ROUND(CC197*(1+取值表!$D$10),0)</f>
        <v>246061</v>
      </c>
      <c r="CE197" s="293">
        <f t="shared" ref="CE197" si="4335">CD197</f>
        <v>246061</v>
      </c>
      <c r="CF197" s="293">
        <f t="shared" ref="CF197" si="4336">CE197</f>
        <v>246061</v>
      </c>
      <c r="CG197" s="293">
        <f t="shared" ref="CG197" si="4337">CF197</f>
        <v>246061</v>
      </c>
      <c r="CH197" s="295">
        <f>ROUND(CG197*(1+取值表!$D$10),0)</f>
        <v>268945</v>
      </c>
      <c r="CI197" s="293">
        <f>CH197</f>
        <v>268945</v>
      </c>
      <c r="CJ197" s="293">
        <f t="shared" ref="CJ197" si="4338">CI197</f>
        <v>268945</v>
      </c>
      <c r="CK197" s="293">
        <f t="shared" ref="CK197" si="4339">CJ197</f>
        <v>268945</v>
      </c>
      <c r="CL197" s="295">
        <f>ROUND(CK197*(1+取值表!$D$10),0)</f>
        <v>293957</v>
      </c>
      <c r="CM197" s="293">
        <f>CL197</f>
        <v>293957</v>
      </c>
      <c r="CN197" s="293">
        <f t="shared" ref="CN197" si="4340">CM197</f>
        <v>293957</v>
      </c>
      <c r="CO197" s="293">
        <f t="shared" ref="CO197" si="4341">CN197</f>
        <v>293957</v>
      </c>
      <c r="CP197" s="293">
        <f t="shared" si="4294"/>
        <v>11696240</v>
      </c>
    </row>
    <row r="198" spans="1:94">
      <c r="A198" s="680"/>
      <c r="B198" s="645"/>
      <c r="C198" s="646"/>
      <c r="D198" s="647"/>
      <c r="E198" s="648"/>
      <c r="F198" s="642"/>
      <c r="G198" s="642"/>
      <c r="H198" s="643"/>
      <c r="I198" s="291"/>
      <c r="J198" s="295"/>
      <c r="K198" s="293"/>
      <c r="L198" s="293"/>
      <c r="M198" s="293"/>
      <c r="N198" s="293"/>
      <c r="O198" s="293"/>
      <c r="P198" s="293"/>
      <c r="Q198" s="293"/>
      <c r="R198" s="293"/>
      <c r="S198" s="293"/>
      <c r="T198" s="293"/>
      <c r="U198" s="293"/>
      <c r="V198" s="293"/>
      <c r="W198" s="293"/>
      <c r="X198" s="293"/>
      <c r="Y198" s="293"/>
      <c r="Z198" s="293"/>
      <c r="AA198" s="293"/>
      <c r="AB198" s="293"/>
      <c r="AC198" s="293"/>
      <c r="AD198" s="293"/>
      <c r="AE198" s="293"/>
      <c r="AF198" s="293"/>
      <c r="AG198" s="293"/>
      <c r="AH198" s="293"/>
      <c r="AI198" s="293"/>
      <c r="AJ198" s="293"/>
      <c r="AK198" s="293"/>
      <c r="AL198" s="293"/>
      <c r="AM198" s="293"/>
      <c r="AN198" s="293"/>
      <c r="AO198" s="293"/>
      <c r="AP198" s="293"/>
      <c r="AQ198" s="293"/>
      <c r="AR198" s="293"/>
      <c r="AS198" s="293"/>
      <c r="AT198" s="293"/>
      <c r="AU198" s="293"/>
      <c r="AV198" s="293"/>
      <c r="AW198" s="293"/>
      <c r="AX198" s="293"/>
      <c r="AY198" s="293"/>
      <c r="AZ198" s="293"/>
      <c r="BA198" s="293"/>
      <c r="BB198" s="293"/>
      <c r="BC198" s="293"/>
      <c r="BD198" s="293"/>
      <c r="BE198" s="293"/>
      <c r="BF198" s="293"/>
      <c r="BG198" s="293"/>
      <c r="BH198" s="293"/>
      <c r="BI198" s="293"/>
      <c r="BJ198" s="293"/>
      <c r="BK198" s="293"/>
      <c r="BL198" s="293"/>
      <c r="BM198" s="293"/>
      <c r="BN198" s="293"/>
      <c r="BO198" s="293"/>
      <c r="BP198" s="293"/>
      <c r="BQ198" s="293"/>
      <c r="BR198" s="293"/>
      <c r="BS198" s="293"/>
      <c r="BT198" s="293"/>
      <c r="BU198" s="293"/>
      <c r="BV198" s="293"/>
      <c r="BW198" s="293"/>
      <c r="BX198" s="293"/>
      <c r="BY198" s="293"/>
      <c r="BZ198" s="293"/>
      <c r="CA198" s="293"/>
      <c r="CB198" s="293"/>
      <c r="CC198" s="293"/>
      <c r="CD198" s="293"/>
      <c r="CE198" s="293"/>
      <c r="CF198" s="293"/>
      <c r="CG198" s="293"/>
      <c r="CH198" s="293"/>
      <c r="CI198" s="293"/>
      <c r="CJ198" s="293"/>
      <c r="CK198" s="293"/>
      <c r="CL198" s="293"/>
      <c r="CM198" s="293"/>
      <c r="CN198" s="293"/>
      <c r="CO198" s="293"/>
      <c r="CP198" s="293">
        <f t="shared" si="4294"/>
        <v>0</v>
      </c>
    </row>
    <row r="199" spans="1:94">
      <c r="A199" s="679">
        <v>100</v>
      </c>
      <c r="B199" s="645" t="s">
        <v>201</v>
      </c>
      <c r="C199" s="646" t="s">
        <v>202</v>
      </c>
      <c r="D199" s="647" t="s">
        <v>489</v>
      </c>
      <c r="E199" s="648" t="s">
        <v>486</v>
      </c>
      <c r="F199" s="642">
        <v>64.930000000000007</v>
      </c>
      <c r="G199" s="642">
        <v>22</v>
      </c>
      <c r="H199" s="643">
        <f>F199*G199*365</f>
        <v>521387.9</v>
      </c>
      <c r="I199" s="291">
        <v>127384.54</v>
      </c>
      <c r="J199" s="295">
        <f>ROUND(F199*G199*365/4,0)</f>
        <v>130347</v>
      </c>
      <c r="K199" s="292">
        <f>J199</f>
        <v>130347</v>
      </c>
      <c r="L199" s="293">
        <f>K199</f>
        <v>130347</v>
      </c>
      <c r="M199" s="293">
        <f>L199</f>
        <v>130347</v>
      </c>
      <c r="N199" s="293">
        <f>ROUND(M199*(1+取值表!$D$12)*取值表!$I$12,0)</f>
        <v>134064</v>
      </c>
      <c r="O199" s="293">
        <f>N199</f>
        <v>134064</v>
      </c>
      <c r="P199" s="293">
        <f>O199</f>
        <v>134064</v>
      </c>
      <c r="Q199" s="295">
        <f>P199</f>
        <v>134064</v>
      </c>
      <c r="R199" s="294">
        <f>ROUND(Q199*(1+取值表!$D$10),0)</f>
        <v>146532</v>
      </c>
      <c r="S199" s="293">
        <f t="shared" ref="S199:T199" si="4342">R199</f>
        <v>146532</v>
      </c>
      <c r="T199" s="293">
        <f t="shared" si="4342"/>
        <v>146532</v>
      </c>
      <c r="U199" s="295">
        <f>T199</f>
        <v>146532</v>
      </c>
      <c r="V199" s="295">
        <f>ROUND(U199*(1+取值表!$D$10),0)</f>
        <v>160159</v>
      </c>
      <c r="W199" s="293">
        <f t="shared" ref="W199:Y199" si="4343">V199</f>
        <v>160159</v>
      </c>
      <c r="X199" s="293">
        <f t="shared" si="4343"/>
        <v>160159</v>
      </c>
      <c r="Y199" s="295">
        <f t="shared" si="4343"/>
        <v>160159</v>
      </c>
      <c r="Z199" s="295">
        <f>ROUND(Y199*(1+取值表!$D$10),0)</f>
        <v>175054</v>
      </c>
      <c r="AA199" s="293">
        <f t="shared" ref="AA199" si="4344">Z199</f>
        <v>175054</v>
      </c>
      <c r="AB199" s="293">
        <f t="shared" ref="AB199" si="4345">AA199</f>
        <v>175054</v>
      </c>
      <c r="AC199" s="295">
        <f>AB199</f>
        <v>175054</v>
      </c>
      <c r="AD199" s="295">
        <f>ROUND(AC199*(1+取值表!$D$10),0)</f>
        <v>191334</v>
      </c>
      <c r="AE199" s="293">
        <f t="shared" ref="AE199" si="4346">AD199</f>
        <v>191334</v>
      </c>
      <c r="AF199" s="293">
        <f t="shared" ref="AF199" si="4347">AE199</f>
        <v>191334</v>
      </c>
      <c r="AG199" s="295">
        <f t="shared" ref="AG199" si="4348">AF199</f>
        <v>191334</v>
      </c>
      <c r="AH199" s="295">
        <f>ROUND(AG199*(1+取值表!$D$10),0)</f>
        <v>209128</v>
      </c>
      <c r="AI199" s="293">
        <f t="shared" ref="AI199" si="4349">AH199</f>
        <v>209128</v>
      </c>
      <c r="AJ199" s="293">
        <f t="shared" ref="AJ199" si="4350">AI199</f>
        <v>209128</v>
      </c>
      <c r="AK199" s="295">
        <f t="shared" ref="AK199" si="4351">AJ199</f>
        <v>209128</v>
      </c>
      <c r="AL199" s="295">
        <f>ROUND(AK199*(1+取值表!$D$10),0)</f>
        <v>228577</v>
      </c>
      <c r="AM199" s="293">
        <f t="shared" ref="AM199" si="4352">AL199</f>
        <v>228577</v>
      </c>
      <c r="AN199" s="293">
        <f t="shared" ref="AN199" si="4353">AM199</f>
        <v>228577</v>
      </c>
      <c r="AO199" s="295">
        <f t="shared" ref="AO199" si="4354">AN199</f>
        <v>228577</v>
      </c>
      <c r="AP199" s="295">
        <f>ROUND(AO199*(1+取值表!$D$10),0)</f>
        <v>249835</v>
      </c>
      <c r="AQ199" s="293">
        <f t="shared" ref="AQ199" si="4355">AP199</f>
        <v>249835</v>
      </c>
      <c r="AR199" s="293">
        <f t="shared" ref="AR199" si="4356">AQ199</f>
        <v>249835</v>
      </c>
      <c r="AS199" s="295">
        <f t="shared" ref="AS199" si="4357">AR199</f>
        <v>249835</v>
      </c>
      <c r="AT199" s="295">
        <f>ROUND(AS199*(1+取值表!$D$10),0)</f>
        <v>273070</v>
      </c>
      <c r="AU199" s="293">
        <f t="shared" ref="AU199" si="4358">AT199</f>
        <v>273070</v>
      </c>
      <c r="AV199" s="293">
        <f t="shared" ref="AV199" si="4359">AU199</f>
        <v>273070</v>
      </c>
      <c r="AW199" s="295">
        <f t="shared" ref="AW199" si="4360">AV199</f>
        <v>273070</v>
      </c>
      <c r="AX199" s="295">
        <f>ROUND(AW199*(1+取值表!$D$10),0)</f>
        <v>298466</v>
      </c>
      <c r="AY199" s="293">
        <f t="shared" ref="AY199" si="4361">AX199</f>
        <v>298466</v>
      </c>
      <c r="AZ199" s="293">
        <f t="shared" ref="AZ199" si="4362">AY199</f>
        <v>298466</v>
      </c>
      <c r="BA199" s="295">
        <f t="shared" ref="BA199" si="4363">AZ199</f>
        <v>298466</v>
      </c>
      <c r="BB199" s="295">
        <f>ROUND(BA199*(1+取值表!$D$10),0)</f>
        <v>326223</v>
      </c>
      <c r="BC199" s="293">
        <f>BB199</f>
        <v>326223</v>
      </c>
      <c r="BD199" s="293">
        <f t="shared" ref="BD199" si="4364">BC199</f>
        <v>326223</v>
      </c>
      <c r="BE199" s="295">
        <f>BD199</f>
        <v>326223</v>
      </c>
      <c r="BF199" s="295">
        <f>ROUND(BE199*(1+取值表!$D$10),0)</f>
        <v>356562</v>
      </c>
      <c r="BG199" s="293">
        <f>BF199</f>
        <v>356562</v>
      </c>
      <c r="BH199" s="293">
        <f t="shared" ref="BH199" si="4365">BG199</f>
        <v>356562</v>
      </c>
      <c r="BI199" s="295">
        <f t="shared" ref="BI199" si="4366">BH199</f>
        <v>356562</v>
      </c>
      <c r="BJ199" s="295">
        <f>ROUND(BI199*(1+取值表!$D$10),0)</f>
        <v>389722</v>
      </c>
      <c r="BK199" s="293">
        <f t="shared" ref="BK199" si="4367">BJ199</f>
        <v>389722</v>
      </c>
      <c r="BL199" s="293">
        <f t="shared" ref="BL199" si="4368">BK199</f>
        <v>389722</v>
      </c>
      <c r="BM199" s="295">
        <f t="shared" ref="BM199" si="4369">BL199</f>
        <v>389722</v>
      </c>
      <c r="BN199" s="295">
        <f>ROUND(BM199*(1+取值表!$D$10),0)</f>
        <v>425966</v>
      </c>
      <c r="BO199" s="293">
        <f t="shared" ref="BO199" si="4370">BN199</f>
        <v>425966</v>
      </c>
      <c r="BP199" s="293">
        <f t="shared" ref="BP199" si="4371">BO199</f>
        <v>425966</v>
      </c>
      <c r="BQ199" s="295">
        <f t="shared" ref="BQ199" si="4372">BP199</f>
        <v>425966</v>
      </c>
      <c r="BR199" s="295">
        <f>ROUND(BQ199*(1+取值表!$D$10),0)</f>
        <v>465581</v>
      </c>
      <c r="BS199" s="293">
        <f t="shared" ref="BS199" si="4373">BR199</f>
        <v>465581</v>
      </c>
      <c r="BT199" s="293">
        <f t="shared" ref="BT199" si="4374">BS199</f>
        <v>465581</v>
      </c>
      <c r="BU199" s="295">
        <f t="shared" ref="BU199" si="4375">BT199</f>
        <v>465581</v>
      </c>
      <c r="BV199" s="295">
        <f>ROUND(BU199*(1+取值表!$D$10),0)</f>
        <v>508880</v>
      </c>
      <c r="BW199" s="293">
        <f t="shared" ref="BW199" si="4376">BV199</f>
        <v>508880</v>
      </c>
      <c r="BX199" s="293">
        <f t="shared" ref="BX199" si="4377">BW199</f>
        <v>508880</v>
      </c>
      <c r="BY199" s="295">
        <f t="shared" ref="BY199" si="4378">BX199</f>
        <v>508880</v>
      </c>
      <c r="BZ199" s="295">
        <f>ROUND(BY199*(1+取值表!$D$10),0)</f>
        <v>556206</v>
      </c>
      <c r="CA199" s="293">
        <f t="shared" ref="CA199" si="4379">BZ199</f>
        <v>556206</v>
      </c>
      <c r="CB199" s="293">
        <f t="shared" ref="CB199" si="4380">CA199</f>
        <v>556206</v>
      </c>
      <c r="CC199" s="295">
        <f t="shared" ref="CC199" si="4381">CB199</f>
        <v>556206</v>
      </c>
      <c r="CD199" s="295">
        <f>ROUND(CC199*(1+取值表!$D$10),0)</f>
        <v>607933</v>
      </c>
      <c r="CE199" s="293">
        <f t="shared" ref="CE199" si="4382">CD199</f>
        <v>607933</v>
      </c>
      <c r="CF199" s="293">
        <f t="shared" ref="CF199" si="4383">CE199</f>
        <v>607933</v>
      </c>
      <c r="CG199" s="295">
        <f t="shared" ref="CG199" si="4384">CF199</f>
        <v>607933</v>
      </c>
      <c r="CH199" s="295">
        <f>ROUND(CG199*(1+取值表!$D$10),0)</f>
        <v>664471</v>
      </c>
      <c r="CI199" s="293">
        <f>CH199</f>
        <v>664471</v>
      </c>
      <c r="CJ199" s="293">
        <f t="shared" ref="CJ199" si="4385">CI199</f>
        <v>664471</v>
      </c>
      <c r="CK199" s="295">
        <f t="shared" ref="CK199" si="4386">CJ199</f>
        <v>664471</v>
      </c>
      <c r="CL199" s="295">
        <f>ROUND(CK199*(1+取值表!$D$10),0)</f>
        <v>726267</v>
      </c>
      <c r="CM199" s="293">
        <f>CL199</f>
        <v>726267</v>
      </c>
      <c r="CN199" s="293">
        <f t="shared" ref="CN199" si="4387">CM199</f>
        <v>726267</v>
      </c>
      <c r="CO199" s="295">
        <f t="shared" ref="CO199" si="4388">CN199</f>
        <v>726267</v>
      </c>
      <c r="CP199" s="293">
        <f t="shared" si="4294"/>
        <v>28897508</v>
      </c>
    </row>
    <row r="200" spans="1:94">
      <c r="A200" s="680"/>
      <c r="B200" s="645"/>
      <c r="C200" s="646"/>
      <c r="D200" s="647"/>
      <c r="E200" s="648"/>
      <c r="F200" s="642"/>
      <c r="G200" s="642"/>
      <c r="H200" s="643"/>
      <c r="I200" s="291">
        <v>0</v>
      </c>
      <c r="J200" s="295"/>
      <c r="K200" s="293"/>
      <c r="L200" s="293"/>
      <c r="M200" s="293"/>
      <c r="N200" s="293"/>
      <c r="O200" s="293"/>
      <c r="P200" s="293"/>
      <c r="Q200" s="293"/>
      <c r="R200" s="293"/>
      <c r="S200" s="293"/>
      <c r="T200" s="293"/>
      <c r="U200" s="293"/>
      <c r="V200" s="293"/>
      <c r="W200" s="293"/>
      <c r="X200" s="293"/>
      <c r="Y200" s="293"/>
      <c r="Z200" s="293"/>
      <c r="AA200" s="293"/>
      <c r="AB200" s="293"/>
      <c r="AC200" s="293"/>
      <c r="AD200" s="293"/>
      <c r="AE200" s="293"/>
      <c r="AF200" s="293"/>
      <c r="AG200" s="293"/>
      <c r="AH200" s="293"/>
      <c r="AI200" s="293"/>
      <c r="AJ200" s="293"/>
      <c r="AK200" s="293"/>
      <c r="AL200" s="293"/>
      <c r="AM200" s="293"/>
      <c r="AN200" s="293"/>
      <c r="AO200" s="293"/>
      <c r="AP200" s="293"/>
      <c r="AQ200" s="293"/>
      <c r="AR200" s="293"/>
      <c r="AS200" s="293"/>
      <c r="AT200" s="293"/>
      <c r="AU200" s="293"/>
      <c r="AV200" s="293"/>
      <c r="AW200" s="293"/>
      <c r="AX200" s="293"/>
      <c r="AY200" s="293"/>
      <c r="AZ200" s="293"/>
      <c r="BA200" s="293"/>
      <c r="BB200" s="293"/>
      <c r="BC200" s="293"/>
      <c r="BD200" s="293"/>
      <c r="BE200" s="293"/>
      <c r="BF200" s="293"/>
      <c r="BG200" s="293"/>
      <c r="BH200" s="293"/>
      <c r="BI200" s="293"/>
      <c r="BJ200" s="293"/>
      <c r="BK200" s="293"/>
      <c r="BL200" s="293"/>
      <c r="BM200" s="293"/>
      <c r="BN200" s="293"/>
      <c r="BO200" s="293"/>
      <c r="BP200" s="293"/>
      <c r="BQ200" s="293"/>
      <c r="BR200" s="293"/>
      <c r="BS200" s="293"/>
      <c r="BT200" s="293"/>
      <c r="BU200" s="293"/>
      <c r="BV200" s="293"/>
      <c r="BW200" s="293"/>
      <c r="BX200" s="293"/>
      <c r="BY200" s="293"/>
      <c r="BZ200" s="293"/>
      <c r="CA200" s="293"/>
      <c r="CB200" s="293"/>
      <c r="CC200" s="293"/>
      <c r="CD200" s="293"/>
      <c r="CE200" s="293"/>
      <c r="CF200" s="293"/>
      <c r="CG200" s="293"/>
      <c r="CH200" s="293"/>
      <c r="CI200" s="293"/>
      <c r="CJ200" s="293"/>
      <c r="CK200" s="293"/>
      <c r="CL200" s="293"/>
      <c r="CM200" s="293"/>
      <c r="CN200" s="293"/>
      <c r="CO200" s="293"/>
      <c r="CP200" s="293">
        <f t="shared" si="4294"/>
        <v>0</v>
      </c>
    </row>
    <row r="201" spans="1:94" ht="12" customHeight="1">
      <c r="A201" s="679">
        <v>101</v>
      </c>
      <c r="B201" s="645" t="s">
        <v>203</v>
      </c>
      <c r="C201" s="646" t="s">
        <v>738</v>
      </c>
      <c r="D201" s="647" t="s">
        <v>490</v>
      </c>
      <c r="E201" s="648" t="s">
        <v>486</v>
      </c>
      <c r="F201" s="642">
        <v>189</v>
      </c>
      <c r="G201" s="642">
        <v>18.5</v>
      </c>
      <c r="H201" s="643">
        <f>F201*G201*365</f>
        <v>1276222.5</v>
      </c>
      <c r="I201" s="291">
        <v>310432.5</v>
      </c>
      <c r="J201" s="295">
        <f>ROUND(F201*G201*365/4,0)</f>
        <v>319056</v>
      </c>
      <c r="K201" s="293">
        <f t="shared" ref="K201:N201" si="4389">J201</f>
        <v>319056</v>
      </c>
      <c r="L201" s="293">
        <f t="shared" si="4389"/>
        <v>319056</v>
      </c>
      <c r="M201" s="293">
        <f t="shared" si="4389"/>
        <v>319056</v>
      </c>
      <c r="N201" s="293">
        <f t="shared" si="4389"/>
        <v>319056</v>
      </c>
      <c r="O201" s="292">
        <f>N201</f>
        <v>319056</v>
      </c>
      <c r="P201" s="293">
        <f>O201</f>
        <v>319056</v>
      </c>
      <c r="Q201" s="293">
        <f>P201</f>
        <v>319056</v>
      </c>
      <c r="R201" s="293">
        <f>ROUND(Q201*(1+取值表!$D$12)*取值表!$I$12,0)</f>
        <v>328153</v>
      </c>
      <c r="S201" s="293">
        <f>R201</f>
        <v>328153</v>
      </c>
      <c r="T201" s="293">
        <f>S201</f>
        <v>328153</v>
      </c>
      <c r="U201" s="293">
        <f>T201</f>
        <v>328153</v>
      </c>
      <c r="V201" s="294">
        <f>ROUND(U201*(1+取值表!$D$10),0)</f>
        <v>358671</v>
      </c>
      <c r="W201" s="293">
        <f t="shared" ref="W201:Y201" si="4390">V201</f>
        <v>358671</v>
      </c>
      <c r="X201" s="293">
        <f t="shared" si="4390"/>
        <v>358671</v>
      </c>
      <c r="Y201" s="293">
        <f t="shared" si="4390"/>
        <v>358671</v>
      </c>
      <c r="Z201" s="295">
        <f>ROUND(Y201*(1+取值表!$D$10),0)</f>
        <v>392027</v>
      </c>
      <c r="AA201" s="293">
        <f t="shared" ref="AA201:AB201" si="4391">Z201</f>
        <v>392027</v>
      </c>
      <c r="AB201" s="293">
        <f t="shared" si="4391"/>
        <v>392027</v>
      </c>
      <c r="AC201" s="293">
        <f>AB201</f>
        <v>392027</v>
      </c>
      <c r="AD201" s="295">
        <f>ROUND(AC201*(1+取值表!$D$10),0)</f>
        <v>428486</v>
      </c>
      <c r="AE201" s="293">
        <f t="shared" ref="AE201" si="4392">AD201</f>
        <v>428486</v>
      </c>
      <c r="AF201" s="293">
        <f t="shared" ref="AF201" si="4393">AE201</f>
        <v>428486</v>
      </c>
      <c r="AG201" s="293">
        <f t="shared" ref="AG201" si="4394">AF201</f>
        <v>428486</v>
      </c>
      <c r="AH201" s="295">
        <f>ROUND(AG201*(1+取值表!$D$10),0)</f>
        <v>468335</v>
      </c>
      <c r="AI201" s="293">
        <f t="shared" ref="AI201" si="4395">AH201</f>
        <v>468335</v>
      </c>
      <c r="AJ201" s="293">
        <f t="shared" ref="AJ201" si="4396">AI201</f>
        <v>468335</v>
      </c>
      <c r="AK201" s="293">
        <f t="shared" ref="AK201" si="4397">AJ201</f>
        <v>468335</v>
      </c>
      <c r="AL201" s="295">
        <f>ROUND(AK201*(1+取值表!$D$10),0)</f>
        <v>511890</v>
      </c>
      <c r="AM201" s="293">
        <f t="shared" ref="AM201" si="4398">AL201</f>
        <v>511890</v>
      </c>
      <c r="AN201" s="293">
        <f t="shared" ref="AN201" si="4399">AM201</f>
        <v>511890</v>
      </c>
      <c r="AO201" s="293">
        <f t="shared" ref="AO201" si="4400">AN201</f>
        <v>511890</v>
      </c>
      <c r="AP201" s="295">
        <f>ROUND(AO201*(1+取值表!$D$10),0)</f>
        <v>559496</v>
      </c>
      <c r="AQ201" s="293">
        <f t="shared" ref="AQ201" si="4401">AP201</f>
        <v>559496</v>
      </c>
      <c r="AR201" s="293">
        <f t="shared" ref="AR201" si="4402">AQ201</f>
        <v>559496</v>
      </c>
      <c r="AS201" s="293">
        <f t="shared" ref="AS201" si="4403">AR201</f>
        <v>559496</v>
      </c>
      <c r="AT201" s="295">
        <f>ROUND(AS201*(1+取值表!$D$10),0)</f>
        <v>611529</v>
      </c>
      <c r="AU201" s="293">
        <f t="shared" ref="AU201" si="4404">AT201</f>
        <v>611529</v>
      </c>
      <c r="AV201" s="293">
        <f t="shared" ref="AV201" si="4405">AU201</f>
        <v>611529</v>
      </c>
      <c r="AW201" s="293">
        <f t="shared" ref="AW201" si="4406">AV201</f>
        <v>611529</v>
      </c>
      <c r="AX201" s="295">
        <f>ROUND(AW201*(1+取值表!$D$10),0)</f>
        <v>668401</v>
      </c>
      <c r="AY201" s="293">
        <f t="shared" ref="AY201" si="4407">AX201</f>
        <v>668401</v>
      </c>
      <c r="AZ201" s="293">
        <f t="shared" ref="AZ201" si="4408">AY201</f>
        <v>668401</v>
      </c>
      <c r="BA201" s="293">
        <f t="shared" ref="BA201" si="4409">AZ201</f>
        <v>668401</v>
      </c>
      <c r="BB201" s="295">
        <f>ROUND(BA201*(1+取值表!$D$10),0)</f>
        <v>730562</v>
      </c>
      <c r="BC201" s="293">
        <f>BB201</f>
        <v>730562</v>
      </c>
      <c r="BD201" s="293">
        <f t="shared" ref="BD201" si="4410">BC201</f>
        <v>730562</v>
      </c>
      <c r="BE201" s="293">
        <f>BD201</f>
        <v>730562</v>
      </c>
      <c r="BF201" s="295">
        <f>ROUND(BE201*(1+取值表!$D$10),0)</f>
        <v>798504</v>
      </c>
      <c r="BG201" s="293">
        <f>BF201</f>
        <v>798504</v>
      </c>
      <c r="BH201" s="293">
        <f t="shared" ref="BH201" si="4411">BG201</f>
        <v>798504</v>
      </c>
      <c r="BI201" s="293">
        <f t="shared" ref="BI201" si="4412">BH201</f>
        <v>798504</v>
      </c>
      <c r="BJ201" s="295">
        <f>ROUND(BI201*(1+取值表!$D$10),0)</f>
        <v>872765</v>
      </c>
      <c r="BK201" s="293">
        <f t="shared" ref="BK201" si="4413">BJ201</f>
        <v>872765</v>
      </c>
      <c r="BL201" s="293">
        <f t="shared" ref="BL201" si="4414">BK201</f>
        <v>872765</v>
      </c>
      <c r="BM201" s="293">
        <f t="shared" ref="BM201" si="4415">BL201</f>
        <v>872765</v>
      </c>
      <c r="BN201" s="295">
        <f>ROUND(BM201*(1+取值表!$D$10),0)</f>
        <v>953932</v>
      </c>
      <c r="BO201" s="293">
        <f t="shared" ref="BO201" si="4416">BN201</f>
        <v>953932</v>
      </c>
      <c r="BP201" s="293">
        <f t="shared" ref="BP201" si="4417">BO201</f>
        <v>953932</v>
      </c>
      <c r="BQ201" s="293">
        <f t="shared" ref="BQ201" si="4418">BP201</f>
        <v>953932</v>
      </c>
      <c r="BR201" s="295">
        <f>ROUND(BQ201*(1+取值表!$D$10),0)</f>
        <v>1042648</v>
      </c>
      <c r="BS201" s="293">
        <f t="shared" ref="BS201" si="4419">BR201</f>
        <v>1042648</v>
      </c>
      <c r="BT201" s="293">
        <f t="shared" ref="BT201" si="4420">BS201</f>
        <v>1042648</v>
      </c>
      <c r="BU201" s="293">
        <f t="shared" ref="BU201" si="4421">BT201</f>
        <v>1042648</v>
      </c>
      <c r="BV201" s="295">
        <f>ROUND(BU201*(1+取值表!$D$10),0)</f>
        <v>1139614</v>
      </c>
      <c r="BW201" s="293">
        <f t="shared" ref="BW201" si="4422">BV201</f>
        <v>1139614</v>
      </c>
      <c r="BX201" s="293">
        <f t="shared" ref="BX201" si="4423">BW201</f>
        <v>1139614</v>
      </c>
      <c r="BY201" s="293">
        <f t="shared" ref="BY201" si="4424">BX201</f>
        <v>1139614</v>
      </c>
      <c r="BZ201" s="295">
        <f>ROUND(BY201*(1+取值表!$D$10),0)</f>
        <v>1245598</v>
      </c>
      <c r="CA201" s="293">
        <f t="shared" ref="CA201" si="4425">BZ201</f>
        <v>1245598</v>
      </c>
      <c r="CB201" s="293">
        <f t="shared" ref="CB201" si="4426">CA201</f>
        <v>1245598</v>
      </c>
      <c r="CC201" s="293">
        <f t="shared" ref="CC201" si="4427">CB201</f>
        <v>1245598</v>
      </c>
      <c r="CD201" s="295">
        <f>ROUND(CC201*(1+取值表!$D$10),0)</f>
        <v>1361439</v>
      </c>
      <c r="CE201" s="293">
        <f t="shared" ref="CE201" si="4428">CD201</f>
        <v>1361439</v>
      </c>
      <c r="CF201" s="293">
        <f t="shared" ref="CF201" si="4429">CE201</f>
        <v>1361439</v>
      </c>
      <c r="CG201" s="293">
        <f t="shared" ref="CG201" si="4430">CF201</f>
        <v>1361439</v>
      </c>
      <c r="CH201" s="295">
        <f>ROUND(CG201*(1+取值表!$D$10),0)</f>
        <v>1488053</v>
      </c>
      <c r="CI201" s="293">
        <f>CH201</f>
        <v>1488053</v>
      </c>
      <c r="CJ201" s="293">
        <f t="shared" ref="CJ201" si="4431">CI201</f>
        <v>1488053</v>
      </c>
      <c r="CK201" s="293">
        <f t="shared" ref="CK201" si="4432">CJ201</f>
        <v>1488053</v>
      </c>
      <c r="CL201" s="295">
        <f>ROUND(CK201*(1+取值表!$D$10),0)</f>
        <v>1626442</v>
      </c>
      <c r="CM201" s="293">
        <f>CL201</f>
        <v>1626442</v>
      </c>
      <c r="CN201" s="293">
        <f t="shared" ref="CN201" si="4433">CM201</f>
        <v>1626442</v>
      </c>
      <c r="CO201" s="293">
        <f t="shared" ref="CO201" si="4434">CN201</f>
        <v>1626442</v>
      </c>
      <c r="CP201" s="293">
        <f t="shared" si="4294"/>
        <v>64898628</v>
      </c>
    </row>
    <row r="202" spans="1:94">
      <c r="A202" s="680"/>
      <c r="B202" s="645"/>
      <c r="C202" s="646"/>
      <c r="D202" s="647"/>
      <c r="E202" s="648"/>
      <c r="F202" s="642"/>
      <c r="G202" s="642"/>
      <c r="H202" s="643"/>
      <c r="I202" s="291"/>
      <c r="J202" s="295"/>
      <c r="K202" s="293"/>
      <c r="L202" s="293"/>
      <c r="M202" s="293"/>
      <c r="N202" s="293"/>
      <c r="O202" s="293"/>
      <c r="P202" s="293"/>
      <c r="Q202" s="293"/>
      <c r="R202" s="293"/>
      <c r="S202" s="293"/>
      <c r="T202" s="293"/>
      <c r="U202" s="293"/>
      <c r="V202" s="293"/>
      <c r="W202" s="293"/>
      <c r="X202" s="293"/>
      <c r="Y202" s="293"/>
      <c r="Z202" s="293"/>
      <c r="AA202" s="293"/>
      <c r="AB202" s="293"/>
      <c r="AC202" s="293"/>
      <c r="AD202" s="295"/>
      <c r="AE202" s="293"/>
      <c r="AF202" s="293"/>
      <c r="AG202" s="293"/>
      <c r="AH202" s="295"/>
      <c r="AI202" s="293"/>
      <c r="AJ202" s="293"/>
      <c r="AK202" s="293"/>
      <c r="AL202" s="295"/>
      <c r="AM202" s="293"/>
      <c r="AN202" s="293"/>
      <c r="AO202" s="293"/>
      <c r="AP202" s="295"/>
      <c r="AQ202" s="293"/>
      <c r="AR202" s="293"/>
      <c r="AS202" s="293"/>
      <c r="AT202" s="295"/>
      <c r="AU202" s="293"/>
      <c r="AV202" s="293"/>
      <c r="AW202" s="293"/>
      <c r="AX202" s="295"/>
      <c r="AY202" s="293"/>
      <c r="AZ202" s="293"/>
      <c r="BA202" s="293"/>
      <c r="BB202" s="295"/>
      <c r="BC202" s="293"/>
      <c r="BD202" s="293"/>
      <c r="BE202" s="293"/>
      <c r="BF202" s="295"/>
      <c r="BG202" s="293"/>
      <c r="BH202" s="293"/>
      <c r="BI202" s="293"/>
      <c r="BJ202" s="295"/>
      <c r="BK202" s="293"/>
      <c r="BL202" s="293"/>
      <c r="BM202" s="293"/>
      <c r="BN202" s="295"/>
      <c r="BO202" s="293"/>
      <c r="BP202" s="293"/>
      <c r="BQ202" s="293"/>
      <c r="BR202" s="295"/>
      <c r="BS202" s="293"/>
      <c r="BT202" s="293"/>
      <c r="BU202" s="293"/>
      <c r="BV202" s="295"/>
      <c r="BW202" s="293"/>
      <c r="BX202" s="293"/>
      <c r="BY202" s="293"/>
      <c r="BZ202" s="295"/>
      <c r="CA202" s="293"/>
      <c r="CB202" s="293"/>
      <c r="CC202" s="293"/>
      <c r="CD202" s="295"/>
      <c r="CE202" s="293"/>
      <c r="CF202" s="293"/>
      <c r="CG202" s="293"/>
      <c r="CH202" s="295"/>
      <c r="CI202" s="293"/>
      <c r="CJ202" s="293"/>
      <c r="CK202" s="293"/>
      <c r="CL202" s="295"/>
      <c r="CM202" s="293"/>
      <c r="CN202" s="293"/>
      <c r="CO202" s="293"/>
      <c r="CP202" s="293">
        <f t="shared" si="4294"/>
        <v>0</v>
      </c>
    </row>
    <row r="203" spans="1:94" ht="12" customHeight="1">
      <c r="A203" s="679">
        <v>102</v>
      </c>
      <c r="B203" s="645" t="s">
        <v>204</v>
      </c>
      <c r="C203" s="646" t="s">
        <v>205</v>
      </c>
      <c r="D203" s="647" t="s">
        <v>206</v>
      </c>
      <c r="E203" s="648" t="s">
        <v>486</v>
      </c>
      <c r="F203" s="642">
        <v>279.69</v>
      </c>
      <c r="G203" s="642">
        <v>14.5</v>
      </c>
      <c r="H203" s="643">
        <f>F203*G203*365</f>
        <v>1480259.325</v>
      </c>
      <c r="I203" s="291">
        <v>370064.83</v>
      </c>
      <c r="J203" s="295">
        <f>ROUND(F203*G203*365/4,0)</f>
        <v>370065</v>
      </c>
      <c r="K203" s="293">
        <f t="shared" ref="K203:N203" si="4435">J203</f>
        <v>370065</v>
      </c>
      <c r="L203" s="293">
        <f t="shared" si="4435"/>
        <v>370065</v>
      </c>
      <c r="M203" s="293">
        <f t="shared" si="4435"/>
        <v>370065</v>
      </c>
      <c r="N203" s="293">
        <f t="shared" si="4435"/>
        <v>370065</v>
      </c>
      <c r="O203" s="293">
        <f>N203</f>
        <v>370065</v>
      </c>
      <c r="P203" s="293">
        <f>O203</f>
        <v>370065</v>
      </c>
      <c r="Q203" s="292">
        <f>P203</f>
        <v>370065</v>
      </c>
      <c r="R203" s="293">
        <f>ROUND(Q203*(1+取值表!$D$12)*取值表!$I$12,0)</f>
        <v>380617</v>
      </c>
      <c r="S203" s="293">
        <f>R203</f>
        <v>380617</v>
      </c>
      <c r="T203" s="293">
        <f>S203</f>
        <v>380617</v>
      </c>
      <c r="U203" s="293">
        <f>T203</f>
        <v>380617</v>
      </c>
      <c r="V203" s="294">
        <f>ROUND(U203*(1+取值表!$D$10),0)</f>
        <v>416014</v>
      </c>
      <c r="W203" s="293">
        <f t="shared" ref="W203:Y203" si="4436">V203</f>
        <v>416014</v>
      </c>
      <c r="X203" s="293">
        <f t="shared" si="4436"/>
        <v>416014</v>
      </c>
      <c r="Y203" s="293">
        <f t="shared" si="4436"/>
        <v>416014</v>
      </c>
      <c r="Z203" s="295">
        <f>ROUND(Y203*(1+取值表!$D$10),0)</f>
        <v>454703</v>
      </c>
      <c r="AA203" s="293">
        <f t="shared" ref="AA203:AB203" si="4437">Z203</f>
        <v>454703</v>
      </c>
      <c r="AB203" s="293">
        <f t="shared" si="4437"/>
        <v>454703</v>
      </c>
      <c r="AC203" s="293">
        <f>AB203</f>
        <v>454703</v>
      </c>
      <c r="AD203" s="295">
        <f>ROUND(AC203*(1+取值表!$D$10),0)</f>
        <v>496990</v>
      </c>
      <c r="AE203" s="293">
        <f t="shared" ref="AE203" si="4438">AD203</f>
        <v>496990</v>
      </c>
      <c r="AF203" s="293">
        <f t="shared" ref="AF203" si="4439">AE203</f>
        <v>496990</v>
      </c>
      <c r="AG203" s="293">
        <f t="shared" ref="AG203" si="4440">AF203</f>
        <v>496990</v>
      </c>
      <c r="AH203" s="295">
        <f>ROUND(AG203*(1+取值表!$D$10),0)</f>
        <v>543210</v>
      </c>
      <c r="AI203" s="293">
        <f t="shared" ref="AI203" si="4441">AH203</f>
        <v>543210</v>
      </c>
      <c r="AJ203" s="293">
        <f t="shared" ref="AJ203" si="4442">AI203</f>
        <v>543210</v>
      </c>
      <c r="AK203" s="293">
        <f t="shared" ref="AK203" si="4443">AJ203</f>
        <v>543210</v>
      </c>
      <c r="AL203" s="295">
        <f>ROUND(AK203*(1+取值表!$D$10),0)</f>
        <v>593729</v>
      </c>
      <c r="AM203" s="293">
        <f t="shared" ref="AM203" si="4444">AL203</f>
        <v>593729</v>
      </c>
      <c r="AN203" s="293">
        <f t="shared" ref="AN203" si="4445">AM203</f>
        <v>593729</v>
      </c>
      <c r="AO203" s="293">
        <f t="shared" ref="AO203" si="4446">AN203</f>
        <v>593729</v>
      </c>
      <c r="AP203" s="295">
        <f>ROUND(AO203*(1+取值表!$D$10),0)</f>
        <v>648946</v>
      </c>
      <c r="AQ203" s="293">
        <f t="shared" ref="AQ203" si="4447">AP203</f>
        <v>648946</v>
      </c>
      <c r="AR203" s="293">
        <f t="shared" ref="AR203" si="4448">AQ203</f>
        <v>648946</v>
      </c>
      <c r="AS203" s="293">
        <f t="shared" ref="AS203" si="4449">AR203</f>
        <v>648946</v>
      </c>
      <c r="AT203" s="295">
        <f>ROUND(AS203*(1+取值表!$D$10),0)</f>
        <v>709298</v>
      </c>
      <c r="AU203" s="293">
        <f t="shared" ref="AU203" si="4450">AT203</f>
        <v>709298</v>
      </c>
      <c r="AV203" s="293">
        <f t="shared" ref="AV203" si="4451">AU203</f>
        <v>709298</v>
      </c>
      <c r="AW203" s="293">
        <f t="shared" ref="AW203" si="4452">AV203</f>
        <v>709298</v>
      </c>
      <c r="AX203" s="295">
        <f>ROUND(AW203*(1+取值表!$D$10),0)</f>
        <v>775263</v>
      </c>
      <c r="AY203" s="293">
        <f t="shared" ref="AY203" si="4453">AX203</f>
        <v>775263</v>
      </c>
      <c r="AZ203" s="293">
        <f t="shared" ref="AZ203" si="4454">AY203</f>
        <v>775263</v>
      </c>
      <c r="BA203" s="293">
        <f t="shared" ref="BA203" si="4455">AZ203</f>
        <v>775263</v>
      </c>
      <c r="BB203" s="295">
        <f>ROUND(BA203*(1+取值表!$D$10),0)</f>
        <v>847362</v>
      </c>
      <c r="BC203" s="293">
        <f>BB203</f>
        <v>847362</v>
      </c>
      <c r="BD203" s="293">
        <f t="shared" ref="BD203" si="4456">BC203</f>
        <v>847362</v>
      </c>
      <c r="BE203" s="293">
        <f>BD203</f>
        <v>847362</v>
      </c>
      <c r="BF203" s="295">
        <f>ROUND(BE203*(1+取值表!$D$10),0)</f>
        <v>926167</v>
      </c>
      <c r="BG203" s="293">
        <f>BF203</f>
        <v>926167</v>
      </c>
      <c r="BH203" s="293">
        <f t="shared" ref="BH203" si="4457">BG203</f>
        <v>926167</v>
      </c>
      <c r="BI203" s="293">
        <f t="shared" ref="BI203" si="4458">BH203</f>
        <v>926167</v>
      </c>
      <c r="BJ203" s="295">
        <f>ROUND(BI203*(1+取值表!$D$10),0)</f>
        <v>1012301</v>
      </c>
      <c r="BK203" s="293">
        <f t="shared" ref="BK203" si="4459">BJ203</f>
        <v>1012301</v>
      </c>
      <c r="BL203" s="293">
        <f t="shared" ref="BL203" si="4460">BK203</f>
        <v>1012301</v>
      </c>
      <c r="BM203" s="293">
        <f t="shared" ref="BM203" si="4461">BL203</f>
        <v>1012301</v>
      </c>
      <c r="BN203" s="295">
        <f>ROUND(BM203*(1+取值表!$D$10),0)</f>
        <v>1106445</v>
      </c>
      <c r="BO203" s="293">
        <f t="shared" ref="BO203" si="4462">BN203</f>
        <v>1106445</v>
      </c>
      <c r="BP203" s="293">
        <f t="shared" ref="BP203" si="4463">BO203</f>
        <v>1106445</v>
      </c>
      <c r="BQ203" s="293">
        <f t="shared" ref="BQ203" si="4464">BP203</f>
        <v>1106445</v>
      </c>
      <c r="BR203" s="295">
        <f>ROUND(BQ203*(1+取值表!$D$10),0)</f>
        <v>1209344</v>
      </c>
      <c r="BS203" s="293">
        <f t="shared" ref="BS203" si="4465">BR203</f>
        <v>1209344</v>
      </c>
      <c r="BT203" s="293">
        <f t="shared" ref="BT203" si="4466">BS203</f>
        <v>1209344</v>
      </c>
      <c r="BU203" s="293">
        <f t="shared" ref="BU203" si="4467">BT203</f>
        <v>1209344</v>
      </c>
      <c r="BV203" s="295">
        <f>ROUND(BU203*(1+取值表!$D$10),0)</f>
        <v>1321813</v>
      </c>
      <c r="BW203" s="293">
        <f t="shared" ref="BW203" si="4468">BV203</f>
        <v>1321813</v>
      </c>
      <c r="BX203" s="293">
        <f t="shared" ref="BX203" si="4469">BW203</f>
        <v>1321813</v>
      </c>
      <c r="BY203" s="293">
        <f t="shared" ref="BY203" si="4470">BX203</f>
        <v>1321813</v>
      </c>
      <c r="BZ203" s="295">
        <f>ROUND(BY203*(1+取值表!$D$10),0)</f>
        <v>1444742</v>
      </c>
      <c r="CA203" s="293">
        <f t="shared" ref="CA203" si="4471">BZ203</f>
        <v>1444742</v>
      </c>
      <c r="CB203" s="293">
        <f t="shared" ref="CB203" si="4472">CA203</f>
        <v>1444742</v>
      </c>
      <c r="CC203" s="293">
        <f t="shared" ref="CC203" si="4473">CB203</f>
        <v>1444742</v>
      </c>
      <c r="CD203" s="295">
        <f>ROUND(CC203*(1+取值表!$D$10),0)</f>
        <v>1579103</v>
      </c>
      <c r="CE203" s="293">
        <f t="shared" ref="CE203" si="4474">CD203</f>
        <v>1579103</v>
      </c>
      <c r="CF203" s="293">
        <f t="shared" ref="CF203" si="4475">CE203</f>
        <v>1579103</v>
      </c>
      <c r="CG203" s="293">
        <f t="shared" ref="CG203" si="4476">CF203</f>
        <v>1579103</v>
      </c>
      <c r="CH203" s="295">
        <f>ROUND(CG203*(1+取值表!$D$10),0)</f>
        <v>1725960</v>
      </c>
      <c r="CI203" s="293">
        <f>CH203</f>
        <v>1725960</v>
      </c>
      <c r="CJ203" s="293">
        <f t="shared" ref="CJ203" si="4477">CI203</f>
        <v>1725960</v>
      </c>
      <c r="CK203" s="293">
        <f t="shared" ref="CK203" si="4478">CJ203</f>
        <v>1725960</v>
      </c>
      <c r="CL203" s="295">
        <f>ROUND(CK203*(1+取值表!$D$10),0)</f>
        <v>1886474</v>
      </c>
      <c r="CM203" s="293">
        <f>CL203</f>
        <v>1886474</v>
      </c>
      <c r="CN203" s="293">
        <f t="shared" ref="CN203" si="4479">CM203</f>
        <v>1886474</v>
      </c>
      <c r="CO203" s="293">
        <f t="shared" ref="CO203" si="4480">CN203</f>
        <v>1886474</v>
      </c>
      <c r="CP203" s="293">
        <f t="shared" si="4294"/>
        <v>75274444</v>
      </c>
    </row>
    <row r="204" spans="1:94">
      <c r="A204" s="680"/>
      <c r="B204" s="645"/>
      <c r="C204" s="646"/>
      <c r="D204" s="647"/>
      <c r="E204" s="648"/>
      <c r="F204" s="642"/>
      <c r="G204" s="642"/>
      <c r="H204" s="643"/>
      <c r="I204" s="291"/>
      <c r="J204" s="295"/>
      <c r="K204" s="293"/>
      <c r="L204" s="293"/>
      <c r="M204" s="293"/>
      <c r="N204" s="293"/>
      <c r="O204" s="293"/>
      <c r="P204" s="293"/>
      <c r="Q204" s="293"/>
      <c r="R204" s="293"/>
      <c r="S204" s="293"/>
      <c r="T204" s="293"/>
      <c r="U204" s="293"/>
      <c r="V204" s="293"/>
      <c r="W204" s="293"/>
      <c r="X204" s="293"/>
      <c r="Y204" s="293"/>
      <c r="Z204" s="293"/>
      <c r="AA204" s="293"/>
      <c r="AB204" s="293"/>
      <c r="AC204" s="293"/>
      <c r="AD204" s="293"/>
      <c r="AE204" s="293"/>
      <c r="AF204" s="293"/>
      <c r="AG204" s="293"/>
      <c r="AH204" s="293"/>
      <c r="AI204" s="293"/>
      <c r="AJ204" s="293"/>
      <c r="AK204" s="293"/>
      <c r="AL204" s="293"/>
      <c r="AM204" s="293"/>
      <c r="AN204" s="293"/>
      <c r="AO204" s="293"/>
      <c r="AP204" s="293"/>
      <c r="AQ204" s="293"/>
      <c r="AR204" s="293"/>
      <c r="AS204" s="293"/>
      <c r="AT204" s="293"/>
      <c r="AU204" s="293"/>
      <c r="AV204" s="293"/>
      <c r="AW204" s="293"/>
      <c r="AX204" s="293"/>
      <c r="AY204" s="293"/>
      <c r="AZ204" s="293"/>
      <c r="BA204" s="293"/>
      <c r="BB204" s="293"/>
      <c r="BC204" s="293"/>
      <c r="BD204" s="293"/>
      <c r="BE204" s="293"/>
      <c r="BF204" s="293"/>
      <c r="BG204" s="293"/>
      <c r="BH204" s="293"/>
      <c r="BI204" s="293"/>
      <c r="BJ204" s="293"/>
      <c r="BK204" s="293"/>
      <c r="BL204" s="293"/>
      <c r="BM204" s="293"/>
      <c r="BN204" s="293"/>
      <c r="BO204" s="293"/>
      <c r="BP204" s="293"/>
      <c r="BQ204" s="293"/>
      <c r="BR204" s="293"/>
      <c r="BS204" s="293"/>
      <c r="BT204" s="293"/>
      <c r="BU204" s="293"/>
      <c r="BV204" s="293"/>
      <c r="BW204" s="293"/>
      <c r="BX204" s="293"/>
      <c r="BY204" s="293"/>
      <c r="BZ204" s="293"/>
      <c r="CA204" s="293"/>
      <c r="CB204" s="293"/>
      <c r="CC204" s="293"/>
      <c r="CD204" s="293"/>
      <c r="CE204" s="293"/>
      <c r="CF204" s="293"/>
      <c r="CG204" s="293"/>
      <c r="CH204" s="293"/>
      <c r="CI204" s="293"/>
      <c r="CJ204" s="293"/>
      <c r="CK204" s="293"/>
      <c r="CL204" s="293"/>
      <c r="CM204" s="293"/>
      <c r="CN204" s="293"/>
      <c r="CO204" s="293"/>
      <c r="CP204" s="293">
        <f t="shared" si="4294"/>
        <v>0</v>
      </c>
    </row>
    <row r="205" spans="1:94" s="299" customFormat="1" ht="12" customHeight="1">
      <c r="A205" s="679">
        <v>103</v>
      </c>
      <c r="B205" s="658" t="s">
        <v>207</v>
      </c>
      <c r="C205" s="659" t="s">
        <v>208</v>
      </c>
      <c r="D205" s="647" t="s">
        <v>491</v>
      </c>
      <c r="E205" s="660" t="s">
        <v>486</v>
      </c>
      <c r="F205" s="661">
        <v>289.64999999999998</v>
      </c>
      <c r="G205" s="661">
        <f>AVERAGE(14,14.5,14.5,15)</f>
        <v>14.5</v>
      </c>
      <c r="H205" s="662">
        <f>F205*G205*365</f>
        <v>1532972.6249999998</v>
      </c>
      <c r="I205" s="298">
        <v>380600.1</v>
      </c>
      <c r="J205" s="295">
        <f>K205</f>
        <v>370028</v>
      </c>
      <c r="K205" s="295">
        <f>L205</f>
        <v>370028</v>
      </c>
      <c r="L205" s="295">
        <f>M205</f>
        <v>370028</v>
      </c>
      <c r="M205" s="295">
        <f>N205</f>
        <v>370028</v>
      </c>
      <c r="N205" s="295">
        <f>O205</f>
        <v>370028</v>
      </c>
      <c r="O205" s="295">
        <f>ROUND(14*365*F205/4,0)</f>
        <v>370028</v>
      </c>
      <c r="P205" s="295">
        <f>Q205</f>
        <v>383243</v>
      </c>
      <c r="Q205" s="295">
        <f>R205</f>
        <v>383243</v>
      </c>
      <c r="R205" s="295">
        <f>S205</f>
        <v>383243</v>
      </c>
      <c r="S205" s="295">
        <f>ROUND(14.5*365*F205/4,0)</f>
        <v>383243</v>
      </c>
      <c r="T205" s="295">
        <f>U205</f>
        <v>396458</v>
      </c>
      <c r="U205" s="295">
        <f>V205</f>
        <v>396458</v>
      </c>
      <c r="V205" s="295">
        <f>W205</f>
        <v>396458</v>
      </c>
      <c r="W205" s="292">
        <f>ROUND(15*365*F205/4,0)</f>
        <v>396458</v>
      </c>
      <c r="X205" s="295">
        <f>W205</f>
        <v>396458</v>
      </c>
      <c r="Y205" s="295">
        <f>X205</f>
        <v>396458</v>
      </c>
      <c r="Z205" s="293">
        <f>ROUND(Y205*(1+取值表!$D$12)*取值表!$I$12,0)</f>
        <v>407762</v>
      </c>
      <c r="AA205" s="295">
        <f>Z205</f>
        <v>407762</v>
      </c>
      <c r="AB205" s="295">
        <f>AA205</f>
        <v>407762</v>
      </c>
      <c r="AC205" s="295">
        <f>AB205</f>
        <v>407762</v>
      </c>
      <c r="AD205" s="294">
        <f>ROUND(AC205*(1+取值表!$D$10),0)</f>
        <v>445684</v>
      </c>
      <c r="AE205" s="295">
        <f t="shared" ref="AE205:AG205" si="4481">AD205</f>
        <v>445684</v>
      </c>
      <c r="AF205" s="295">
        <f t="shared" si="4481"/>
        <v>445684</v>
      </c>
      <c r="AG205" s="295">
        <f t="shared" si="4481"/>
        <v>445684</v>
      </c>
      <c r="AH205" s="295">
        <f>ROUND(AG205*(1+取值表!$D$10),0)</f>
        <v>487133</v>
      </c>
      <c r="AI205" s="295">
        <f t="shared" ref="AI205" si="4482">AH205</f>
        <v>487133</v>
      </c>
      <c r="AJ205" s="295">
        <f t="shared" ref="AJ205" si="4483">AI205</f>
        <v>487133</v>
      </c>
      <c r="AK205" s="295">
        <f t="shared" ref="AK205" si="4484">AJ205</f>
        <v>487133</v>
      </c>
      <c r="AL205" s="295">
        <f>ROUND(AK205*(1+取值表!$D$10),0)</f>
        <v>532436</v>
      </c>
      <c r="AM205" s="295">
        <f t="shared" ref="AM205" si="4485">AL205</f>
        <v>532436</v>
      </c>
      <c r="AN205" s="295">
        <f t="shared" ref="AN205" si="4486">AM205</f>
        <v>532436</v>
      </c>
      <c r="AO205" s="295">
        <f t="shared" ref="AO205" si="4487">AN205</f>
        <v>532436</v>
      </c>
      <c r="AP205" s="295">
        <f>ROUND(AO205*(1+取值表!$D$10),0)</f>
        <v>581953</v>
      </c>
      <c r="AQ205" s="295">
        <f t="shared" ref="AQ205" si="4488">AP205</f>
        <v>581953</v>
      </c>
      <c r="AR205" s="295">
        <f t="shared" ref="AR205" si="4489">AQ205</f>
        <v>581953</v>
      </c>
      <c r="AS205" s="295">
        <f t="shared" ref="AS205" si="4490">AR205</f>
        <v>581953</v>
      </c>
      <c r="AT205" s="295">
        <f>ROUND(AS205*(1+取值表!$D$10),0)</f>
        <v>636075</v>
      </c>
      <c r="AU205" s="295">
        <f t="shared" ref="AU205" si="4491">AT205</f>
        <v>636075</v>
      </c>
      <c r="AV205" s="295">
        <f t="shared" ref="AV205" si="4492">AU205</f>
        <v>636075</v>
      </c>
      <c r="AW205" s="295">
        <f t="shared" ref="AW205" si="4493">AV205</f>
        <v>636075</v>
      </c>
      <c r="AX205" s="295">
        <f>ROUND(AW205*(1+取值表!$D$10),0)</f>
        <v>695230</v>
      </c>
      <c r="AY205" s="295">
        <f t="shared" ref="AY205" si="4494">AX205</f>
        <v>695230</v>
      </c>
      <c r="AZ205" s="295">
        <f t="shared" ref="AZ205" si="4495">AY205</f>
        <v>695230</v>
      </c>
      <c r="BA205" s="295">
        <f t="shared" ref="BA205" si="4496">AZ205</f>
        <v>695230</v>
      </c>
      <c r="BB205" s="295">
        <f>ROUND(BA205*(1+取值表!$D$10),0)</f>
        <v>759886</v>
      </c>
      <c r="BC205" s="295">
        <f>BB205</f>
        <v>759886</v>
      </c>
      <c r="BD205" s="295">
        <f t="shared" ref="BD205" si="4497">BC205</f>
        <v>759886</v>
      </c>
      <c r="BE205" s="295">
        <f>BD205</f>
        <v>759886</v>
      </c>
      <c r="BF205" s="295">
        <f>ROUND(BE205*(1+取值表!$D$10),0)</f>
        <v>830555</v>
      </c>
      <c r="BG205" s="295">
        <f>BF205</f>
        <v>830555</v>
      </c>
      <c r="BH205" s="295">
        <f t="shared" ref="BH205" si="4498">BG205</f>
        <v>830555</v>
      </c>
      <c r="BI205" s="295">
        <f t="shared" ref="BI205" si="4499">BH205</f>
        <v>830555</v>
      </c>
      <c r="BJ205" s="295">
        <f>ROUND(BI205*(1+取值表!$D$10),0)</f>
        <v>907797</v>
      </c>
      <c r="BK205" s="295">
        <f t="shared" ref="BK205" si="4500">BJ205</f>
        <v>907797</v>
      </c>
      <c r="BL205" s="295">
        <f t="shared" ref="BL205" si="4501">BK205</f>
        <v>907797</v>
      </c>
      <c r="BM205" s="295">
        <f t="shared" ref="BM205" si="4502">BL205</f>
        <v>907797</v>
      </c>
      <c r="BN205" s="295">
        <f>ROUND(BM205*(1+取值表!$D$10),0)</f>
        <v>992222</v>
      </c>
      <c r="BO205" s="295">
        <f t="shared" ref="BO205" si="4503">BN205</f>
        <v>992222</v>
      </c>
      <c r="BP205" s="295">
        <f t="shared" ref="BP205" si="4504">BO205</f>
        <v>992222</v>
      </c>
      <c r="BQ205" s="295">
        <f t="shared" ref="BQ205" si="4505">BP205</f>
        <v>992222</v>
      </c>
      <c r="BR205" s="295">
        <f>ROUND(BQ205*(1+取值表!$D$10),0)</f>
        <v>1084499</v>
      </c>
      <c r="BS205" s="295">
        <f t="shared" ref="BS205" si="4506">BR205</f>
        <v>1084499</v>
      </c>
      <c r="BT205" s="295">
        <f t="shared" ref="BT205" si="4507">BS205</f>
        <v>1084499</v>
      </c>
      <c r="BU205" s="295">
        <f t="shared" ref="BU205" si="4508">BT205</f>
        <v>1084499</v>
      </c>
      <c r="BV205" s="295">
        <f>ROUND(BU205*(1+取值表!$D$10),0)</f>
        <v>1185357</v>
      </c>
      <c r="BW205" s="295">
        <f t="shared" ref="BW205" si="4509">BV205</f>
        <v>1185357</v>
      </c>
      <c r="BX205" s="295">
        <f t="shared" ref="BX205" si="4510">BW205</f>
        <v>1185357</v>
      </c>
      <c r="BY205" s="295">
        <f t="shared" ref="BY205" si="4511">BX205</f>
        <v>1185357</v>
      </c>
      <c r="BZ205" s="295">
        <f>ROUND(BY205*(1+取值表!$D$10),0)</f>
        <v>1295595</v>
      </c>
      <c r="CA205" s="295">
        <f t="shared" ref="CA205" si="4512">BZ205</f>
        <v>1295595</v>
      </c>
      <c r="CB205" s="295">
        <f t="shared" ref="CB205" si="4513">CA205</f>
        <v>1295595</v>
      </c>
      <c r="CC205" s="295">
        <f t="shared" ref="CC205" si="4514">CB205</f>
        <v>1295595</v>
      </c>
      <c r="CD205" s="295">
        <f>ROUND(CC205*(1+取值表!$D$10),0)</f>
        <v>1416085</v>
      </c>
      <c r="CE205" s="295">
        <f t="shared" ref="CE205" si="4515">CD205</f>
        <v>1416085</v>
      </c>
      <c r="CF205" s="295">
        <f t="shared" ref="CF205" si="4516">CE205</f>
        <v>1416085</v>
      </c>
      <c r="CG205" s="295">
        <f t="shared" ref="CG205" si="4517">CF205</f>
        <v>1416085</v>
      </c>
      <c r="CH205" s="295">
        <f>ROUND(CG205*(1+取值表!$D$10),0)</f>
        <v>1547781</v>
      </c>
      <c r="CI205" s="295">
        <f>CH205</f>
        <v>1547781</v>
      </c>
      <c r="CJ205" s="295">
        <f t="shared" ref="CJ205" si="4518">CI205</f>
        <v>1547781</v>
      </c>
      <c r="CK205" s="295">
        <f t="shared" ref="CK205" si="4519">CJ205</f>
        <v>1547781</v>
      </c>
      <c r="CL205" s="295">
        <f>ROUND(CK205*(1+取值表!$D$10),0)</f>
        <v>1691725</v>
      </c>
      <c r="CM205" s="295">
        <f>CL205</f>
        <v>1691725</v>
      </c>
      <c r="CN205" s="295">
        <f t="shared" ref="CN205" si="4520">CM205</f>
        <v>1691725</v>
      </c>
      <c r="CO205" s="295">
        <f t="shared" ref="CO205" si="4521">CN205</f>
        <v>1691725</v>
      </c>
      <c r="CP205" s="293">
        <f t="shared" si="4294"/>
        <v>68122988</v>
      </c>
    </row>
    <row r="206" spans="1:94" s="299" customFormat="1">
      <c r="A206" s="680"/>
      <c r="B206" s="658"/>
      <c r="C206" s="659"/>
      <c r="D206" s="647"/>
      <c r="E206" s="660"/>
      <c r="F206" s="661"/>
      <c r="G206" s="661"/>
      <c r="H206" s="662"/>
      <c r="I206" s="298">
        <v>0</v>
      </c>
      <c r="J206" s="295"/>
      <c r="K206" s="295"/>
      <c r="L206" s="295"/>
      <c r="M206" s="295"/>
      <c r="N206" s="295"/>
      <c r="O206" s="295"/>
      <c r="P206" s="295"/>
      <c r="Q206" s="295"/>
      <c r="R206" s="295"/>
      <c r="S206" s="295"/>
      <c r="T206" s="295"/>
      <c r="U206" s="295"/>
      <c r="V206" s="295"/>
      <c r="W206" s="295"/>
      <c r="X206" s="295"/>
      <c r="Y206" s="295"/>
      <c r="Z206" s="295"/>
      <c r="AA206" s="295"/>
      <c r="AB206" s="295"/>
      <c r="AC206" s="295"/>
      <c r="AD206" s="293"/>
      <c r="AE206" s="295"/>
      <c r="AF206" s="295"/>
      <c r="AG206" s="295"/>
      <c r="AH206" s="293"/>
      <c r="AI206" s="295"/>
      <c r="AJ206" s="295"/>
      <c r="AK206" s="295"/>
      <c r="AL206" s="293"/>
      <c r="AM206" s="295"/>
      <c r="AN206" s="295"/>
      <c r="AO206" s="295"/>
      <c r="AP206" s="293"/>
      <c r="AQ206" s="295"/>
      <c r="AR206" s="295"/>
      <c r="AS206" s="295"/>
      <c r="AT206" s="293"/>
      <c r="AU206" s="295"/>
      <c r="AV206" s="295"/>
      <c r="AW206" s="295"/>
      <c r="AX206" s="293"/>
      <c r="AY206" s="295"/>
      <c r="AZ206" s="295"/>
      <c r="BA206" s="295"/>
      <c r="BB206" s="293"/>
      <c r="BC206" s="295"/>
      <c r="BD206" s="295"/>
      <c r="BE206" s="295"/>
      <c r="BF206" s="293"/>
      <c r="BG206" s="295"/>
      <c r="BH206" s="295"/>
      <c r="BI206" s="295"/>
      <c r="BJ206" s="293"/>
      <c r="BK206" s="295"/>
      <c r="BL206" s="295"/>
      <c r="BM206" s="295"/>
      <c r="BN206" s="293"/>
      <c r="BO206" s="295"/>
      <c r="BP206" s="295"/>
      <c r="BQ206" s="295"/>
      <c r="BR206" s="293"/>
      <c r="BS206" s="295"/>
      <c r="BT206" s="295"/>
      <c r="BU206" s="295"/>
      <c r="BV206" s="293"/>
      <c r="BW206" s="295"/>
      <c r="BX206" s="295"/>
      <c r="BY206" s="295"/>
      <c r="BZ206" s="293"/>
      <c r="CA206" s="295"/>
      <c r="CB206" s="295"/>
      <c r="CC206" s="295"/>
      <c r="CD206" s="293"/>
      <c r="CE206" s="295"/>
      <c r="CF206" s="295"/>
      <c r="CG206" s="295"/>
      <c r="CH206" s="293"/>
      <c r="CI206" s="295"/>
      <c r="CJ206" s="295"/>
      <c r="CK206" s="295"/>
      <c r="CL206" s="293"/>
      <c r="CM206" s="295"/>
      <c r="CN206" s="295"/>
      <c r="CO206" s="295"/>
      <c r="CP206" s="293">
        <f t="shared" si="4294"/>
        <v>0</v>
      </c>
    </row>
    <row r="207" spans="1:94" ht="12" customHeight="1">
      <c r="A207" s="679">
        <v>104</v>
      </c>
      <c r="B207" s="645" t="s">
        <v>209</v>
      </c>
      <c r="C207" s="646" t="s">
        <v>12</v>
      </c>
      <c r="D207" s="647" t="s">
        <v>210</v>
      </c>
      <c r="E207" s="648" t="s">
        <v>486</v>
      </c>
      <c r="F207" s="642">
        <v>220.61</v>
      </c>
      <c r="G207" s="642">
        <f>AVERAGE(15,16)</f>
        <v>15.5</v>
      </c>
      <c r="H207" s="643">
        <f>F207*G207*365</f>
        <v>1248101.0750000002</v>
      </c>
      <c r="I207" s="291">
        <v>294511.59000000003</v>
      </c>
      <c r="J207" s="295">
        <f>ROUND(15*365*F207/4,0)</f>
        <v>301960</v>
      </c>
      <c r="K207" s="293">
        <f>L207</f>
        <v>322091</v>
      </c>
      <c r="L207" s="293">
        <f>M207</f>
        <v>322091</v>
      </c>
      <c r="M207" s="293">
        <f>N207</f>
        <v>322091</v>
      </c>
      <c r="N207" s="292">
        <f>ROUND(16*365*F207/4,0)</f>
        <v>322091</v>
      </c>
      <c r="O207" s="293">
        <f>N207</f>
        <v>322091</v>
      </c>
      <c r="P207" s="293">
        <f>O207</f>
        <v>322091</v>
      </c>
      <c r="Q207" s="293">
        <f>P207</f>
        <v>322091</v>
      </c>
      <c r="R207" s="293">
        <f>ROUND(Q207*(1+取值表!$D$12)*取值表!$I$12,0)</f>
        <v>331275</v>
      </c>
      <c r="S207" s="293">
        <f>R207</f>
        <v>331275</v>
      </c>
      <c r="T207" s="293">
        <f>S207</f>
        <v>331275</v>
      </c>
      <c r="U207" s="293">
        <f>T207</f>
        <v>331275</v>
      </c>
      <c r="V207" s="294">
        <f>ROUND(U207*(1+取值表!$D$10),0)</f>
        <v>362084</v>
      </c>
      <c r="W207" s="293">
        <f t="shared" ref="W207:Y207" si="4522">V207</f>
        <v>362084</v>
      </c>
      <c r="X207" s="293">
        <f t="shared" si="4522"/>
        <v>362084</v>
      </c>
      <c r="Y207" s="293">
        <f t="shared" si="4522"/>
        <v>362084</v>
      </c>
      <c r="Z207" s="295">
        <f>ROUND(Y207*(1+取值表!$D$10),0)</f>
        <v>395758</v>
      </c>
      <c r="AA207" s="293">
        <f t="shared" ref="AA207:AB207" si="4523">Z207</f>
        <v>395758</v>
      </c>
      <c r="AB207" s="293">
        <f t="shared" si="4523"/>
        <v>395758</v>
      </c>
      <c r="AC207" s="293">
        <f>AB207</f>
        <v>395758</v>
      </c>
      <c r="AD207" s="295">
        <f>ROUND(AC207*(1+取值表!$D$10),0)</f>
        <v>432563</v>
      </c>
      <c r="AE207" s="293">
        <f t="shared" ref="AE207" si="4524">AD207</f>
        <v>432563</v>
      </c>
      <c r="AF207" s="293">
        <f t="shared" ref="AF207" si="4525">AE207</f>
        <v>432563</v>
      </c>
      <c r="AG207" s="293">
        <f t="shared" ref="AG207" si="4526">AF207</f>
        <v>432563</v>
      </c>
      <c r="AH207" s="295">
        <f>ROUND(AG207*(1+取值表!$D$10),0)</f>
        <v>472791</v>
      </c>
      <c r="AI207" s="293">
        <f t="shared" ref="AI207" si="4527">AH207</f>
        <v>472791</v>
      </c>
      <c r="AJ207" s="293">
        <f t="shared" ref="AJ207" si="4528">AI207</f>
        <v>472791</v>
      </c>
      <c r="AK207" s="293">
        <f t="shared" ref="AK207" si="4529">AJ207</f>
        <v>472791</v>
      </c>
      <c r="AL207" s="295">
        <f>ROUND(AK207*(1+取值表!$D$10),0)</f>
        <v>516761</v>
      </c>
      <c r="AM207" s="293">
        <f t="shared" ref="AM207" si="4530">AL207</f>
        <v>516761</v>
      </c>
      <c r="AN207" s="293">
        <f t="shared" ref="AN207" si="4531">AM207</f>
        <v>516761</v>
      </c>
      <c r="AO207" s="293">
        <f t="shared" ref="AO207" si="4532">AN207</f>
        <v>516761</v>
      </c>
      <c r="AP207" s="295">
        <f>ROUND(AO207*(1+取值表!$D$10),0)</f>
        <v>564820</v>
      </c>
      <c r="AQ207" s="293">
        <f t="shared" ref="AQ207" si="4533">AP207</f>
        <v>564820</v>
      </c>
      <c r="AR207" s="293">
        <f t="shared" ref="AR207" si="4534">AQ207</f>
        <v>564820</v>
      </c>
      <c r="AS207" s="293">
        <f t="shared" ref="AS207" si="4535">AR207</f>
        <v>564820</v>
      </c>
      <c r="AT207" s="295">
        <f>ROUND(AS207*(1+取值表!$D$10),0)</f>
        <v>617348</v>
      </c>
      <c r="AU207" s="293">
        <f t="shared" ref="AU207" si="4536">AT207</f>
        <v>617348</v>
      </c>
      <c r="AV207" s="293">
        <f t="shared" ref="AV207" si="4537">AU207</f>
        <v>617348</v>
      </c>
      <c r="AW207" s="293">
        <f t="shared" ref="AW207" si="4538">AV207</f>
        <v>617348</v>
      </c>
      <c r="AX207" s="295">
        <f>ROUND(AW207*(1+取值表!$D$10),0)</f>
        <v>674761</v>
      </c>
      <c r="AY207" s="293">
        <f t="shared" ref="AY207" si="4539">AX207</f>
        <v>674761</v>
      </c>
      <c r="AZ207" s="293">
        <f t="shared" ref="AZ207" si="4540">AY207</f>
        <v>674761</v>
      </c>
      <c r="BA207" s="293">
        <f t="shared" ref="BA207" si="4541">AZ207</f>
        <v>674761</v>
      </c>
      <c r="BB207" s="295">
        <f>ROUND(BA207*(1+取值表!$D$10),0)</f>
        <v>737514</v>
      </c>
      <c r="BC207" s="293">
        <f>BB207</f>
        <v>737514</v>
      </c>
      <c r="BD207" s="293">
        <f t="shared" ref="BD207" si="4542">BC207</f>
        <v>737514</v>
      </c>
      <c r="BE207" s="293">
        <f>BD207</f>
        <v>737514</v>
      </c>
      <c r="BF207" s="295">
        <f>ROUND(BE207*(1+取值表!$D$10),0)</f>
        <v>806103</v>
      </c>
      <c r="BG207" s="293">
        <f>BF207</f>
        <v>806103</v>
      </c>
      <c r="BH207" s="293">
        <f t="shared" ref="BH207" si="4543">BG207</f>
        <v>806103</v>
      </c>
      <c r="BI207" s="293">
        <f t="shared" ref="BI207" si="4544">BH207</f>
        <v>806103</v>
      </c>
      <c r="BJ207" s="295">
        <f>ROUND(BI207*(1+取值表!$D$10),0)</f>
        <v>881071</v>
      </c>
      <c r="BK207" s="293">
        <f t="shared" ref="BK207" si="4545">BJ207</f>
        <v>881071</v>
      </c>
      <c r="BL207" s="293">
        <f t="shared" ref="BL207" si="4546">BK207</f>
        <v>881071</v>
      </c>
      <c r="BM207" s="293">
        <f t="shared" ref="BM207" si="4547">BL207</f>
        <v>881071</v>
      </c>
      <c r="BN207" s="295">
        <f>ROUND(BM207*(1+取值表!$D$10),0)</f>
        <v>963011</v>
      </c>
      <c r="BO207" s="293">
        <f t="shared" ref="BO207" si="4548">BN207</f>
        <v>963011</v>
      </c>
      <c r="BP207" s="293">
        <f t="shared" ref="BP207" si="4549">BO207</f>
        <v>963011</v>
      </c>
      <c r="BQ207" s="293">
        <f t="shared" ref="BQ207" si="4550">BP207</f>
        <v>963011</v>
      </c>
      <c r="BR207" s="295">
        <f>ROUND(BQ207*(1+取值表!$D$10),0)</f>
        <v>1052571</v>
      </c>
      <c r="BS207" s="293">
        <f t="shared" ref="BS207" si="4551">BR207</f>
        <v>1052571</v>
      </c>
      <c r="BT207" s="293">
        <f t="shared" ref="BT207" si="4552">BS207</f>
        <v>1052571</v>
      </c>
      <c r="BU207" s="293">
        <f t="shared" ref="BU207" si="4553">BT207</f>
        <v>1052571</v>
      </c>
      <c r="BV207" s="295">
        <f>ROUND(BU207*(1+取值表!$D$10),0)</f>
        <v>1150460</v>
      </c>
      <c r="BW207" s="293">
        <f t="shared" ref="BW207" si="4554">BV207</f>
        <v>1150460</v>
      </c>
      <c r="BX207" s="293">
        <f t="shared" ref="BX207" si="4555">BW207</f>
        <v>1150460</v>
      </c>
      <c r="BY207" s="293">
        <f t="shared" ref="BY207" si="4556">BX207</f>
        <v>1150460</v>
      </c>
      <c r="BZ207" s="295">
        <f>ROUND(BY207*(1+取值表!$D$10),0)</f>
        <v>1257453</v>
      </c>
      <c r="CA207" s="293">
        <f t="shared" ref="CA207" si="4557">BZ207</f>
        <v>1257453</v>
      </c>
      <c r="CB207" s="293">
        <f t="shared" ref="CB207" si="4558">CA207</f>
        <v>1257453</v>
      </c>
      <c r="CC207" s="293">
        <f t="shared" ref="CC207" si="4559">CB207</f>
        <v>1257453</v>
      </c>
      <c r="CD207" s="295">
        <f>ROUND(CC207*(1+取值表!$D$10),0)</f>
        <v>1374396</v>
      </c>
      <c r="CE207" s="293">
        <f t="shared" ref="CE207" si="4560">CD207</f>
        <v>1374396</v>
      </c>
      <c r="CF207" s="293">
        <f t="shared" ref="CF207" si="4561">CE207</f>
        <v>1374396</v>
      </c>
      <c r="CG207" s="293">
        <f t="shared" ref="CG207" si="4562">CF207</f>
        <v>1374396</v>
      </c>
      <c r="CH207" s="295">
        <f>ROUND(CG207*(1+取值表!$D$10),0)</f>
        <v>1502215</v>
      </c>
      <c r="CI207" s="293">
        <f>CH207</f>
        <v>1502215</v>
      </c>
      <c r="CJ207" s="293">
        <f t="shared" ref="CJ207" si="4563">CI207</f>
        <v>1502215</v>
      </c>
      <c r="CK207" s="293">
        <f t="shared" ref="CK207" si="4564">CJ207</f>
        <v>1502215</v>
      </c>
      <c r="CL207" s="295">
        <f>ROUND(CK207*(1+取值表!$D$10),0)</f>
        <v>1641921</v>
      </c>
      <c r="CM207" s="293">
        <f>CL207</f>
        <v>1641921</v>
      </c>
      <c r="CN207" s="293">
        <f t="shared" ref="CN207" si="4565">CM207</f>
        <v>1641921</v>
      </c>
      <c r="CO207" s="293">
        <f t="shared" ref="CO207" si="4566">CN207</f>
        <v>1641921</v>
      </c>
      <c r="CP207" s="293">
        <f t="shared" si="4294"/>
        <v>65496101</v>
      </c>
    </row>
    <row r="208" spans="1:94">
      <c r="A208" s="680"/>
      <c r="B208" s="645"/>
      <c r="C208" s="646"/>
      <c r="D208" s="647"/>
      <c r="E208" s="648"/>
      <c r="F208" s="642"/>
      <c r="G208" s="642"/>
      <c r="H208" s="643"/>
      <c r="I208" s="291"/>
      <c r="J208" s="295"/>
      <c r="K208" s="293"/>
      <c r="L208" s="293"/>
      <c r="M208" s="293"/>
      <c r="N208" s="293"/>
      <c r="O208" s="293"/>
      <c r="P208" s="293"/>
      <c r="Q208" s="293"/>
      <c r="R208" s="293"/>
      <c r="S208" s="293"/>
      <c r="T208" s="293"/>
      <c r="U208" s="293"/>
      <c r="V208" s="293"/>
      <c r="W208" s="293"/>
      <c r="X208" s="293"/>
      <c r="Y208" s="293"/>
      <c r="Z208" s="293"/>
      <c r="AA208" s="293"/>
      <c r="AB208" s="293"/>
      <c r="AC208" s="293"/>
      <c r="AD208" s="293"/>
      <c r="AE208" s="293"/>
      <c r="AF208" s="293"/>
      <c r="AG208" s="293"/>
      <c r="AH208" s="293"/>
      <c r="AI208" s="293"/>
      <c r="AJ208" s="293"/>
      <c r="AK208" s="293"/>
      <c r="AL208" s="293"/>
      <c r="AM208" s="293"/>
      <c r="AN208" s="293"/>
      <c r="AO208" s="293"/>
      <c r="AP208" s="293"/>
      <c r="AQ208" s="293"/>
      <c r="AR208" s="293"/>
      <c r="AS208" s="293"/>
      <c r="AT208" s="293"/>
      <c r="AU208" s="293"/>
      <c r="AV208" s="293"/>
      <c r="AW208" s="293"/>
      <c r="AX208" s="293"/>
      <c r="AY208" s="293"/>
      <c r="AZ208" s="293"/>
      <c r="BA208" s="293"/>
      <c r="BB208" s="293"/>
      <c r="BC208" s="293"/>
      <c r="BD208" s="293"/>
      <c r="BE208" s="293"/>
      <c r="BF208" s="293"/>
      <c r="BG208" s="293"/>
      <c r="BH208" s="293"/>
      <c r="BI208" s="293"/>
      <c r="BJ208" s="293"/>
      <c r="BK208" s="293"/>
      <c r="BL208" s="293"/>
      <c r="BM208" s="293"/>
      <c r="BN208" s="293"/>
      <c r="BO208" s="293"/>
      <c r="BP208" s="293"/>
      <c r="BQ208" s="293"/>
      <c r="BR208" s="293"/>
      <c r="BS208" s="293"/>
      <c r="BT208" s="293"/>
      <c r="BU208" s="293"/>
      <c r="BV208" s="293"/>
      <c r="BW208" s="293"/>
      <c r="BX208" s="293"/>
      <c r="BY208" s="293"/>
      <c r="BZ208" s="293"/>
      <c r="CA208" s="293"/>
      <c r="CB208" s="293"/>
      <c r="CC208" s="293"/>
      <c r="CD208" s="293"/>
      <c r="CE208" s="293"/>
      <c r="CF208" s="293"/>
      <c r="CG208" s="293"/>
      <c r="CH208" s="293"/>
      <c r="CI208" s="293"/>
      <c r="CJ208" s="293"/>
      <c r="CK208" s="293"/>
      <c r="CL208" s="293"/>
      <c r="CM208" s="293"/>
      <c r="CN208" s="293"/>
      <c r="CO208" s="293"/>
      <c r="CP208" s="293">
        <f t="shared" si="4294"/>
        <v>0</v>
      </c>
    </row>
    <row r="209" spans="1:95" ht="12" customHeight="1">
      <c r="A209" s="679">
        <v>105</v>
      </c>
      <c r="B209" s="645" t="s">
        <v>211</v>
      </c>
      <c r="C209" s="646" t="s">
        <v>705</v>
      </c>
      <c r="D209" s="647" t="s">
        <v>492</v>
      </c>
      <c r="E209" s="648" t="s">
        <v>486</v>
      </c>
      <c r="F209" s="642">
        <v>305.67</v>
      </c>
      <c r="G209" s="642">
        <v>16</v>
      </c>
      <c r="H209" s="643">
        <f>F209*G209*365</f>
        <v>1785112.8</v>
      </c>
      <c r="I209" s="291">
        <v>482538.3</v>
      </c>
      <c r="J209" s="295">
        <f>ROUND(F209*G209*365/4,0)</f>
        <v>446278</v>
      </c>
      <c r="K209" s="293">
        <f t="shared" ref="K209:N209" si="4567">J209</f>
        <v>446278</v>
      </c>
      <c r="L209" s="293">
        <f t="shared" si="4567"/>
        <v>446278</v>
      </c>
      <c r="M209" s="293">
        <f t="shared" si="4567"/>
        <v>446278</v>
      </c>
      <c r="N209" s="293">
        <f t="shared" si="4567"/>
        <v>446278</v>
      </c>
      <c r="O209" s="292">
        <f>N209</f>
        <v>446278</v>
      </c>
      <c r="P209" s="293">
        <f>O209</f>
        <v>446278</v>
      </c>
      <c r="Q209" s="293">
        <f>P209</f>
        <v>446278</v>
      </c>
      <c r="R209" s="293">
        <f>ROUND(Q209*(1+取值表!$D$12)*取值表!$I$12,0)</f>
        <v>459003</v>
      </c>
      <c r="S209" s="293">
        <f>R209</f>
        <v>459003</v>
      </c>
      <c r="T209" s="293">
        <f>S209</f>
        <v>459003</v>
      </c>
      <c r="U209" s="293">
        <f>T209</f>
        <v>459003</v>
      </c>
      <c r="V209" s="294">
        <f>ROUND(U209*(1+取值表!$D$10),0)</f>
        <v>501690</v>
      </c>
      <c r="W209" s="293">
        <f t="shared" ref="W209:Y209" si="4568">V209</f>
        <v>501690</v>
      </c>
      <c r="X209" s="293">
        <f t="shared" si="4568"/>
        <v>501690</v>
      </c>
      <c r="Y209" s="293">
        <f t="shared" si="4568"/>
        <v>501690</v>
      </c>
      <c r="Z209" s="295">
        <f>ROUND(Y209*(1+取值表!$D$10),0)</f>
        <v>548347</v>
      </c>
      <c r="AA209" s="293">
        <f t="shared" ref="AA209:AB209" si="4569">Z209</f>
        <v>548347</v>
      </c>
      <c r="AB209" s="293">
        <f t="shared" si="4569"/>
        <v>548347</v>
      </c>
      <c r="AC209" s="293">
        <f>AB209</f>
        <v>548347</v>
      </c>
      <c r="AD209" s="295">
        <f>ROUND(AC209*(1+取值表!$D$10),0)</f>
        <v>599343</v>
      </c>
      <c r="AE209" s="293">
        <f t="shared" ref="AE209" si="4570">AD209</f>
        <v>599343</v>
      </c>
      <c r="AF209" s="293">
        <f t="shared" ref="AF209" si="4571">AE209</f>
        <v>599343</v>
      </c>
      <c r="AG209" s="293">
        <f t="shared" ref="AG209" si="4572">AF209</f>
        <v>599343</v>
      </c>
      <c r="AH209" s="295">
        <f>ROUND(AG209*(1+取值表!$D$10),0)</f>
        <v>655082</v>
      </c>
      <c r="AI209" s="293">
        <f t="shared" ref="AI209" si="4573">AH209</f>
        <v>655082</v>
      </c>
      <c r="AJ209" s="293">
        <f t="shared" ref="AJ209" si="4574">AI209</f>
        <v>655082</v>
      </c>
      <c r="AK209" s="293">
        <f t="shared" ref="AK209" si="4575">AJ209</f>
        <v>655082</v>
      </c>
      <c r="AL209" s="295">
        <f>ROUND(AK209*(1+取值表!$D$10),0)</f>
        <v>716005</v>
      </c>
      <c r="AM209" s="293">
        <f t="shared" ref="AM209" si="4576">AL209</f>
        <v>716005</v>
      </c>
      <c r="AN209" s="293">
        <f t="shared" ref="AN209" si="4577">AM209</f>
        <v>716005</v>
      </c>
      <c r="AO209" s="293">
        <f t="shared" ref="AO209" si="4578">AN209</f>
        <v>716005</v>
      </c>
      <c r="AP209" s="295">
        <f>ROUND(AO209*(1+取值表!$D$10),0)</f>
        <v>782593</v>
      </c>
      <c r="AQ209" s="293">
        <f t="shared" ref="AQ209" si="4579">AP209</f>
        <v>782593</v>
      </c>
      <c r="AR209" s="293">
        <f t="shared" ref="AR209" si="4580">AQ209</f>
        <v>782593</v>
      </c>
      <c r="AS209" s="293">
        <f t="shared" ref="AS209" si="4581">AR209</f>
        <v>782593</v>
      </c>
      <c r="AT209" s="295">
        <f>ROUND(AS209*(1+取值表!$D$10),0)</f>
        <v>855374</v>
      </c>
      <c r="AU209" s="293">
        <f t="shared" ref="AU209" si="4582">AT209</f>
        <v>855374</v>
      </c>
      <c r="AV209" s="293">
        <f t="shared" ref="AV209" si="4583">AU209</f>
        <v>855374</v>
      </c>
      <c r="AW209" s="293">
        <f t="shared" ref="AW209" si="4584">AV209</f>
        <v>855374</v>
      </c>
      <c r="AX209" s="295">
        <f>ROUND(AW209*(1+取值表!$D$10),0)</f>
        <v>934924</v>
      </c>
      <c r="AY209" s="293">
        <f t="shared" ref="AY209" si="4585">AX209</f>
        <v>934924</v>
      </c>
      <c r="AZ209" s="293">
        <f t="shared" ref="AZ209" si="4586">AY209</f>
        <v>934924</v>
      </c>
      <c r="BA209" s="293">
        <f t="shared" ref="BA209" si="4587">AZ209</f>
        <v>934924</v>
      </c>
      <c r="BB209" s="295">
        <f>ROUND(BA209*(1+取值表!$D$10),0)</f>
        <v>1021872</v>
      </c>
      <c r="BC209" s="293">
        <f>BB209</f>
        <v>1021872</v>
      </c>
      <c r="BD209" s="293">
        <f t="shared" ref="BD209" si="4588">BC209</f>
        <v>1021872</v>
      </c>
      <c r="BE209" s="293">
        <f>BD209</f>
        <v>1021872</v>
      </c>
      <c r="BF209" s="295">
        <f>ROUND(BE209*(1+取值表!$D$10),0)</f>
        <v>1116906</v>
      </c>
      <c r="BG209" s="293">
        <f>BF209</f>
        <v>1116906</v>
      </c>
      <c r="BH209" s="293">
        <f t="shared" ref="BH209" si="4589">BG209</f>
        <v>1116906</v>
      </c>
      <c r="BI209" s="293">
        <f t="shared" ref="BI209" si="4590">BH209</f>
        <v>1116906</v>
      </c>
      <c r="BJ209" s="295">
        <f>ROUND(BI209*(1+取值表!$D$10),0)</f>
        <v>1220778</v>
      </c>
      <c r="BK209" s="293">
        <f t="shared" ref="BK209" si="4591">BJ209</f>
        <v>1220778</v>
      </c>
      <c r="BL209" s="293">
        <f t="shared" ref="BL209" si="4592">BK209</f>
        <v>1220778</v>
      </c>
      <c r="BM209" s="293">
        <f t="shared" ref="BM209" si="4593">BL209</f>
        <v>1220778</v>
      </c>
      <c r="BN209" s="295">
        <f>ROUND(BM209*(1+取值表!$D$10),0)</f>
        <v>1334310</v>
      </c>
      <c r="BO209" s="293">
        <f t="shared" ref="BO209" si="4594">BN209</f>
        <v>1334310</v>
      </c>
      <c r="BP209" s="293">
        <f t="shared" ref="BP209" si="4595">BO209</f>
        <v>1334310</v>
      </c>
      <c r="BQ209" s="293">
        <f t="shared" ref="BQ209" si="4596">BP209</f>
        <v>1334310</v>
      </c>
      <c r="BR209" s="295">
        <f>ROUND(BQ209*(1+取值表!$D$10),0)</f>
        <v>1458401</v>
      </c>
      <c r="BS209" s="293">
        <f t="shared" ref="BS209" si="4597">BR209</f>
        <v>1458401</v>
      </c>
      <c r="BT209" s="293">
        <f t="shared" ref="BT209" si="4598">BS209</f>
        <v>1458401</v>
      </c>
      <c r="BU209" s="293">
        <f t="shared" ref="BU209" si="4599">BT209</f>
        <v>1458401</v>
      </c>
      <c r="BV209" s="295">
        <f>ROUND(BU209*(1+取值表!$D$10),0)</f>
        <v>1594032</v>
      </c>
      <c r="BW209" s="293">
        <f t="shared" ref="BW209" si="4600">BV209</f>
        <v>1594032</v>
      </c>
      <c r="BX209" s="293">
        <f t="shared" ref="BX209" si="4601">BW209</f>
        <v>1594032</v>
      </c>
      <c r="BY209" s="293">
        <f t="shared" ref="BY209" si="4602">BX209</f>
        <v>1594032</v>
      </c>
      <c r="BZ209" s="295">
        <f>ROUND(BY209*(1+取值表!$D$10),0)</f>
        <v>1742277</v>
      </c>
      <c r="CA209" s="293">
        <f t="shared" ref="CA209" si="4603">BZ209</f>
        <v>1742277</v>
      </c>
      <c r="CB209" s="293">
        <f t="shared" ref="CB209" si="4604">CA209</f>
        <v>1742277</v>
      </c>
      <c r="CC209" s="293">
        <f t="shared" ref="CC209" si="4605">CB209</f>
        <v>1742277</v>
      </c>
      <c r="CD209" s="295">
        <f>ROUND(CC209*(1+取值表!$D$10),0)</f>
        <v>1904309</v>
      </c>
      <c r="CE209" s="293">
        <f t="shared" ref="CE209" si="4606">CD209</f>
        <v>1904309</v>
      </c>
      <c r="CF209" s="293">
        <f t="shared" ref="CF209" si="4607">CE209</f>
        <v>1904309</v>
      </c>
      <c r="CG209" s="293">
        <f t="shared" ref="CG209" si="4608">CF209</f>
        <v>1904309</v>
      </c>
      <c r="CH209" s="295">
        <f>ROUND(CG209*(1+取值表!$D$10),0)</f>
        <v>2081410</v>
      </c>
      <c r="CI209" s="293">
        <f>CH209</f>
        <v>2081410</v>
      </c>
      <c r="CJ209" s="293">
        <f t="shared" ref="CJ209" si="4609">CI209</f>
        <v>2081410</v>
      </c>
      <c r="CK209" s="293">
        <f t="shared" ref="CK209" si="4610">CJ209</f>
        <v>2081410</v>
      </c>
      <c r="CL209" s="295">
        <f>ROUND(CK209*(1+取值表!$D$10),0)</f>
        <v>2274981</v>
      </c>
      <c r="CM209" s="293">
        <f>CL209</f>
        <v>2274981</v>
      </c>
      <c r="CN209" s="293">
        <f t="shared" ref="CN209" si="4611">CM209</f>
        <v>2274981</v>
      </c>
      <c r="CO209" s="293">
        <f t="shared" ref="CO209" si="4612">CN209</f>
        <v>2274981</v>
      </c>
      <c r="CP209" s="293">
        <f t="shared" si="4294"/>
        <v>90776772</v>
      </c>
    </row>
    <row r="210" spans="1:95">
      <c r="A210" s="680"/>
      <c r="B210" s="645"/>
      <c r="C210" s="646"/>
      <c r="D210" s="647"/>
      <c r="E210" s="648"/>
      <c r="F210" s="642"/>
      <c r="G210" s="642"/>
      <c r="H210" s="643"/>
      <c r="I210" s="291"/>
      <c r="J210" s="295"/>
      <c r="K210" s="293"/>
      <c r="L210" s="293"/>
      <c r="M210" s="293"/>
      <c r="N210" s="293"/>
      <c r="O210" s="293"/>
      <c r="P210" s="293"/>
      <c r="Q210" s="293"/>
      <c r="R210" s="293"/>
      <c r="S210" s="293"/>
      <c r="T210" s="293"/>
      <c r="U210" s="293"/>
      <c r="V210" s="293"/>
      <c r="W210" s="293"/>
      <c r="X210" s="293"/>
      <c r="Y210" s="293"/>
      <c r="Z210" s="293"/>
      <c r="AA210" s="293"/>
      <c r="AB210" s="293"/>
      <c r="AC210" s="293"/>
      <c r="AD210" s="293"/>
      <c r="AE210" s="293"/>
      <c r="AF210" s="293"/>
      <c r="AG210" s="293"/>
      <c r="AH210" s="293"/>
      <c r="AI210" s="293"/>
      <c r="AJ210" s="293"/>
      <c r="AK210" s="293"/>
      <c r="AL210" s="293"/>
      <c r="AM210" s="293"/>
      <c r="AN210" s="293"/>
      <c r="AO210" s="293"/>
      <c r="AP210" s="293"/>
      <c r="AQ210" s="293"/>
      <c r="AR210" s="293"/>
      <c r="AS210" s="293"/>
      <c r="AT210" s="293"/>
      <c r="AU210" s="293"/>
      <c r="AV210" s="293"/>
      <c r="AW210" s="293"/>
      <c r="AX210" s="293"/>
      <c r="AY210" s="293"/>
      <c r="AZ210" s="293"/>
      <c r="BA210" s="293"/>
      <c r="BB210" s="293"/>
      <c r="BC210" s="293"/>
      <c r="BD210" s="293"/>
      <c r="BE210" s="293"/>
      <c r="BF210" s="293"/>
      <c r="BG210" s="293"/>
      <c r="BH210" s="293"/>
      <c r="BI210" s="293"/>
      <c r="BJ210" s="293"/>
      <c r="BK210" s="293"/>
      <c r="BL210" s="293"/>
      <c r="BM210" s="293"/>
      <c r="BN210" s="293"/>
      <c r="BO210" s="293"/>
      <c r="BP210" s="293"/>
      <c r="BQ210" s="293"/>
      <c r="BR210" s="293"/>
      <c r="BS210" s="293"/>
      <c r="BT210" s="293"/>
      <c r="BU210" s="293"/>
      <c r="BV210" s="293"/>
      <c r="BW210" s="293"/>
      <c r="BX210" s="293"/>
      <c r="BY210" s="293"/>
      <c r="BZ210" s="293"/>
      <c r="CA210" s="293"/>
      <c r="CB210" s="293"/>
      <c r="CC210" s="293"/>
      <c r="CD210" s="293"/>
      <c r="CE210" s="293"/>
      <c r="CF210" s="293"/>
      <c r="CG210" s="293"/>
      <c r="CH210" s="293"/>
      <c r="CI210" s="293"/>
      <c r="CJ210" s="293"/>
      <c r="CK210" s="293"/>
      <c r="CL210" s="293"/>
      <c r="CM210" s="293"/>
      <c r="CN210" s="293"/>
      <c r="CO210" s="293"/>
      <c r="CP210" s="293">
        <f t="shared" si="4294"/>
        <v>0</v>
      </c>
    </row>
    <row r="211" spans="1:95" ht="14.25" customHeight="1">
      <c r="A211" s="679">
        <v>106</v>
      </c>
      <c r="B211" s="645" t="s">
        <v>212</v>
      </c>
      <c r="C211" s="646" t="s">
        <v>12</v>
      </c>
      <c r="D211" s="647" t="s">
        <v>195</v>
      </c>
      <c r="E211" s="648" t="s">
        <v>486</v>
      </c>
      <c r="F211" s="642">
        <v>343.53</v>
      </c>
      <c r="G211" s="642">
        <f>AVERAGE(13.5,14,15,16)</f>
        <v>14.625</v>
      </c>
      <c r="H211" s="643">
        <f>F211*G211*365</f>
        <v>1833806.0812499998</v>
      </c>
      <c r="I211" s="291">
        <v>458608.26</v>
      </c>
      <c r="J211" s="295">
        <f>K211</f>
        <v>470207</v>
      </c>
      <c r="K211" s="293">
        <f>L211</f>
        <v>470207</v>
      </c>
      <c r="L211" s="293">
        <f>ROUND(15*365*F211/4,0)</f>
        <v>470207</v>
      </c>
      <c r="M211" s="293">
        <f>N211</f>
        <v>501554</v>
      </c>
      <c r="N211" s="293">
        <f>O211</f>
        <v>501554</v>
      </c>
      <c r="O211" s="293">
        <f>P211</f>
        <v>501554</v>
      </c>
      <c r="P211" s="292">
        <f>ROUND(16*365*F211/4,0)</f>
        <v>501554</v>
      </c>
      <c r="Q211" s="293">
        <f>P211</f>
        <v>501554</v>
      </c>
      <c r="R211" s="293">
        <f>ROUND(Q211*(1+取值表!$D$12)*取值表!$I$12,0)</f>
        <v>515855</v>
      </c>
      <c r="S211" s="293">
        <f>R211</f>
        <v>515855</v>
      </c>
      <c r="T211" s="293">
        <f>S211</f>
        <v>515855</v>
      </c>
      <c r="U211" s="293">
        <f>T211</f>
        <v>515855</v>
      </c>
      <c r="V211" s="294">
        <f>ROUND(U211*(1+取值表!$D$10),0)</f>
        <v>563830</v>
      </c>
      <c r="W211" s="293">
        <f t="shared" ref="W211:Y211" si="4613">V211</f>
        <v>563830</v>
      </c>
      <c r="X211" s="293">
        <f t="shared" si="4613"/>
        <v>563830</v>
      </c>
      <c r="Y211" s="293">
        <f t="shared" si="4613"/>
        <v>563830</v>
      </c>
      <c r="Z211" s="295">
        <f>ROUND(Y211*(1+取值表!$D$10),0)</f>
        <v>616266</v>
      </c>
      <c r="AA211" s="293">
        <f t="shared" ref="AA211:AB211" si="4614">Z211</f>
        <v>616266</v>
      </c>
      <c r="AB211" s="293">
        <f t="shared" si="4614"/>
        <v>616266</v>
      </c>
      <c r="AC211" s="293">
        <f>AB211</f>
        <v>616266</v>
      </c>
      <c r="AD211" s="295">
        <f>ROUND(AC211*(1+取值表!$D$10),0)</f>
        <v>673579</v>
      </c>
      <c r="AE211" s="293">
        <f t="shared" ref="AE211" si="4615">AD211</f>
        <v>673579</v>
      </c>
      <c r="AF211" s="293">
        <f t="shared" ref="AF211" si="4616">AE211</f>
        <v>673579</v>
      </c>
      <c r="AG211" s="293">
        <f t="shared" ref="AG211" si="4617">AF211</f>
        <v>673579</v>
      </c>
      <c r="AH211" s="295">
        <f>ROUND(AG211*(1+取值表!$D$10),0)</f>
        <v>736222</v>
      </c>
      <c r="AI211" s="293">
        <f t="shared" ref="AI211" si="4618">AH211</f>
        <v>736222</v>
      </c>
      <c r="AJ211" s="293">
        <f t="shared" ref="AJ211" si="4619">AI211</f>
        <v>736222</v>
      </c>
      <c r="AK211" s="293">
        <f t="shared" ref="AK211" si="4620">AJ211</f>
        <v>736222</v>
      </c>
      <c r="AL211" s="295">
        <f>ROUND(AK211*(1+取值表!$D$10),0)</f>
        <v>804691</v>
      </c>
      <c r="AM211" s="293">
        <f t="shared" ref="AM211" si="4621">AL211</f>
        <v>804691</v>
      </c>
      <c r="AN211" s="293">
        <f t="shared" ref="AN211" si="4622">AM211</f>
        <v>804691</v>
      </c>
      <c r="AO211" s="293">
        <f t="shared" ref="AO211" si="4623">AN211</f>
        <v>804691</v>
      </c>
      <c r="AP211" s="295">
        <f>ROUND(AO211*(1+取值表!$D$10),0)</f>
        <v>879527</v>
      </c>
      <c r="AQ211" s="293">
        <f t="shared" ref="AQ211" si="4624">AP211</f>
        <v>879527</v>
      </c>
      <c r="AR211" s="293">
        <f t="shared" ref="AR211" si="4625">AQ211</f>
        <v>879527</v>
      </c>
      <c r="AS211" s="293">
        <f t="shared" ref="AS211" si="4626">AR211</f>
        <v>879527</v>
      </c>
      <c r="AT211" s="295">
        <f>ROUND(AS211*(1+取值表!$D$10),0)</f>
        <v>961323</v>
      </c>
      <c r="AU211" s="293">
        <f t="shared" ref="AU211" si="4627">AT211</f>
        <v>961323</v>
      </c>
      <c r="AV211" s="293">
        <f t="shared" ref="AV211" si="4628">AU211</f>
        <v>961323</v>
      </c>
      <c r="AW211" s="293">
        <f t="shared" ref="AW211" si="4629">AV211</f>
        <v>961323</v>
      </c>
      <c r="AX211" s="295">
        <f>ROUND(AW211*(1+取值表!$D$10),0)</f>
        <v>1050726</v>
      </c>
      <c r="AY211" s="293">
        <f t="shared" ref="AY211" si="4630">AX211</f>
        <v>1050726</v>
      </c>
      <c r="AZ211" s="293">
        <f t="shared" ref="AZ211" si="4631">AY211</f>
        <v>1050726</v>
      </c>
      <c r="BA211" s="293">
        <f t="shared" ref="BA211" si="4632">AZ211</f>
        <v>1050726</v>
      </c>
      <c r="BB211" s="295">
        <f>ROUND(BA211*(1+取值表!$D$10),0)</f>
        <v>1148444</v>
      </c>
      <c r="BC211" s="293">
        <f>BB211</f>
        <v>1148444</v>
      </c>
      <c r="BD211" s="293">
        <f t="shared" ref="BD211" si="4633">BC211</f>
        <v>1148444</v>
      </c>
      <c r="BE211" s="293">
        <f>BD211</f>
        <v>1148444</v>
      </c>
      <c r="BF211" s="295">
        <f>ROUND(BE211*(1+取值表!$D$10),0)</f>
        <v>1255249</v>
      </c>
      <c r="BG211" s="293">
        <f>BF211</f>
        <v>1255249</v>
      </c>
      <c r="BH211" s="293">
        <f t="shared" ref="BH211" si="4634">BG211</f>
        <v>1255249</v>
      </c>
      <c r="BI211" s="293">
        <f t="shared" ref="BI211" si="4635">BH211</f>
        <v>1255249</v>
      </c>
      <c r="BJ211" s="295">
        <f>ROUND(BI211*(1+取值表!$D$10),0)</f>
        <v>1371987</v>
      </c>
      <c r="BK211" s="293">
        <f t="shared" ref="BK211" si="4636">BJ211</f>
        <v>1371987</v>
      </c>
      <c r="BL211" s="293">
        <f t="shared" ref="BL211" si="4637">BK211</f>
        <v>1371987</v>
      </c>
      <c r="BM211" s="293">
        <f t="shared" ref="BM211" si="4638">BL211</f>
        <v>1371987</v>
      </c>
      <c r="BN211" s="295">
        <f>ROUND(BM211*(1+取值表!$D$10),0)</f>
        <v>1499582</v>
      </c>
      <c r="BO211" s="293">
        <f t="shared" ref="BO211" si="4639">BN211</f>
        <v>1499582</v>
      </c>
      <c r="BP211" s="293">
        <f t="shared" ref="BP211" si="4640">BO211</f>
        <v>1499582</v>
      </c>
      <c r="BQ211" s="293">
        <f t="shared" ref="BQ211" si="4641">BP211</f>
        <v>1499582</v>
      </c>
      <c r="BR211" s="295">
        <f>ROUND(BQ211*(1+取值表!$D$10),0)</f>
        <v>1639043</v>
      </c>
      <c r="BS211" s="293">
        <f t="shared" ref="BS211" si="4642">BR211</f>
        <v>1639043</v>
      </c>
      <c r="BT211" s="293">
        <f t="shared" ref="BT211" si="4643">BS211</f>
        <v>1639043</v>
      </c>
      <c r="BU211" s="293">
        <f t="shared" ref="BU211" si="4644">BT211</f>
        <v>1639043</v>
      </c>
      <c r="BV211" s="295">
        <f>ROUND(BU211*(1+取值表!$D$10),0)</f>
        <v>1791474</v>
      </c>
      <c r="BW211" s="293">
        <f t="shared" ref="BW211" si="4645">BV211</f>
        <v>1791474</v>
      </c>
      <c r="BX211" s="293">
        <f t="shared" ref="BX211" si="4646">BW211</f>
        <v>1791474</v>
      </c>
      <c r="BY211" s="293">
        <f t="shared" ref="BY211" si="4647">BX211</f>
        <v>1791474</v>
      </c>
      <c r="BZ211" s="295">
        <f>ROUND(BY211*(1+取值表!$D$10),0)</f>
        <v>1958081</v>
      </c>
      <c r="CA211" s="293">
        <f t="shared" ref="CA211" si="4648">BZ211</f>
        <v>1958081</v>
      </c>
      <c r="CB211" s="293">
        <f t="shared" ref="CB211" si="4649">CA211</f>
        <v>1958081</v>
      </c>
      <c r="CC211" s="293">
        <f t="shared" ref="CC211" si="4650">CB211</f>
        <v>1958081</v>
      </c>
      <c r="CD211" s="295">
        <f>ROUND(CC211*(1+取值表!$D$10),0)</f>
        <v>2140183</v>
      </c>
      <c r="CE211" s="293">
        <f t="shared" ref="CE211" si="4651">CD211</f>
        <v>2140183</v>
      </c>
      <c r="CF211" s="293">
        <f t="shared" ref="CF211" si="4652">CE211</f>
        <v>2140183</v>
      </c>
      <c r="CG211" s="293">
        <f t="shared" ref="CG211" si="4653">CF211</f>
        <v>2140183</v>
      </c>
      <c r="CH211" s="295">
        <f>ROUND(CG211*(1+取值表!$D$10),0)</f>
        <v>2339220</v>
      </c>
      <c r="CI211" s="293">
        <f>CH211</f>
        <v>2339220</v>
      </c>
      <c r="CJ211" s="293">
        <f t="shared" ref="CJ211" si="4654">CI211</f>
        <v>2339220</v>
      </c>
      <c r="CK211" s="293">
        <f t="shared" ref="CK211" si="4655">CJ211</f>
        <v>2339220</v>
      </c>
      <c r="CL211" s="295">
        <f>ROUND(CK211*(1+取值表!$D$10),0)</f>
        <v>2556767</v>
      </c>
      <c r="CM211" s="293">
        <f>CL211</f>
        <v>2556767</v>
      </c>
      <c r="CN211" s="293">
        <f t="shared" ref="CN211" si="4656">CM211</f>
        <v>2556767</v>
      </c>
      <c r="CO211" s="293">
        <f t="shared" ref="CO211" si="4657">CN211</f>
        <v>2556767</v>
      </c>
      <c r="CP211" s="293">
        <f t="shared" si="4294"/>
        <v>101926587</v>
      </c>
    </row>
    <row r="212" spans="1:95">
      <c r="A212" s="680"/>
      <c r="B212" s="645"/>
      <c r="C212" s="646"/>
      <c r="D212" s="647"/>
      <c r="E212" s="648"/>
      <c r="F212" s="642"/>
      <c r="G212" s="642"/>
      <c r="H212" s="643"/>
      <c r="I212" s="291"/>
      <c r="J212" s="295"/>
      <c r="K212" s="293"/>
      <c r="L212" s="293"/>
      <c r="M212" s="293"/>
      <c r="N212" s="293"/>
      <c r="O212" s="293"/>
      <c r="P212" s="293"/>
      <c r="Q212" s="293"/>
      <c r="R212" s="293"/>
      <c r="S212" s="293"/>
      <c r="T212" s="293"/>
      <c r="U212" s="293"/>
      <c r="V212" s="293"/>
      <c r="W212" s="293"/>
      <c r="X212" s="293"/>
      <c r="Y212" s="293"/>
      <c r="Z212" s="293"/>
      <c r="AA212" s="293"/>
      <c r="AB212" s="293"/>
      <c r="AC212" s="293"/>
      <c r="AD212" s="293"/>
      <c r="AE212" s="293"/>
      <c r="AF212" s="293"/>
      <c r="AG212" s="293"/>
      <c r="AH212" s="293"/>
      <c r="AI212" s="293"/>
      <c r="AJ212" s="293"/>
      <c r="AK212" s="293"/>
      <c r="AL212" s="293"/>
      <c r="AM212" s="293"/>
      <c r="AN212" s="293"/>
      <c r="AO212" s="293"/>
      <c r="AP212" s="293"/>
      <c r="AQ212" s="293"/>
      <c r="AR212" s="293"/>
      <c r="AS212" s="293"/>
      <c r="AT212" s="293"/>
      <c r="AU212" s="293"/>
      <c r="AV212" s="293"/>
      <c r="AW212" s="293"/>
      <c r="AX212" s="293"/>
      <c r="AY212" s="293"/>
      <c r="AZ212" s="293"/>
      <c r="BA212" s="293"/>
      <c r="BB212" s="293"/>
      <c r="BC212" s="293"/>
      <c r="BD212" s="293"/>
      <c r="BE212" s="293"/>
      <c r="BF212" s="293"/>
      <c r="BG212" s="293"/>
      <c r="BH212" s="293"/>
      <c r="BI212" s="293"/>
      <c r="BJ212" s="293"/>
      <c r="BK212" s="293"/>
      <c r="BL212" s="293"/>
      <c r="BM212" s="293"/>
      <c r="BN212" s="293"/>
      <c r="BO212" s="293"/>
      <c r="BP212" s="293"/>
      <c r="BQ212" s="293"/>
      <c r="BR212" s="293"/>
      <c r="BS212" s="293"/>
      <c r="BT212" s="293"/>
      <c r="BU212" s="293"/>
      <c r="BV212" s="293"/>
      <c r="BW212" s="293"/>
      <c r="BX212" s="293"/>
      <c r="BY212" s="293"/>
      <c r="BZ212" s="293"/>
      <c r="CA212" s="293"/>
      <c r="CB212" s="293"/>
      <c r="CC212" s="293"/>
      <c r="CD212" s="293"/>
      <c r="CE212" s="293"/>
      <c r="CF212" s="293"/>
      <c r="CG212" s="293"/>
      <c r="CH212" s="293"/>
      <c r="CI212" s="293"/>
      <c r="CJ212" s="293"/>
      <c r="CK212" s="293"/>
      <c r="CL212" s="293"/>
      <c r="CM212" s="293"/>
      <c r="CN212" s="293"/>
      <c r="CO212" s="293"/>
      <c r="CP212" s="293">
        <f t="shared" si="4294"/>
        <v>0</v>
      </c>
    </row>
    <row r="213" spans="1:95" s="314" customFormat="1" ht="12" customHeight="1">
      <c r="A213" s="679">
        <v>107</v>
      </c>
      <c r="B213" s="658" t="s">
        <v>213</v>
      </c>
      <c r="C213" s="646" t="s">
        <v>214</v>
      </c>
      <c r="D213" s="647" t="s">
        <v>215</v>
      </c>
      <c r="E213" s="648" t="s">
        <v>486</v>
      </c>
      <c r="F213" s="642">
        <v>39.6</v>
      </c>
      <c r="G213" s="642">
        <v>23</v>
      </c>
      <c r="H213" s="643">
        <f>F213*G213*365</f>
        <v>332442</v>
      </c>
      <c r="I213" s="291">
        <v>83110.5</v>
      </c>
      <c r="J213" s="295">
        <f>ROUND(G213*F213*365/4,0)</f>
        <v>83111</v>
      </c>
      <c r="K213" s="293">
        <f>J213</f>
        <v>83111</v>
      </c>
      <c r="L213" s="292">
        <f>K213</f>
        <v>83111</v>
      </c>
      <c r="M213" s="293">
        <f>L213</f>
        <v>83111</v>
      </c>
      <c r="N213" s="293">
        <f>ROUND(M213*(1+取值表!$D$12)*取值表!$I$12,0)</f>
        <v>85481</v>
      </c>
      <c r="O213" s="293">
        <f>N213</f>
        <v>85481</v>
      </c>
      <c r="P213" s="293">
        <f>O213</f>
        <v>85481</v>
      </c>
      <c r="Q213" s="293">
        <f>P213</f>
        <v>85481</v>
      </c>
      <c r="R213" s="294">
        <f>ROUND(Q213*(1+取值表!$D$8),0)</f>
        <v>93431</v>
      </c>
      <c r="S213" s="293">
        <f t="shared" ref="S213:T213" si="4658">R213</f>
        <v>93431</v>
      </c>
      <c r="T213" s="293">
        <f t="shared" si="4658"/>
        <v>93431</v>
      </c>
      <c r="U213" s="293">
        <f>T213</f>
        <v>93431</v>
      </c>
      <c r="V213" s="293">
        <f>ROUND(U213*(1+取值表!$D$12),0)</f>
        <v>102120</v>
      </c>
      <c r="W213" s="293">
        <f t="shared" ref="W213:Y213" si="4659">V213</f>
        <v>102120</v>
      </c>
      <c r="X213" s="293">
        <f t="shared" si="4659"/>
        <v>102120</v>
      </c>
      <c r="Y213" s="293">
        <f t="shared" si="4659"/>
        <v>102120</v>
      </c>
      <c r="Z213" s="293">
        <f>ROUND(Y213*(1+取值表!$D$12),0)</f>
        <v>111617</v>
      </c>
      <c r="AA213" s="293">
        <f t="shared" ref="AA213" si="4660">Z213</f>
        <v>111617</v>
      </c>
      <c r="AB213" s="293">
        <f t="shared" ref="AB213" si="4661">AA213</f>
        <v>111617</v>
      </c>
      <c r="AC213" s="293">
        <f>AB213</f>
        <v>111617</v>
      </c>
      <c r="AD213" s="293">
        <f>ROUND(AC213*(1+取值表!$D$12),0)</f>
        <v>121997</v>
      </c>
      <c r="AE213" s="293">
        <f t="shared" ref="AE213" si="4662">AD213</f>
        <v>121997</v>
      </c>
      <c r="AF213" s="293">
        <f t="shared" ref="AF213" si="4663">AE213</f>
        <v>121997</v>
      </c>
      <c r="AG213" s="293">
        <f t="shared" ref="AG213" si="4664">AF213</f>
        <v>121997</v>
      </c>
      <c r="AH213" s="293">
        <f>ROUND(AG213*(1+取值表!$D$12),0)</f>
        <v>133343</v>
      </c>
      <c r="AI213" s="293">
        <f t="shared" ref="AI213" si="4665">AH213</f>
        <v>133343</v>
      </c>
      <c r="AJ213" s="293">
        <f t="shared" ref="AJ213" si="4666">AI213</f>
        <v>133343</v>
      </c>
      <c r="AK213" s="293">
        <f t="shared" ref="AK213" si="4667">AJ213</f>
        <v>133343</v>
      </c>
      <c r="AL213" s="293">
        <f>ROUND(AK213*(1+取值表!$D$12),0)</f>
        <v>145744</v>
      </c>
      <c r="AM213" s="293">
        <f t="shared" ref="AM213" si="4668">AL213</f>
        <v>145744</v>
      </c>
      <c r="AN213" s="293">
        <f t="shared" ref="AN213" si="4669">AM213</f>
        <v>145744</v>
      </c>
      <c r="AO213" s="293">
        <f t="shared" ref="AO213" si="4670">AN213</f>
        <v>145744</v>
      </c>
      <c r="AP213" s="293">
        <f>ROUND(AO213*(1+取值表!$D$12),0)</f>
        <v>159298</v>
      </c>
      <c r="AQ213" s="293">
        <f t="shared" ref="AQ213" si="4671">AP213</f>
        <v>159298</v>
      </c>
      <c r="AR213" s="293">
        <f t="shared" ref="AR213" si="4672">AQ213</f>
        <v>159298</v>
      </c>
      <c r="AS213" s="293">
        <f t="shared" ref="AS213" si="4673">AR213</f>
        <v>159298</v>
      </c>
      <c r="AT213" s="293">
        <f>ROUND(AS213*(1+取值表!$D$12),0)</f>
        <v>174113</v>
      </c>
      <c r="AU213" s="293">
        <f t="shared" ref="AU213" si="4674">AT213</f>
        <v>174113</v>
      </c>
      <c r="AV213" s="293">
        <f t="shared" ref="AV213" si="4675">AU213</f>
        <v>174113</v>
      </c>
      <c r="AW213" s="293">
        <f t="shared" ref="AW213" si="4676">AV213</f>
        <v>174113</v>
      </c>
      <c r="AX213" s="293">
        <f>ROUND(AW213*(1+取值表!$D$12),0)</f>
        <v>190306</v>
      </c>
      <c r="AY213" s="293">
        <f t="shared" ref="AY213" si="4677">AX213</f>
        <v>190306</v>
      </c>
      <c r="AZ213" s="293">
        <f t="shared" ref="AZ213" si="4678">AY213</f>
        <v>190306</v>
      </c>
      <c r="BA213" s="293">
        <f t="shared" ref="BA213" si="4679">AZ213</f>
        <v>190306</v>
      </c>
      <c r="BB213" s="293">
        <f>ROUND(BA213*(1+取值表!$D$12),0)</f>
        <v>208004</v>
      </c>
      <c r="BC213" s="293">
        <f>BB213</f>
        <v>208004</v>
      </c>
      <c r="BD213" s="293">
        <f t="shared" ref="BD213" si="4680">BC213</f>
        <v>208004</v>
      </c>
      <c r="BE213" s="293">
        <f>BD213</f>
        <v>208004</v>
      </c>
      <c r="BF213" s="293">
        <f>ROUND(BE213*(1+取值表!$D$12),0)</f>
        <v>227348</v>
      </c>
      <c r="BG213" s="293">
        <f>BF213</f>
        <v>227348</v>
      </c>
      <c r="BH213" s="293">
        <f t="shared" ref="BH213" si="4681">BG213</f>
        <v>227348</v>
      </c>
      <c r="BI213" s="293">
        <f t="shared" ref="BI213" si="4682">BH213</f>
        <v>227348</v>
      </c>
      <c r="BJ213" s="293">
        <f>ROUND(BI213*(1+取值表!$D$12),0)</f>
        <v>248491</v>
      </c>
      <c r="BK213" s="293">
        <f t="shared" ref="BK213" si="4683">BJ213</f>
        <v>248491</v>
      </c>
      <c r="BL213" s="293">
        <f t="shared" ref="BL213" si="4684">BK213</f>
        <v>248491</v>
      </c>
      <c r="BM213" s="293">
        <f t="shared" ref="BM213" si="4685">BL213</f>
        <v>248491</v>
      </c>
      <c r="BN213" s="293">
        <f>ROUND(BM213*(1+取值表!$D$12),0)</f>
        <v>271601</v>
      </c>
      <c r="BO213" s="293">
        <f t="shared" ref="BO213" si="4686">BN213</f>
        <v>271601</v>
      </c>
      <c r="BP213" s="293">
        <f t="shared" ref="BP213" si="4687">BO213</f>
        <v>271601</v>
      </c>
      <c r="BQ213" s="293">
        <f t="shared" ref="BQ213" si="4688">BP213</f>
        <v>271601</v>
      </c>
      <c r="BR213" s="293">
        <f>ROUND(BQ213*(1+取值表!$D$12),0)</f>
        <v>296860</v>
      </c>
      <c r="BS213" s="293">
        <f t="shared" ref="BS213" si="4689">BR213</f>
        <v>296860</v>
      </c>
      <c r="BT213" s="293">
        <f t="shared" ref="BT213" si="4690">BS213</f>
        <v>296860</v>
      </c>
      <c r="BU213" s="293">
        <f t="shared" ref="BU213" si="4691">BT213</f>
        <v>296860</v>
      </c>
      <c r="BV213" s="293">
        <f>ROUND(BU213*(1+取值表!$D$12),0)</f>
        <v>324468</v>
      </c>
      <c r="BW213" s="293">
        <f t="shared" ref="BW213" si="4692">BV213</f>
        <v>324468</v>
      </c>
      <c r="BX213" s="293">
        <f t="shared" ref="BX213" si="4693">BW213</f>
        <v>324468</v>
      </c>
      <c r="BY213" s="293">
        <f t="shared" ref="BY213" si="4694">BX213</f>
        <v>324468</v>
      </c>
      <c r="BZ213" s="293">
        <f>ROUND(BY213*(1+取值表!$D$12),0)</f>
        <v>354644</v>
      </c>
      <c r="CA213" s="293">
        <f t="shared" ref="CA213" si="4695">BZ213</f>
        <v>354644</v>
      </c>
      <c r="CB213" s="293">
        <f t="shared" ref="CB213" si="4696">CA213</f>
        <v>354644</v>
      </c>
      <c r="CC213" s="293">
        <f t="shared" ref="CC213" si="4697">CB213</f>
        <v>354644</v>
      </c>
      <c r="CD213" s="293">
        <f>ROUND(CC213*(1+取值表!$D$12),0)</f>
        <v>387626</v>
      </c>
      <c r="CE213" s="293">
        <f t="shared" ref="CE213" si="4698">CD213</f>
        <v>387626</v>
      </c>
      <c r="CF213" s="293">
        <f t="shared" ref="CF213" si="4699">CE213</f>
        <v>387626</v>
      </c>
      <c r="CG213" s="293">
        <f t="shared" ref="CG213" si="4700">CF213</f>
        <v>387626</v>
      </c>
      <c r="CH213" s="293">
        <f>ROUND(CG213*(1+取值表!$D$12),0)</f>
        <v>423675</v>
      </c>
      <c r="CI213" s="293">
        <f>CH213</f>
        <v>423675</v>
      </c>
      <c r="CJ213" s="293">
        <f t="shared" ref="CJ213" si="4701">CI213</f>
        <v>423675</v>
      </c>
      <c r="CK213" s="293">
        <f t="shared" ref="CK213" si="4702">CJ213</f>
        <v>423675</v>
      </c>
      <c r="CL213" s="293">
        <f>ROUND(CK213*(1+取值表!$D$12),0)</f>
        <v>463077</v>
      </c>
      <c r="CM213" s="293">
        <f>CL213</f>
        <v>463077</v>
      </c>
      <c r="CN213" s="293">
        <f t="shared" ref="CN213" si="4703">CM213</f>
        <v>463077</v>
      </c>
      <c r="CO213" s="293">
        <f t="shared" ref="CO213" si="4704">CN213</f>
        <v>463077</v>
      </c>
      <c r="CP213" s="293">
        <f t="shared" si="4294"/>
        <v>18425420</v>
      </c>
      <c r="CQ213" s="289"/>
    </row>
    <row r="214" spans="1:95" s="314" customFormat="1">
      <c r="A214" s="680"/>
      <c r="B214" s="658"/>
      <c r="C214" s="646"/>
      <c r="D214" s="647"/>
      <c r="E214" s="648"/>
      <c r="F214" s="642"/>
      <c r="G214" s="642"/>
      <c r="H214" s="643"/>
      <c r="I214" s="291"/>
      <c r="J214" s="295"/>
      <c r="K214" s="293"/>
      <c r="L214" s="293"/>
      <c r="M214" s="293"/>
      <c r="N214" s="293"/>
      <c r="O214" s="293"/>
      <c r="P214" s="293"/>
      <c r="Q214" s="293"/>
      <c r="R214" s="293"/>
      <c r="S214" s="293"/>
      <c r="T214" s="293"/>
      <c r="U214" s="293"/>
      <c r="V214" s="293"/>
      <c r="W214" s="293"/>
      <c r="X214" s="293"/>
      <c r="Y214" s="293"/>
      <c r="Z214" s="293"/>
      <c r="AA214" s="293"/>
      <c r="AB214" s="293"/>
      <c r="AC214" s="293"/>
      <c r="AD214" s="293"/>
      <c r="AE214" s="293"/>
      <c r="AF214" s="293"/>
      <c r="AG214" s="293"/>
      <c r="AH214" s="293"/>
      <c r="AI214" s="293"/>
      <c r="AJ214" s="293"/>
      <c r="AK214" s="293"/>
      <c r="AL214" s="293"/>
      <c r="AM214" s="293"/>
      <c r="AN214" s="293"/>
      <c r="AO214" s="293"/>
      <c r="AP214" s="293"/>
      <c r="AQ214" s="293"/>
      <c r="AR214" s="293"/>
      <c r="AS214" s="293"/>
      <c r="AT214" s="293"/>
      <c r="AU214" s="293"/>
      <c r="AV214" s="293"/>
      <c r="AW214" s="293"/>
      <c r="AX214" s="293"/>
      <c r="AY214" s="293"/>
      <c r="AZ214" s="293"/>
      <c r="BA214" s="293"/>
      <c r="BB214" s="293"/>
      <c r="BC214" s="293"/>
      <c r="BD214" s="293"/>
      <c r="BE214" s="293"/>
      <c r="BF214" s="293"/>
      <c r="BG214" s="293"/>
      <c r="BH214" s="293"/>
      <c r="BI214" s="293"/>
      <c r="BJ214" s="293"/>
      <c r="BK214" s="293"/>
      <c r="BL214" s="293"/>
      <c r="BM214" s="293"/>
      <c r="BN214" s="293"/>
      <c r="BO214" s="293"/>
      <c r="BP214" s="293"/>
      <c r="BQ214" s="293"/>
      <c r="BR214" s="293"/>
      <c r="BS214" s="293"/>
      <c r="BT214" s="293"/>
      <c r="BU214" s="293"/>
      <c r="BV214" s="293"/>
      <c r="BW214" s="293"/>
      <c r="BX214" s="293"/>
      <c r="BY214" s="293"/>
      <c r="BZ214" s="293"/>
      <c r="CA214" s="293"/>
      <c r="CB214" s="293"/>
      <c r="CC214" s="293"/>
      <c r="CD214" s="293"/>
      <c r="CE214" s="293"/>
      <c r="CF214" s="293"/>
      <c r="CG214" s="293"/>
      <c r="CH214" s="293"/>
      <c r="CI214" s="293"/>
      <c r="CJ214" s="293"/>
      <c r="CK214" s="293"/>
      <c r="CL214" s="293"/>
      <c r="CM214" s="293"/>
      <c r="CN214" s="293"/>
      <c r="CO214" s="293"/>
      <c r="CP214" s="293">
        <f t="shared" si="4294"/>
        <v>0</v>
      </c>
      <c r="CQ214" s="289"/>
    </row>
    <row r="215" spans="1:95" s="314" customFormat="1" ht="12" customHeight="1">
      <c r="A215" s="679">
        <v>108</v>
      </c>
      <c r="B215" s="645" t="s">
        <v>216</v>
      </c>
      <c r="C215" s="646" t="s">
        <v>217</v>
      </c>
      <c r="D215" s="647" t="s">
        <v>218</v>
      </c>
      <c r="E215" s="648" t="s">
        <v>486</v>
      </c>
      <c r="F215" s="642">
        <v>4.9800000000000004</v>
      </c>
      <c r="G215" s="642">
        <v>25</v>
      </c>
      <c r="H215" s="643">
        <f>F215*G215*365</f>
        <v>45442.500000000007</v>
      </c>
      <c r="I215" s="291">
        <v>11360.625000000002</v>
      </c>
      <c r="J215" s="295">
        <f>ROUND(G215*F215*365/4,0)</f>
        <v>11361</v>
      </c>
      <c r="K215" s="292">
        <f>J215</f>
        <v>11361</v>
      </c>
      <c r="L215" s="293">
        <f>K215</f>
        <v>11361</v>
      </c>
      <c r="M215" s="293">
        <f>L215</f>
        <v>11361</v>
      </c>
      <c r="N215" s="293">
        <f>ROUND(M215*(1+取值表!$D$12)*取值表!$I$12,0)</f>
        <v>11685</v>
      </c>
      <c r="O215" s="293">
        <f>N215</f>
        <v>11685</v>
      </c>
      <c r="P215" s="293">
        <f>O215</f>
        <v>11685</v>
      </c>
      <c r="Q215" s="293">
        <f>P215</f>
        <v>11685</v>
      </c>
      <c r="R215" s="294">
        <f>ROUND(Q215*(1+取值表!$D$8),0)</f>
        <v>12772</v>
      </c>
      <c r="S215" s="293">
        <f t="shared" ref="S215:T215" si="4705">R215</f>
        <v>12772</v>
      </c>
      <c r="T215" s="293">
        <f t="shared" si="4705"/>
        <v>12772</v>
      </c>
      <c r="U215" s="293">
        <f>T215</f>
        <v>12772</v>
      </c>
      <c r="V215" s="293">
        <f>ROUND(U215*(1+取值表!$D$12),0)</f>
        <v>13960</v>
      </c>
      <c r="W215" s="293">
        <f t="shared" ref="W215:Y215" si="4706">V215</f>
        <v>13960</v>
      </c>
      <c r="X215" s="293">
        <f t="shared" si="4706"/>
        <v>13960</v>
      </c>
      <c r="Y215" s="293">
        <f t="shared" si="4706"/>
        <v>13960</v>
      </c>
      <c r="Z215" s="293">
        <f>ROUND(Y215*(1+取值表!$D$12),0)</f>
        <v>15258</v>
      </c>
      <c r="AA215" s="293">
        <f t="shared" ref="AA215" si="4707">Z215</f>
        <v>15258</v>
      </c>
      <c r="AB215" s="293">
        <f t="shared" ref="AB215" si="4708">AA215</f>
        <v>15258</v>
      </c>
      <c r="AC215" s="293">
        <f>AB215</f>
        <v>15258</v>
      </c>
      <c r="AD215" s="293">
        <f>ROUND(AC215*(1+取值表!$D$12),0)</f>
        <v>16677</v>
      </c>
      <c r="AE215" s="293">
        <f t="shared" ref="AE215" si="4709">AD215</f>
        <v>16677</v>
      </c>
      <c r="AF215" s="293">
        <f t="shared" ref="AF215" si="4710">AE215</f>
        <v>16677</v>
      </c>
      <c r="AG215" s="293">
        <f t="shared" ref="AG215" si="4711">AF215</f>
        <v>16677</v>
      </c>
      <c r="AH215" s="293">
        <f>ROUND(AG215*(1+取值表!$D$12),0)</f>
        <v>18228</v>
      </c>
      <c r="AI215" s="293">
        <f t="shared" ref="AI215" si="4712">AH215</f>
        <v>18228</v>
      </c>
      <c r="AJ215" s="293">
        <f t="shared" ref="AJ215" si="4713">AI215</f>
        <v>18228</v>
      </c>
      <c r="AK215" s="293">
        <f t="shared" ref="AK215" si="4714">AJ215</f>
        <v>18228</v>
      </c>
      <c r="AL215" s="293">
        <f>ROUND(AK215*(1+取值表!$D$12),0)</f>
        <v>19923</v>
      </c>
      <c r="AM215" s="293">
        <f t="shared" ref="AM215" si="4715">AL215</f>
        <v>19923</v>
      </c>
      <c r="AN215" s="293">
        <f t="shared" ref="AN215" si="4716">AM215</f>
        <v>19923</v>
      </c>
      <c r="AO215" s="293">
        <f t="shared" ref="AO215" si="4717">AN215</f>
        <v>19923</v>
      </c>
      <c r="AP215" s="293">
        <f>ROUND(AO215*(1+取值表!$D$12),0)</f>
        <v>21776</v>
      </c>
      <c r="AQ215" s="293">
        <f t="shared" ref="AQ215" si="4718">AP215</f>
        <v>21776</v>
      </c>
      <c r="AR215" s="293">
        <f t="shared" ref="AR215" si="4719">AQ215</f>
        <v>21776</v>
      </c>
      <c r="AS215" s="293">
        <f t="shared" ref="AS215" si="4720">AR215</f>
        <v>21776</v>
      </c>
      <c r="AT215" s="293">
        <f>ROUND(AS215*(1+取值表!$D$12),0)</f>
        <v>23801</v>
      </c>
      <c r="AU215" s="293">
        <f t="shared" ref="AU215" si="4721">AT215</f>
        <v>23801</v>
      </c>
      <c r="AV215" s="293">
        <f t="shared" ref="AV215" si="4722">AU215</f>
        <v>23801</v>
      </c>
      <c r="AW215" s="293">
        <f t="shared" ref="AW215" si="4723">AV215</f>
        <v>23801</v>
      </c>
      <c r="AX215" s="293">
        <f>ROUND(AW215*(1+取值表!$D$12),0)</f>
        <v>26014</v>
      </c>
      <c r="AY215" s="293">
        <f t="shared" ref="AY215" si="4724">AX215</f>
        <v>26014</v>
      </c>
      <c r="AZ215" s="293">
        <f t="shared" ref="AZ215" si="4725">AY215</f>
        <v>26014</v>
      </c>
      <c r="BA215" s="293">
        <f t="shared" ref="BA215" si="4726">AZ215</f>
        <v>26014</v>
      </c>
      <c r="BB215" s="293">
        <f>ROUND(BA215*(1+取值表!$D$12),0)</f>
        <v>28433</v>
      </c>
      <c r="BC215" s="293">
        <f>BB215</f>
        <v>28433</v>
      </c>
      <c r="BD215" s="293">
        <f t="shared" ref="BD215" si="4727">BC215</f>
        <v>28433</v>
      </c>
      <c r="BE215" s="293">
        <f>BD215</f>
        <v>28433</v>
      </c>
      <c r="BF215" s="293">
        <f>ROUND(BE215*(1+取值表!$D$12),0)</f>
        <v>31077</v>
      </c>
      <c r="BG215" s="293">
        <f>BF215</f>
        <v>31077</v>
      </c>
      <c r="BH215" s="293">
        <f t="shared" ref="BH215" si="4728">BG215</f>
        <v>31077</v>
      </c>
      <c r="BI215" s="293">
        <f t="shared" ref="BI215" si="4729">BH215</f>
        <v>31077</v>
      </c>
      <c r="BJ215" s="293">
        <f>ROUND(BI215*(1+取值表!$D$12),0)</f>
        <v>33967</v>
      </c>
      <c r="BK215" s="293">
        <f t="shared" ref="BK215" si="4730">BJ215</f>
        <v>33967</v>
      </c>
      <c r="BL215" s="293">
        <f t="shared" ref="BL215" si="4731">BK215</f>
        <v>33967</v>
      </c>
      <c r="BM215" s="293">
        <f t="shared" ref="BM215" si="4732">BL215</f>
        <v>33967</v>
      </c>
      <c r="BN215" s="293">
        <f>ROUND(BM215*(1+取值表!$D$12),0)</f>
        <v>37126</v>
      </c>
      <c r="BO215" s="293">
        <f t="shared" ref="BO215" si="4733">BN215</f>
        <v>37126</v>
      </c>
      <c r="BP215" s="293">
        <f t="shared" ref="BP215" si="4734">BO215</f>
        <v>37126</v>
      </c>
      <c r="BQ215" s="293">
        <f t="shared" ref="BQ215" si="4735">BP215</f>
        <v>37126</v>
      </c>
      <c r="BR215" s="293">
        <f>ROUND(BQ215*(1+取值表!$D$12),0)</f>
        <v>40579</v>
      </c>
      <c r="BS215" s="293">
        <f t="shared" ref="BS215" si="4736">BR215</f>
        <v>40579</v>
      </c>
      <c r="BT215" s="293">
        <f t="shared" ref="BT215" si="4737">BS215</f>
        <v>40579</v>
      </c>
      <c r="BU215" s="293">
        <f t="shared" ref="BU215" si="4738">BT215</f>
        <v>40579</v>
      </c>
      <c r="BV215" s="293">
        <f>ROUND(BU215*(1+取值表!$D$12),0)</f>
        <v>44353</v>
      </c>
      <c r="BW215" s="293">
        <f t="shared" ref="BW215" si="4739">BV215</f>
        <v>44353</v>
      </c>
      <c r="BX215" s="293">
        <f t="shared" ref="BX215" si="4740">BW215</f>
        <v>44353</v>
      </c>
      <c r="BY215" s="293">
        <f t="shared" ref="BY215" si="4741">BX215</f>
        <v>44353</v>
      </c>
      <c r="BZ215" s="293">
        <f>ROUND(BY215*(1+取值表!$D$12),0)</f>
        <v>48478</v>
      </c>
      <c r="CA215" s="293">
        <f t="shared" ref="CA215" si="4742">BZ215</f>
        <v>48478</v>
      </c>
      <c r="CB215" s="293">
        <f t="shared" ref="CB215" si="4743">CA215</f>
        <v>48478</v>
      </c>
      <c r="CC215" s="293">
        <f t="shared" ref="CC215" si="4744">CB215</f>
        <v>48478</v>
      </c>
      <c r="CD215" s="293">
        <f>ROUND(CC215*(1+取值表!$D$12),0)</f>
        <v>52986</v>
      </c>
      <c r="CE215" s="293">
        <f t="shared" ref="CE215" si="4745">CD215</f>
        <v>52986</v>
      </c>
      <c r="CF215" s="293">
        <f t="shared" ref="CF215" si="4746">CE215</f>
        <v>52986</v>
      </c>
      <c r="CG215" s="293">
        <f t="shared" ref="CG215" si="4747">CF215</f>
        <v>52986</v>
      </c>
      <c r="CH215" s="293">
        <f>ROUND(CG215*(1+取值表!$D$12),0)</f>
        <v>57914</v>
      </c>
      <c r="CI215" s="293">
        <f>CH215</f>
        <v>57914</v>
      </c>
      <c r="CJ215" s="293">
        <f t="shared" ref="CJ215" si="4748">CI215</f>
        <v>57914</v>
      </c>
      <c r="CK215" s="293">
        <f t="shared" ref="CK215" si="4749">CJ215</f>
        <v>57914</v>
      </c>
      <c r="CL215" s="293">
        <f>ROUND(CK215*(1+取值表!$D$12),0)</f>
        <v>63300</v>
      </c>
      <c r="CM215" s="293">
        <f>CL215</f>
        <v>63300</v>
      </c>
      <c r="CN215" s="293">
        <f t="shared" ref="CN215" si="4750">CM215</f>
        <v>63300</v>
      </c>
      <c r="CO215" s="293">
        <f t="shared" ref="CO215" si="4751">CN215</f>
        <v>63300</v>
      </c>
      <c r="CP215" s="293">
        <f t="shared" si="4294"/>
        <v>2518672</v>
      </c>
      <c r="CQ215" s="289"/>
    </row>
    <row r="216" spans="1:95" s="314" customFormat="1">
      <c r="A216" s="680"/>
      <c r="B216" s="645"/>
      <c r="C216" s="646"/>
      <c r="D216" s="647"/>
      <c r="E216" s="648"/>
      <c r="F216" s="642"/>
      <c r="G216" s="642"/>
      <c r="H216" s="643"/>
      <c r="I216" s="291"/>
      <c r="J216" s="295"/>
      <c r="K216" s="293"/>
      <c r="L216" s="293"/>
      <c r="M216" s="293"/>
      <c r="N216" s="293"/>
      <c r="O216" s="293"/>
      <c r="P216" s="293"/>
      <c r="Q216" s="293"/>
      <c r="R216" s="293"/>
      <c r="S216" s="293"/>
      <c r="T216" s="293"/>
      <c r="U216" s="293"/>
      <c r="V216" s="293"/>
      <c r="W216" s="293"/>
      <c r="X216" s="293"/>
      <c r="Y216" s="293"/>
      <c r="Z216" s="293"/>
      <c r="AA216" s="293"/>
      <c r="AB216" s="293"/>
      <c r="AC216" s="293"/>
      <c r="AD216" s="293"/>
      <c r="AE216" s="293"/>
      <c r="AF216" s="293"/>
      <c r="AG216" s="293"/>
      <c r="AH216" s="293"/>
      <c r="AI216" s="293"/>
      <c r="AJ216" s="293"/>
      <c r="AK216" s="293"/>
      <c r="AL216" s="293"/>
      <c r="AM216" s="293"/>
      <c r="AN216" s="293"/>
      <c r="AO216" s="293"/>
      <c r="AP216" s="293"/>
      <c r="AQ216" s="293"/>
      <c r="AR216" s="293"/>
      <c r="AS216" s="293"/>
      <c r="AT216" s="293"/>
      <c r="AU216" s="293"/>
      <c r="AV216" s="293"/>
      <c r="AW216" s="293"/>
      <c r="AX216" s="293"/>
      <c r="AY216" s="293"/>
      <c r="AZ216" s="293"/>
      <c r="BA216" s="293"/>
      <c r="BB216" s="293"/>
      <c r="BC216" s="293"/>
      <c r="BD216" s="293"/>
      <c r="BE216" s="293"/>
      <c r="BF216" s="293"/>
      <c r="BG216" s="293"/>
      <c r="BH216" s="293"/>
      <c r="BI216" s="293"/>
      <c r="BJ216" s="293"/>
      <c r="BK216" s="293"/>
      <c r="BL216" s="293"/>
      <c r="BM216" s="293"/>
      <c r="BN216" s="293"/>
      <c r="BO216" s="293"/>
      <c r="BP216" s="293"/>
      <c r="BQ216" s="293"/>
      <c r="BR216" s="293"/>
      <c r="BS216" s="293"/>
      <c r="BT216" s="293"/>
      <c r="BU216" s="293"/>
      <c r="BV216" s="293"/>
      <c r="BW216" s="293"/>
      <c r="BX216" s="293"/>
      <c r="BY216" s="293"/>
      <c r="BZ216" s="293"/>
      <c r="CA216" s="293"/>
      <c r="CB216" s="293"/>
      <c r="CC216" s="293"/>
      <c r="CD216" s="293"/>
      <c r="CE216" s="293"/>
      <c r="CF216" s="293"/>
      <c r="CG216" s="293"/>
      <c r="CH216" s="293"/>
      <c r="CI216" s="293"/>
      <c r="CJ216" s="293"/>
      <c r="CK216" s="293"/>
      <c r="CL216" s="293"/>
      <c r="CM216" s="293"/>
      <c r="CN216" s="293"/>
      <c r="CO216" s="293"/>
      <c r="CP216" s="293">
        <f t="shared" si="4294"/>
        <v>0</v>
      </c>
      <c r="CQ216" s="289"/>
    </row>
    <row r="217" spans="1:95" ht="12" customHeight="1">
      <c r="A217" s="679">
        <v>109</v>
      </c>
      <c r="B217" s="645" t="s">
        <v>219</v>
      </c>
      <c r="C217" s="646" t="s">
        <v>220</v>
      </c>
      <c r="D217" s="647" t="s">
        <v>493</v>
      </c>
      <c r="E217" s="648" t="s">
        <v>486</v>
      </c>
      <c r="F217" s="642">
        <v>17.98</v>
      </c>
      <c r="G217" s="642">
        <v>23.5</v>
      </c>
      <c r="H217" s="643">
        <f>F217*G217*365</f>
        <v>154223.45000000001</v>
      </c>
      <c r="I217" s="291">
        <v>38555.86</v>
      </c>
      <c r="J217" s="295">
        <f>ROUND(G217*F217*365/4,0)</f>
        <v>38556</v>
      </c>
      <c r="K217" s="295">
        <f t="shared" ref="K217:N217" si="4752">J217</f>
        <v>38556</v>
      </c>
      <c r="L217" s="293">
        <f t="shared" si="4752"/>
        <v>38556</v>
      </c>
      <c r="M217" s="293">
        <f t="shared" si="4752"/>
        <v>38556</v>
      </c>
      <c r="N217" s="292">
        <f t="shared" si="4752"/>
        <v>38556</v>
      </c>
      <c r="O217" s="293">
        <f>N217</f>
        <v>38556</v>
      </c>
      <c r="P217" s="293">
        <f>O217</f>
        <v>38556</v>
      </c>
      <c r="Q217" s="293">
        <f>P217</f>
        <v>38556</v>
      </c>
      <c r="R217" s="293">
        <f>ROUND(Q217*(1+取值表!$D$12)*取值表!$I$12,0)</f>
        <v>39655</v>
      </c>
      <c r="S217" s="293">
        <f>R217</f>
        <v>39655</v>
      </c>
      <c r="T217" s="293">
        <f>S217</f>
        <v>39655</v>
      </c>
      <c r="U217" s="293">
        <f>T217</f>
        <v>39655</v>
      </c>
      <c r="V217" s="294">
        <f>ROUND(U217*(1+取值表!$D$12),0)</f>
        <v>43343</v>
      </c>
      <c r="W217" s="293">
        <f t="shared" ref="W217:Y217" si="4753">V217</f>
        <v>43343</v>
      </c>
      <c r="X217" s="293">
        <f t="shared" si="4753"/>
        <v>43343</v>
      </c>
      <c r="Y217" s="293">
        <f t="shared" si="4753"/>
        <v>43343</v>
      </c>
      <c r="Z217" s="293">
        <f>ROUND(Y217*(1+取值表!$D$12),0)</f>
        <v>47374</v>
      </c>
      <c r="AA217" s="293">
        <f t="shared" ref="AA217:AB217" si="4754">Z217</f>
        <v>47374</v>
      </c>
      <c r="AB217" s="293">
        <f t="shared" si="4754"/>
        <v>47374</v>
      </c>
      <c r="AC217" s="293">
        <f>AB217</f>
        <v>47374</v>
      </c>
      <c r="AD217" s="293">
        <f>ROUND(AC217*(1+取值表!$D$12),0)</f>
        <v>51780</v>
      </c>
      <c r="AE217" s="293">
        <f t="shared" ref="AE217" si="4755">AD217</f>
        <v>51780</v>
      </c>
      <c r="AF217" s="293">
        <f t="shared" ref="AF217" si="4756">AE217</f>
        <v>51780</v>
      </c>
      <c r="AG217" s="293">
        <f t="shared" ref="AG217" si="4757">AF217</f>
        <v>51780</v>
      </c>
      <c r="AH217" s="293">
        <f>ROUND(AG217*(1+取值表!$D$12),0)</f>
        <v>56596</v>
      </c>
      <c r="AI217" s="293">
        <f t="shared" ref="AI217" si="4758">AH217</f>
        <v>56596</v>
      </c>
      <c r="AJ217" s="293">
        <f t="shared" ref="AJ217" si="4759">AI217</f>
        <v>56596</v>
      </c>
      <c r="AK217" s="293">
        <f t="shared" ref="AK217" si="4760">AJ217</f>
        <v>56596</v>
      </c>
      <c r="AL217" s="293">
        <f>ROUND(AK217*(1+取值表!$D$12),0)</f>
        <v>61859</v>
      </c>
      <c r="AM217" s="293">
        <f t="shared" ref="AM217" si="4761">AL217</f>
        <v>61859</v>
      </c>
      <c r="AN217" s="293">
        <f t="shared" ref="AN217" si="4762">AM217</f>
        <v>61859</v>
      </c>
      <c r="AO217" s="293">
        <f t="shared" ref="AO217" si="4763">AN217</f>
        <v>61859</v>
      </c>
      <c r="AP217" s="293">
        <f>ROUND(AO217*(1+取值表!$D$12),0)</f>
        <v>67612</v>
      </c>
      <c r="AQ217" s="293">
        <f t="shared" ref="AQ217" si="4764">AP217</f>
        <v>67612</v>
      </c>
      <c r="AR217" s="293">
        <f t="shared" ref="AR217" si="4765">AQ217</f>
        <v>67612</v>
      </c>
      <c r="AS217" s="293">
        <f t="shared" ref="AS217" si="4766">AR217</f>
        <v>67612</v>
      </c>
      <c r="AT217" s="293">
        <f>ROUND(AS217*(1+取值表!$D$12),0)</f>
        <v>73900</v>
      </c>
      <c r="AU217" s="293">
        <f t="shared" ref="AU217" si="4767">AT217</f>
        <v>73900</v>
      </c>
      <c r="AV217" s="293">
        <f t="shared" ref="AV217" si="4768">AU217</f>
        <v>73900</v>
      </c>
      <c r="AW217" s="293">
        <f t="shared" ref="AW217" si="4769">AV217</f>
        <v>73900</v>
      </c>
      <c r="AX217" s="293">
        <f>ROUND(AW217*(1+取值表!$D$12),0)</f>
        <v>80773</v>
      </c>
      <c r="AY217" s="293">
        <f t="shared" ref="AY217" si="4770">AX217</f>
        <v>80773</v>
      </c>
      <c r="AZ217" s="293">
        <f t="shared" ref="AZ217" si="4771">AY217</f>
        <v>80773</v>
      </c>
      <c r="BA217" s="293">
        <f t="shared" ref="BA217" si="4772">AZ217</f>
        <v>80773</v>
      </c>
      <c r="BB217" s="293">
        <f>ROUND(BA217*(1+取值表!$D$12),0)</f>
        <v>88285</v>
      </c>
      <c r="BC217" s="293">
        <f>BB217</f>
        <v>88285</v>
      </c>
      <c r="BD217" s="293">
        <f t="shared" ref="BD217" si="4773">BC217</f>
        <v>88285</v>
      </c>
      <c r="BE217" s="293">
        <f>BD217</f>
        <v>88285</v>
      </c>
      <c r="BF217" s="293">
        <f>ROUND(BE217*(1+取值表!$D$12),0)</f>
        <v>96496</v>
      </c>
      <c r="BG217" s="293">
        <f>BF217</f>
        <v>96496</v>
      </c>
      <c r="BH217" s="293">
        <f t="shared" ref="BH217" si="4774">BG217</f>
        <v>96496</v>
      </c>
      <c r="BI217" s="293">
        <f t="shared" ref="BI217" si="4775">BH217</f>
        <v>96496</v>
      </c>
      <c r="BJ217" s="293">
        <f>ROUND(BI217*(1+取值表!$D$12),0)</f>
        <v>105470</v>
      </c>
      <c r="BK217" s="293">
        <f t="shared" ref="BK217" si="4776">BJ217</f>
        <v>105470</v>
      </c>
      <c r="BL217" s="293">
        <f t="shared" ref="BL217" si="4777">BK217</f>
        <v>105470</v>
      </c>
      <c r="BM217" s="293">
        <f t="shared" ref="BM217" si="4778">BL217</f>
        <v>105470</v>
      </c>
      <c r="BN217" s="293">
        <f>ROUND(BM217*(1+取值表!$D$12),0)</f>
        <v>115279</v>
      </c>
      <c r="BO217" s="293">
        <f t="shared" ref="BO217" si="4779">BN217</f>
        <v>115279</v>
      </c>
      <c r="BP217" s="293">
        <f t="shared" ref="BP217" si="4780">BO217</f>
        <v>115279</v>
      </c>
      <c r="BQ217" s="293">
        <f t="shared" ref="BQ217" si="4781">BP217</f>
        <v>115279</v>
      </c>
      <c r="BR217" s="293">
        <f>ROUND(BQ217*(1+取值表!$D$12),0)</f>
        <v>126000</v>
      </c>
      <c r="BS217" s="293">
        <f t="shared" ref="BS217" si="4782">BR217</f>
        <v>126000</v>
      </c>
      <c r="BT217" s="293">
        <f t="shared" ref="BT217" si="4783">BS217</f>
        <v>126000</v>
      </c>
      <c r="BU217" s="293">
        <f t="shared" ref="BU217" si="4784">BT217</f>
        <v>126000</v>
      </c>
      <c r="BV217" s="293">
        <f>ROUND(BU217*(1+取值表!$D$12),0)</f>
        <v>137718</v>
      </c>
      <c r="BW217" s="293">
        <f t="shared" ref="BW217" si="4785">BV217</f>
        <v>137718</v>
      </c>
      <c r="BX217" s="293">
        <f t="shared" ref="BX217" si="4786">BW217</f>
        <v>137718</v>
      </c>
      <c r="BY217" s="293">
        <f t="shared" ref="BY217" si="4787">BX217</f>
        <v>137718</v>
      </c>
      <c r="BZ217" s="293">
        <f>ROUND(BY217*(1+取值表!$D$12),0)</f>
        <v>150526</v>
      </c>
      <c r="CA217" s="293">
        <f t="shared" ref="CA217" si="4788">BZ217</f>
        <v>150526</v>
      </c>
      <c r="CB217" s="293">
        <f t="shared" ref="CB217" si="4789">CA217</f>
        <v>150526</v>
      </c>
      <c r="CC217" s="293">
        <f t="shared" ref="CC217" si="4790">CB217</f>
        <v>150526</v>
      </c>
      <c r="CD217" s="293">
        <f>ROUND(CC217*(1+取值表!$D$12),0)</f>
        <v>164525</v>
      </c>
      <c r="CE217" s="293">
        <f t="shared" ref="CE217" si="4791">CD217</f>
        <v>164525</v>
      </c>
      <c r="CF217" s="293">
        <f t="shared" ref="CF217" si="4792">CE217</f>
        <v>164525</v>
      </c>
      <c r="CG217" s="293">
        <f t="shared" ref="CG217" si="4793">CF217</f>
        <v>164525</v>
      </c>
      <c r="CH217" s="293">
        <f>ROUND(CG217*(1+取值表!$D$12),0)</f>
        <v>179826</v>
      </c>
      <c r="CI217" s="293">
        <f>CH217</f>
        <v>179826</v>
      </c>
      <c r="CJ217" s="293">
        <f t="shared" ref="CJ217" si="4794">CI217</f>
        <v>179826</v>
      </c>
      <c r="CK217" s="293">
        <f t="shared" ref="CK217" si="4795">CJ217</f>
        <v>179826</v>
      </c>
      <c r="CL217" s="293">
        <f>ROUND(CK217*(1+取值表!$D$12),0)</f>
        <v>196550</v>
      </c>
      <c r="CM217" s="293">
        <f>CL217</f>
        <v>196550</v>
      </c>
      <c r="CN217" s="293">
        <f t="shared" ref="CN217" si="4796">CM217</f>
        <v>196550</v>
      </c>
      <c r="CO217" s="293">
        <f t="shared" ref="CO217" si="4797">CN217</f>
        <v>196550</v>
      </c>
      <c r="CP217" s="293">
        <f t="shared" si="4294"/>
        <v>7842716</v>
      </c>
    </row>
    <row r="218" spans="1:95" ht="12.75" customHeight="1">
      <c r="A218" s="680"/>
      <c r="B218" s="645"/>
      <c r="C218" s="646"/>
      <c r="D218" s="647"/>
      <c r="E218" s="648"/>
      <c r="F218" s="642"/>
      <c r="G218" s="642"/>
      <c r="H218" s="643"/>
      <c r="I218" s="291"/>
      <c r="J218" s="295"/>
      <c r="K218" s="293"/>
      <c r="L218" s="293"/>
      <c r="M218" s="293"/>
      <c r="N218" s="293"/>
      <c r="O218" s="293"/>
      <c r="P218" s="293"/>
      <c r="Q218" s="293"/>
      <c r="R218" s="293"/>
      <c r="S218" s="293"/>
      <c r="T218" s="293"/>
      <c r="U218" s="293"/>
      <c r="V218" s="293"/>
      <c r="W218" s="293"/>
      <c r="X218" s="293"/>
      <c r="Y218" s="293"/>
      <c r="Z218" s="293"/>
      <c r="AA218" s="293"/>
      <c r="AB218" s="293"/>
      <c r="AC218" s="293"/>
      <c r="AD218" s="293"/>
      <c r="AE218" s="293"/>
      <c r="AF218" s="293"/>
      <c r="AG218" s="293"/>
      <c r="AH218" s="293"/>
      <c r="AI218" s="293"/>
      <c r="AJ218" s="293"/>
      <c r="AK218" s="293"/>
      <c r="AL218" s="293"/>
      <c r="AM218" s="293"/>
      <c r="AN218" s="293"/>
      <c r="AO218" s="293"/>
      <c r="AP218" s="293"/>
      <c r="AQ218" s="293"/>
      <c r="AR218" s="293"/>
      <c r="AS218" s="293"/>
      <c r="AT218" s="293"/>
      <c r="AU218" s="293"/>
      <c r="AV218" s="293"/>
      <c r="AW218" s="293"/>
      <c r="AX218" s="293"/>
      <c r="AY218" s="293"/>
      <c r="AZ218" s="293"/>
      <c r="BA218" s="293"/>
      <c r="BB218" s="293"/>
      <c r="BC218" s="293"/>
      <c r="BD218" s="293"/>
      <c r="BE218" s="293"/>
      <c r="BF218" s="293"/>
      <c r="BG218" s="293"/>
      <c r="BH218" s="293"/>
      <c r="BI218" s="293"/>
      <c r="BJ218" s="293"/>
      <c r="BK218" s="293"/>
      <c r="BL218" s="293"/>
      <c r="BM218" s="293"/>
      <c r="BN218" s="293"/>
      <c r="BO218" s="293"/>
      <c r="BP218" s="293"/>
      <c r="BQ218" s="293"/>
      <c r="BR218" s="293"/>
      <c r="BS218" s="293"/>
      <c r="BT218" s="293"/>
      <c r="BU218" s="293"/>
      <c r="BV218" s="293"/>
      <c r="BW218" s="293"/>
      <c r="BX218" s="293"/>
      <c r="BY218" s="293"/>
      <c r="BZ218" s="293"/>
      <c r="CA218" s="293"/>
      <c r="CB218" s="293"/>
      <c r="CC218" s="293"/>
      <c r="CD218" s="293"/>
      <c r="CE218" s="293"/>
      <c r="CF218" s="293"/>
      <c r="CG218" s="293"/>
      <c r="CH218" s="293"/>
      <c r="CI218" s="293"/>
      <c r="CJ218" s="293"/>
      <c r="CK218" s="293"/>
      <c r="CL218" s="293"/>
      <c r="CM218" s="293"/>
      <c r="CN218" s="293"/>
      <c r="CO218" s="293"/>
      <c r="CP218" s="293">
        <f t="shared" si="4294"/>
        <v>0</v>
      </c>
    </row>
    <row r="219" spans="1:95" ht="12" customHeight="1">
      <c r="A219" s="679">
        <v>110</v>
      </c>
      <c r="B219" s="658" t="s">
        <v>221</v>
      </c>
      <c r="C219" s="646" t="s">
        <v>739</v>
      </c>
      <c r="D219" s="647" t="s">
        <v>494</v>
      </c>
      <c r="E219" s="648" t="s">
        <v>486</v>
      </c>
      <c r="F219" s="642">
        <v>236.87</v>
      </c>
      <c r="G219" s="642">
        <v>19.5</v>
      </c>
      <c r="H219" s="643">
        <f>F219*G219*365</f>
        <v>1685922.2250000001</v>
      </c>
      <c r="I219" s="291">
        <v>410673.36</v>
      </c>
      <c r="J219" s="292">
        <f>ROUND(G219*F219*365/4,0)</f>
        <v>421481</v>
      </c>
      <c r="K219" s="303">
        <f>J219</f>
        <v>421481</v>
      </c>
      <c r="L219" s="303">
        <f>K219</f>
        <v>421481</v>
      </c>
      <c r="M219" s="303">
        <f>L219</f>
        <v>421481</v>
      </c>
      <c r="N219" s="293">
        <f>ROUND(M219*(1+取值表!$D$12)*取值表!$I$12,0)</f>
        <v>433499</v>
      </c>
      <c r="O219" s="293">
        <f>N219</f>
        <v>433499</v>
      </c>
      <c r="P219" s="293">
        <f>O219</f>
        <v>433499</v>
      </c>
      <c r="Q219" s="293">
        <f>P219</f>
        <v>433499</v>
      </c>
      <c r="R219" s="294">
        <f>ROUND(Q219*(1+取值表!$D$8),0)</f>
        <v>473814</v>
      </c>
      <c r="S219" s="293">
        <f t="shared" ref="S219:T219" si="4798">R219</f>
        <v>473814</v>
      </c>
      <c r="T219" s="293">
        <f t="shared" si="4798"/>
        <v>473814</v>
      </c>
      <c r="U219" s="293">
        <f>T219</f>
        <v>473814</v>
      </c>
      <c r="V219" s="293">
        <f>ROUND(U219*(1+取值表!$D$12),0)</f>
        <v>517879</v>
      </c>
      <c r="W219" s="293">
        <f t="shared" ref="W219:Y219" si="4799">V219</f>
        <v>517879</v>
      </c>
      <c r="X219" s="293">
        <f t="shared" si="4799"/>
        <v>517879</v>
      </c>
      <c r="Y219" s="293">
        <f t="shared" si="4799"/>
        <v>517879</v>
      </c>
      <c r="Z219" s="293">
        <f>ROUND(Y219*(1+取值表!$D$12),0)</f>
        <v>566042</v>
      </c>
      <c r="AA219" s="293">
        <f t="shared" ref="AA219" si="4800">Z219</f>
        <v>566042</v>
      </c>
      <c r="AB219" s="293">
        <f t="shared" ref="AB219" si="4801">AA219</f>
        <v>566042</v>
      </c>
      <c r="AC219" s="293">
        <f>AB219</f>
        <v>566042</v>
      </c>
      <c r="AD219" s="293">
        <f>ROUND(AC219*(1+取值表!$D$12),0)</f>
        <v>618684</v>
      </c>
      <c r="AE219" s="293">
        <f t="shared" ref="AE219" si="4802">AD219</f>
        <v>618684</v>
      </c>
      <c r="AF219" s="293">
        <f t="shared" ref="AF219" si="4803">AE219</f>
        <v>618684</v>
      </c>
      <c r="AG219" s="293">
        <f t="shared" ref="AG219" si="4804">AF219</f>
        <v>618684</v>
      </c>
      <c r="AH219" s="293">
        <f>ROUND(AG219*(1+取值表!$D$12),0)</f>
        <v>676222</v>
      </c>
      <c r="AI219" s="293">
        <f t="shared" ref="AI219" si="4805">AH219</f>
        <v>676222</v>
      </c>
      <c r="AJ219" s="293">
        <f t="shared" ref="AJ219" si="4806">AI219</f>
        <v>676222</v>
      </c>
      <c r="AK219" s="293">
        <f t="shared" ref="AK219" si="4807">AJ219</f>
        <v>676222</v>
      </c>
      <c r="AL219" s="293">
        <f>ROUND(AK219*(1+取值表!$D$12),0)</f>
        <v>739111</v>
      </c>
      <c r="AM219" s="293">
        <f t="shared" ref="AM219" si="4808">AL219</f>
        <v>739111</v>
      </c>
      <c r="AN219" s="293">
        <f t="shared" ref="AN219" si="4809">AM219</f>
        <v>739111</v>
      </c>
      <c r="AO219" s="293">
        <f t="shared" ref="AO219" si="4810">AN219</f>
        <v>739111</v>
      </c>
      <c r="AP219" s="293">
        <f>ROUND(AO219*(1+取值表!$D$12),0)</f>
        <v>807848</v>
      </c>
      <c r="AQ219" s="293">
        <f t="shared" ref="AQ219" si="4811">AP219</f>
        <v>807848</v>
      </c>
      <c r="AR219" s="293">
        <f t="shared" ref="AR219" si="4812">AQ219</f>
        <v>807848</v>
      </c>
      <c r="AS219" s="293">
        <f t="shared" ref="AS219" si="4813">AR219</f>
        <v>807848</v>
      </c>
      <c r="AT219" s="293">
        <f>ROUND(AS219*(1+取值表!$D$12),0)</f>
        <v>882978</v>
      </c>
      <c r="AU219" s="293">
        <f t="shared" ref="AU219" si="4814">AT219</f>
        <v>882978</v>
      </c>
      <c r="AV219" s="293">
        <f t="shared" ref="AV219" si="4815">AU219</f>
        <v>882978</v>
      </c>
      <c r="AW219" s="293">
        <f t="shared" ref="AW219" si="4816">AV219</f>
        <v>882978</v>
      </c>
      <c r="AX219" s="293">
        <f>ROUND(AW219*(1+取值表!$D$12),0)</f>
        <v>965095</v>
      </c>
      <c r="AY219" s="293">
        <f t="shared" ref="AY219" si="4817">AX219</f>
        <v>965095</v>
      </c>
      <c r="AZ219" s="293">
        <f t="shared" ref="AZ219" si="4818">AY219</f>
        <v>965095</v>
      </c>
      <c r="BA219" s="293">
        <f t="shared" ref="BA219" si="4819">AZ219</f>
        <v>965095</v>
      </c>
      <c r="BB219" s="293">
        <f>ROUND(BA219*(1+取值表!$D$12),0)</f>
        <v>1054849</v>
      </c>
      <c r="BC219" s="293">
        <f>BB219</f>
        <v>1054849</v>
      </c>
      <c r="BD219" s="293">
        <f t="shared" ref="BD219" si="4820">BC219</f>
        <v>1054849</v>
      </c>
      <c r="BE219" s="293">
        <f>BD219</f>
        <v>1054849</v>
      </c>
      <c r="BF219" s="293">
        <f>ROUND(BE219*(1+取值表!$D$12),0)</f>
        <v>1152950</v>
      </c>
      <c r="BG219" s="293">
        <f>BF219</f>
        <v>1152950</v>
      </c>
      <c r="BH219" s="293">
        <f t="shared" ref="BH219" si="4821">BG219</f>
        <v>1152950</v>
      </c>
      <c r="BI219" s="293">
        <f t="shared" ref="BI219" si="4822">BH219</f>
        <v>1152950</v>
      </c>
      <c r="BJ219" s="293">
        <f>ROUND(BI219*(1+取值表!$D$12),0)</f>
        <v>1260174</v>
      </c>
      <c r="BK219" s="293">
        <f t="shared" ref="BK219" si="4823">BJ219</f>
        <v>1260174</v>
      </c>
      <c r="BL219" s="293">
        <f t="shared" ref="BL219" si="4824">BK219</f>
        <v>1260174</v>
      </c>
      <c r="BM219" s="293">
        <f t="shared" ref="BM219" si="4825">BL219</f>
        <v>1260174</v>
      </c>
      <c r="BN219" s="293">
        <f>ROUND(BM219*(1+取值表!$D$12),0)</f>
        <v>1377370</v>
      </c>
      <c r="BO219" s="293">
        <f t="shared" ref="BO219" si="4826">BN219</f>
        <v>1377370</v>
      </c>
      <c r="BP219" s="293">
        <f t="shared" ref="BP219" si="4827">BO219</f>
        <v>1377370</v>
      </c>
      <c r="BQ219" s="293">
        <f t="shared" ref="BQ219" si="4828">BP219</f>
        <v>1377370</v>
      </c>
      <c r="BR219" s="293">
        <f>ROUND(BQ219*(1+取值表!$D$12),0)</f>
        <v>1505465</v>
      </c>
      <c r="BS219" s="293">
        <f t="shared" ref="BS219" si="4829">BR219</f>
        <v>1505465</v>
      </c>
      <c r="BT219" s="293">
        <f t="shared" ref="BT219" si="4830">BS219</f>
        <v>1505465</v>
      </c>
      <c r="BU219" s="293">
        <f t="shared" ref="BU219" si="4831">BT219</f>
        <v>1505465</v>
      </c>
      <c r="BV219" s="293">
        <f>ROUND(BU219*(1+取值表!$D$12),0)</f>
        <v>1645473</v>
      </c>
      <c r="BW219" s="293">
        <f t="shared" ref="BW219" si="4832">BV219</f>
        <v>1645473</v>
      </c>
      <c r="BX219" s="293">
        <f t="shared" ref="BX219" si="4833">BW219</f>
        <v>1645473</v>
      </c>
      <c r="BY219" s="293">
        <f t="shared" ref="BY219" si="4834">BX219</f>
        <v>1645473</v>
      </c>
      <c r="BZ219" s="293">
        <f>ROUND(BY219*(1+取值表!$D$12),0)</f>
        <v>1798502</v>
      </c>
      <c r="CA219" s="293">
        <f t="shared" ref="CA219" si="4835">BZ219</f>
        <v>1798502</v>
      </c>
      <c r="CB219" s="293">
        <f t="shared" ref="CB219" si="4836">CA219</f>
        <v>1798502</v>
      </c>
      <c r="CC219" s="293">
        <f t="shared" ref="CC219" si="4837">CB219</f>
        <v>1798502</v>
      </c>
      <c r="CD219" s="293">
        <f>ROUND(CC219*(1+取值表!$D$12),0)</f>
        <v>1965763</v>
      </c>
      <c r="CE219" s="293">
        <f t="shared" ref="CE219" si="4838">CD219</f>
        <v>1965763</v>
      </c>
      <c r="CF219" s="293">
        <f t="shared" ref="CF219" si="4839">CE219</f>
        <v>1965763</v>
      </c>
      <c r="CG219" s="293">
        <f t="shared" ref="CG219" si="4840">CF219</f>
        <v>1965763</v>
      </c>
      <c r="CH219" s="293">
        <f>ROUND(CG219*(1+取值表!$D$12),0)</f>
        <v>2148579</v>
      </c>
      <c r="CI219" s="293">
        <f>CH219</f>
        <v>2148579</v>
      </c>
      <c r="CJ219" s="293">
        <f t="shared" ref="CJ219" si="4841">CI219</f>
        <v>2148579</v>
      </c>
      <c r="CK219" s="293">
        <f t="shared" ref="CK219" si="4842">CJ219</f>
        <v>2148579</v>
      </c>
      <c r="CL219" s="293">
        <f>ROUND(CK219*(1+取值表!$D$12),0)</f>
        <v>2348397</v>
      </c>
      <c r="CM219" s="293">
        <f>CL219</f>
        <v>2348397</v>
      </c>
      <c r="CN219" s="293">
        <f t="shared" ref="CN219" si="4843">CM219</f>
        <v>2348397</v>
      </c>
      <c r="CO219" s="293">
        <f t="shared" ref="CO219" si="4844">CN219</f>
        <v>2348397</v>
      </c>
      <c r="CP219" s="293">
        <f t="shared" si="4294"/>
        <v>93440700</v>
      </c>
    </row>
    <row r="220" spans="1:95">
      <c r="A220" s="680"/>
      <c r="B220" s="658"/>
      <c r="C220" s="646"/>
      <c r="D220" s="647"/>
      <c r="E220" s="648"/>
      <c r="F220" s="642"/>
      <c r="G220" s="642"/>
      <c r="H220" s="643"/>
      <c r="I220" s="291"/>
      <c r="J220" s="295"/>
      <c r="K220" s="293"/>
      <c r="L220" s="293"/>
      <c r="M220" s="293"/>
      <c r="N220" s="293"/>
      <c r="O220" s="293"/>
      <c r="P220" s="293"/>
      <c r="Q220" s="293"/>
      <c r="R220" s="293"/>
      <c r="S220" s="293"/>
      <c r="T220" s="293"/>
      <c r="U220" s="293"/>
      <c r="V220" s="293"/>
      <c r="W220" s="293"/>
      <c r="X220" s="293"/>
      <c r="Y220" s="293"/>
      <c r="Z220" s="293"/>
      <c r="AA220" s="293"/>
      <c r="AB220" s="293"/>
      <c r="AC220" s="293"/>
      <c r="AD220" s="293"/>
      <c r="AE220" s="293"/>
      <c r="AF220" s="293"/>
      <c r="AG220" s="293"/>
      <c r="AH220" s="293"/>
      <c r="AI220" s="293"/>
      <c r="AJ220" s="293"/>
      <c r="AK220" s="293"/>
      <c r="AL220" s="293"/>
      <c r="AM220" s="293"/>
      <c r="AN220" s="293"/>
      <c r="AO220" s="293"/>
      <c r="AP220" s="293"/>
      <c r="AQ220" s="293"/>
      <c r="AR220" s="293"/>
      <c r="AS220" s="293"/>
      <c r="AT220" s="293"/>
      <c r="AU220" s="293"/>
      <c r="AV220" s="293"/>
      <c r="AW220" s="293"/>
      <c r="AX220" s="293"/>
      <c r="AY220" s="293"/>
      <c r="AZ220" s="293"/>
      <c r="BA220" s="293"/>
      <c r="BB220" s="293"/>
      <c r="BC220" s="293"/>
      <c r="BD220" s="293"/>
      <c r="BE220" s="293"/>
      <c r="BF220" s="293"/>
      <c r="BG220" s="293"/>
      <c r="BH220" s="293"/>
      <c r="BI220" s="293"/>
      <c r="BJ220" s="293"/>
      <c r="BK220" s="293"/>
      <c r="BL220" s="293"/>
      <c r="BM220" s="293"/>
      <c r="BN220" s="293"/>
      <c r="BO220" s="293"/>
      <c r="BP220" s="293"/>
      <c r="BQ220" s="293"/>
      <c r="BR220" s="293"/>
      <c r="BS220" s="293"/>
      <c r="BT220" s="293"/>
      <c r="BU220" s="293"/>
      <c r="BV220" s="293"/>
      <c r="BW220" s="293"/>
      <c r="BX220" s="293"/>
      <c r="BY220" s="293"/>
      <c r="BZ220" s="293"/>
      <c r="CA220" s="293"/>
      <c r="CB220" s="293"/>
      <c r="CC220" s="293"/>
      <c r="CD220" s="293"/>
      <c r="CE220" s="293"/>
      <c r="CF220" s="293"/>
      <c r="CG220" s="293"/>
      <c r="CH220" s="293"/>
      <c r="CI220" s="293"/>
      <c r="CJ220" s="293"/>
      <c r="CK220" s="293"/>
      <c r="CL220" s="293"/>
      <c r="CM220" s="293"/>
      <c r="CN220" s="293"/>
      <c r="CO220" s="293"/>
      <c r="CP220" s="293">
        <f t="shared" si="4294"/>
        <v>0</v>
      </c>
    </row>
    <row r="221" spans="1:95" ht="14.25" customHeight="1">
      <c r="A221" s="679">
        <v>111</v>
      </c>
      <c r="B221" s="645" t="s">
        <v>222</v>
      </c>
      <c r="C221" s="646" t="s">
        <v>740</v>
      </c>
      <c r="D221" s="647" t="s">
        <v>122</v>
      </c>
      <c r="E221" s="648" t="s">
        <v>486</v>
      </c>
      <c r="F221" s="642">
        <v>236.17</v>
      </c>
      <c r="G221" s="642">
        <v>13.5</v>
      </c>
      <c r="H221" s="643">
        <f>F221*G221*365</f>
        <v>1163727.6749999998</v>
      </c>
      <c r="I221" s="291">
        <v>290931.92</v>
      </c>
      <c r="J221" s="295">
        <f>ROUND(G221*F221*365/4,0)</f>
        <v>290932</v>
      </c>
      <c r="K221" s="292">
        <f>J221</f>
        <v>290932</v>
      </c>
      <c r="L221" s="293">
        <f>K221</f>
        <v>290932</v>
      </c>
      <c r="M221" s="293">
        <f>L221</f>
        <v>290932</v>
      </c>
      <c r="N221" s="293">
        <f>ROUND(M221*(1+取值表!$D$12)*取值表!$I$12,0)</f>
        <v>299227</v>
      </c>
      <c r="O221" s="293">
        <f>N221</f>
        <v>299227</v>
      </c>
      <c r="P221" s="293">
        <f>O221</f>
        <v>299227</v>
      </c>
      <c r="Q221" s="293">
        <f>P221</f>
        <v>299227</v>
      </c>
      <c r="R221" s="294">
        <f>ROUND(Q221*(1+取值表!$D$8),0)</f>
        <v>327055</v>
      </c>
      <c r="S221" s="293">
        <f t="shared" ref="S221:T221" si="4845">R221</f>
        <v>327055</v>
      </c>
      <c r="T221" s="293">
        <f t="shared" si="4845"/>
        <v>327055</v>
      </c>
      <c r="U221" s="293">
        <f>T221</f>
        <v>327055</v>
      </c>
      <c r="V221" s="293">
        <f>ROUND(U221*(1+取值表!$D$12),0)</f>
        <v>357471</v>
      </c>
      <c r="W221" s="293">
        <f t="shared" ref="W221:Y221" si="4846">V221</f>
        <v>357471</v>
      </c>
      <c r="X221" s="293">
        <f t="shared" si="4846"/>
        <v>357471</v>
      </c>
      <c r="Y221" s="293">
        <f t="shared" si="4846"/>
        <v>357471</v>
      </c>
      <c r="Z221" s="293">
        <f>ROUND(Y221*(1+取值表!$D$12),0)</f>
        <v>390716</v>
      </c>
      <c r="AA221" s="293">
        <f t="shared" ref="AA221" si="4847">Z221</f>
        <v>390716</v>
      </c>
      <c r="AB221" s="293">
        <f t="shared" ref="AB221" si="4848">AA221</f>
        <v>390716</v>
      </c>
      <c r="AC221" s="293">
        <f>AB221</f>
        <v>390716</v>
      </c>
      <c r="AD221" s="293">
        <f>ROUND(AC221*(1+取值表!$D$12),0)</f>
        <v>427053</v>
      </c>
      <c r="AE221" s="293">
        <f t="shared" ref="AE221" si="4849">AD221</f>
        <v>427053</v>
      </c>
      <c r="AF221" s="293">
        <f t="shared" ref="AF221" si="4850">AE221</f>
        <v>427053</v>
      </c>
      <c r="AG221" s="293">
        <f t="shared" ref="AG221" si="4851">AF221</f>
        <v>427053</v>
      </c>
      <c r="AH221" s="293">
        <f>ROUND(AG221*(1+取值表!$D$12),0)</f>
        <v>466769</v>
      </c>
      <c r="AI221" s="293">
        <f t="shared" ref="AI221" si="4852">AH221</f>
        <v>466769</v>
      </c>
      <c r="AJ221" s="293">
        <f t="shared" ref="AJ221" si="4853">AI221</f>
        <v>466769</v>
      </c>
      <c r="AK221" s="293">
        <f t="shared" ref="AK221" si="4854">AJ221</f>
        <v>466769</v>
      </c>
      <c r="AL221" s="293">
        <f>ROUND(AK221*(1+取值表!$D$12),0)</f>
        <v>510179</v>
      </c>
      <c r="AM221" s="293">
        <f t="shared" ref="AM221" si="4855">AL221</f>
        <v>510179</v>
      </c>
      <c r="AN221" s="293">
        <f t="shared" ref="AN221" si="4856">AM221</f>
        <v>510179</v>
      </c>
      <c r="AO221" s="293">
        <f t="shared" ref="AO221" si="4857">AN221</f>
        <v>510179</v>
      </c>
      <c r="AP221" s="293">
        <f>ROUND(AO221*(1+取值表!$D$12),0)</f>
        <v>557626</v>
      </c>
      <c r="AQ221" s="293">
        <f t="shared" ref="AQ221" si="4858">AP221</f>
        <v>557626</v>
      </c>
      <c r="AR221" s="293">
        <f t="shared" ref="AR221" si="4859">AQ221</f>
        <v>557626</v>
      </c>
      <c r="AS221" s="293">
        <f t="shared" ref="AS221" si="4860">AR221</f>
        <v>557626</v>
      </c>
      <c r="AT221" s="293">
        <f>ROUND(AS221*(1+取值表!$D$12),0)</f>
        <v>609485</v>
      </c>
      <c r="AU221" s="293">
        <f t="shared" ref="AU221" si="4861">AT221</f>
        <v>609485</v>
      </c>
      <c r="AV221" s="293">
        <f t="shared" ref="AV221" si="4862">AU221</f>
        <v>609485</v>
      </c>
      <c r="AW221" s="293">
        <f t="shared" ref="AW221" si="4863">AV221</f>
        <v>609485</v>
      </c>
      <c r="AX221" s="293">
        <f>ROUND(AW221*(1+取值表!$D$12),0)</f>
        <v>666167</v>
      </c>
      <c r="AY221" s="293">
        <f t="shared" ref="AY221" si="4864">AX221</f>
        <v>666167</v>
      </c>
      <c r="AZ221" s="293">
        <f t="shared" ref="AZ221" si="4865">AY221</f>
        <v>666167</v>
      </c>
      <c r="BA221" s="293">
        <f t="shared" ref="BA221" si="4866">AZ221</f>
        <v>666167</v>
      </c>
      <c r="BB221" s="293">
        <f>ROUND(BA221*(1+取值表!$D$12),0)</f>
        <v>728121</v>
      </c>
      <c r="BC221" s="293">
        <f>BB221</f>
        <v>728121</v>
      </c>
      <c r="BD221" s="293">
        <f t="shared" ref="BD221" si="4867">BC221</f>
        <v>728121</v>
      </c>
      <c r="BE221" s="293">
        <f>BD221</f>
        <v>728121</v>
      </c>
      <c r="BF221" s="293">
        <f>ROUND(BE221*(1+取值表!$D$12),0)</f>
        <v>795836</v>
      </c>
      <c r="BG221" s="293">
        <f>BF221</f>
        <v>795836</v>
      </c>
      <c r="BH221" s="293">
        <f t="shared" ref="BH221" si="4868">BG221</f>
        <v>795836</v>
      </c>
      <c r="BI221" s="293">
        <f t="shared" ref="BI221" si="4869">BH221</f>
        <v>795836</v>
      </c>
      <c r="BJ221" s="293">
        <f>ROUND(BI221*(1+取值表!$D$12),0)</f>
        <v>869849</v>
      </c>
      <c r="BK221" s="293">
        <f t="shared" ref="BK221" si="4870">BJ221</f>
        <v>869849</v>
      </c>
      <c r="BL221" s="293">
        <f t="shared" ref="BL221" si="4871">BK221</f>
        <v>869849</v>
      </c>
      <c r="BM221" s="293">
        <f t="shared" ref="BM221" si="4872">BL221</f>
        <v>869849</v>
      </c>
      <c r="BN221" s="293">
        <f>ROUND(BM221*(1+取值表!$D$12),0)</f>
        <v>950745</v>
      </c>
      <c r="BO221" s="293">
        <f t="shared" ref="BO221" si="4873">BN221</f>
        <v>950745</v>
      </c>
      <c r="BP221" s="293">
        <f t="shared" ref="BP221" si="4874">BO221</f>
        <v>950745</v>
      </c>
      <c r="BQ221" s="293">
        <f t="shared" ref="BQ221" si="4875">BP221</f>
        <v>950745</v>
      </c>
      <c r="BR221" s="293">
        <f>ROUND(BQ221*(1+取值表!$D$12),0)</f>
        <v>1039164</v>
      </c>
      <c r="BS221" s="293">
        <f t="shared" ref="BS221" si="4876">BR221</f>
        <v>1039164</v>
      </c>
      <c r="BT221" s="293">
        <f t="shared" ref="BT221" si="4877">BS221</f>
        <v>1039164</v>
      </c>
      <c r="BU221" s="293">
        <f t="shared" ref="BU221" si="4878">BT221</f>
        <v>1039164</v>
      </c>
      <c r="BV221" s="293">
        <f>ROUND(BU221*(1+取值表!$D$12),0)</f>
        <v>1135806</v>
      </c>
      <c r="BW221" s="293">
        <f t="shared" ref="BW221" si="4879">BV221</f>
        <v>1135806</v>
      </c>
      <c r="BX221" s="293">
        <f t="shared" ref="BX221" si="4880">BW221</f>
        <v>1135806</v>
      </c>
      <c r="BY221" s="293">
        <f t="shared" ref="BY221" si="4881">BX221</f>
        <v>1135806</v>
      </c>
      <c r="BZ221" s="293">
        <f>ROUND(BY221*(1+取值表!$D$12),0)</f>
        <v>1241436</v>
      </c>
      <c r="CA221" s="293">
        <f t="shared" ref="CA221" si="4882">BZ221</f>
        <v>1241436</v>
      </c>
      <c r="CB221" s="293">
        <f t="shared" ref="CB221" si="4883">CA221</f>
        <v>1241436</v>
      </c>
      <c r="CC221" s="293">
        <f t="shared" ref="CC221" si="4884">CB221</f>
        <v>1241436</v>
      </c>
      <c r="CD221" s="293">
        <f>ROUND(CC221*(1+取值表!$D$12),0)</f>
        <v>1356890</v>
      </c>
      <c r="CE221" s="293">
        <f t="shared" ref="CE221" si="4885">CD221</f>
        <v>1356890</v>
      </c>
      <c r="CF221" s="293">
        <f t="shared" ref="CF221" si="4886">CE221</f>
        <v>1356890</v>
      </c>
      <c r="CG221" s="293">
        <f t="shared" ref="CG221" si="4887">CF221</f>
        <v>1356890</v>
      </c>
      <c r="CH221" s="293">
        <f>ROUND(CG221*(1+取值表!$D$12),0)</f>
        <v>1483081</v>
      </c>
      <c r="CI221" s="293">
        <f>CH221</f>
        <v>1483081</v>
      </c>
      <c r="CJ221" s="293">
        <f t="shared" ref="CJ221" si="4888">CI221</f>
        <v>1483081</v>
      </c>
      <c r="CK221" s="293">
        <f t="shared" ref="CK221" si="4889">CJ221</f>
        <v>1483081</v>
      </c>
      <c r="CL221" s="293">
        <f>ROUND(CK221*(1+取值表!$D$12),0)</f>
        <v>1621008</v>
      </c>
      <c r="CM221" s="293">
        <f>CL221</f>
        <v>1621008</v>
      </c>
      <c r="CN221" s="293">
        <f t="shared" ref="CN221" si="4890">CM221</f>
        <v>1621008</v>
      </c>
      <c r="CO221" s="293">
        <f t="shared" ref="CO221" si="4891">CN221</f>
        <v>1621008</v>
      </c>
      <c r="CP221" s="293">
        <f t="shared" si="4294"/>
        <v>64498464</v>
      </c>
    </row>
    <row r="222" spans="1:95">
      <c r="A222" s="680"/>
      <c r="B222" s="645"/>
      <c r="C222" s="646"/>
      <c r="D222" s="647"/>
      <c r="E222" s="648"/>
      <c r="F222" s="642"/>
      <c r="G222" s="642"/>
      <c r="H222" s="643"/>
      <c r="I222" s="291"/>
      <c r="J222" s="295"/>
      <c r="K222" s="295"/>
      <c r="L222" s="293"/>
      <c r="M222" s="293"/>
      <c r="N222" s="293"/>
      <c r="O222" s="293"/>
      <c r="P222" s="293"/>
      <c r="Q222" s="293"/>
      <c r="R222" s="293"/>
      <c r="S222" s="293"/>
      <c r="T222" s="293"/>
      <c r="U222" s="293"/>
      <c r="V222" s="293"/>
      <c r="W222" s="293"/>
      <c r="X222" s="293"/>
      <c r="Y222" s="293"/>
      <c r="Z222" s="293"/>
      <c r="AA222" s="293"/>
      <c r="AB222" s="293"/>
      <c r="AC222" s="293"/>
      <c r="AD222" s="293"/>
      <c r="AE222" s="293"/>
      <c r="AF222" s="293"/>
      <c r="AG222" s="293"/>
      <c r="AH222" s="293"/>
      <c r="AI222" s="293"/>
      <c r="AJ222" s="293"/>
      <c r="AK222" s="293"/>
      <c r="AL222" s="293"/>
      <c r="AM222" s="293"/>
      <c r="AN222" s="293"/>
      <c r="AO222" s="293"/>
      <c r="AP222" s="293"/>
      <c r="AQ222" s="293"/>
      <c r="AR222" s="293"/>
      <c r="AS222" s="293"/>
      <c r="AT222" s="293"/>
      <c r="AU222" s="293"/>
      <c r="AV222" s="293"/>
      <c r="AW222" s="293"/>
      <c r="AX222" s="293"/>
      <c r="AY222" s="293"/>
      <c r="AZ222" s="293"/>
      <c r="BA222" s="293"/>
      <c r="BB222" s="293"/>
      <c r="BC222" s="293"/>
      <c r="BD222" s="293"/>
      <c r="BE222" s="293"/>
      <c r="BF222" s="293"/>
      <c r="BG222" s="293"/>
      <c r="BH222" s="293"/>
      <c r="BI222" s="293"/>
      <c r="BJ222" s="293"/>
      <c r="BK222" s="293"/>
      <c r="BL222" s="293"/>
      <c r="BM222" s="293"/>
      <c r="BN222" s="293"/>
      <c r="BO222" s="293"/>
      <c r="BP222" s="293"/>
      <c r="BQ222" s="293"/>
      <c r="BR222" s="293"/>
      <c r="BS222" s="293"/>
      <c r="BT222" s="293"/>
      <c r="BU222" s="293"/>
      <c r="BV222" s="293"/>
      <c r="BW222" s="293"/>
      <c r="BX222" s="293"/>
      <c r="BY222" s="293"/>
      <c r="BZ222" s="293"/>
      <c r="CA222" s="293"/>
      <c r="CB222" s="293"/>
      <c r="CC222" s="293"/>
      <c r="CD222" s="293"/>
      <c r="CE222" s="293"/>
      <c r="CF222" s="293"/>
      <c r="CG222" s="293"/>
      <c r="CH222" s="293"/>
      <c r="CI222" s="293"/>
      <c r="CJ222" s="293"/>
      <c r="CK222" s="293"/>
      <c r="CL222" s="293"/>
      <c r="CM222" s="293"/>
      <c r="CN222" s="293"/>
      <c r="CO222" s="293"/>
      <c r="CP222" s="293">
        <f t="shared" si="4294"/>
        <v>0</v>
      </c>
    </row>
    <row r="223" spans="1:95" ht="12" customHeight="1">
      <c r="A223" s="679">
        <v>112</v>
      </c>
      <c r="B223" s="645" t="s">
        <v>223</v>
      </c>
      <c r="C223" s="646" t="s">
        <v>224</v>
      </c>
      <c r="D223" s="647" t="s">
        <v>495</v>
      </c>
      <c r="E223" s="648" t="s">
        <v>486</v>
      </c>
      <c r="F223" s="642">
        <v>69.89</v>
      </c>
      <c r="G223" s="642">
        <v>21</v>
      </c>
      <c r="H223" s="643">
        <f>F223*G223*365</f>
        <v>535706.85</v>
      </c>
      <c r="I223" s="291">
        <v>130737.98</v>
      </c>
      <c r="J223" s="295">
        <f>ROUND(G223*F223*365/4,0)</f>
        <v>133927</v>
      </c>
      <c r="K223" s="293">
        <f>J223</f>
        <v>133927</v>
      </c>
      <c r="L223" s="292">
        <f>K223</f>
        <v>133927</v>
      </c>
      <c r="M223" s="293">
        <f>L223</f>
        <v>133927</v>
      </c>
      <c r="N223" s="293">
        <f>ROUND(M223*(1+取值表!$D$12)*取值表!$I$12,0)</f>
        <v>137746</v>
      </c>
      <c r="O223" s="293">
        <f>N223</f>
        <v>137746</v>
      </c>
      <c r="P223" s="293">
        <f>O223</f>
        <v>137746</v>
      </c>
      <c r="Q223" s="293">
        <f>P223</f>
        <v>137746</v>
      </c>
      <c r="R223" s="294">
        <f>ROUND(Q223*(1+取值表!$D$8),0)</f>
        <v>150556</v>
      </c>
      <c r="S223" s="293">
        <f t="shared" ref="S223:T223" si="4892">R223</f>
        <v>150556</v>
      </c>
      <c r="T223" s="293">
        <f t="shared" si="4892"/>
        <v>150556</v>
      </c>
      <c r="U223" s="293">
        <f>T223</f>
        <v>150556</v>
      </c>
      <c r="V223" s="293">
        <f>ROUND(U223*(1+取值表!$D$12),0)</f>
        <v>164558</v>
      </c>
      <c r="W223" s="293">
        <f t="shared" ref="W223:Y223" si="4893">V223</f>
        <v>164558</v>
      </c>
      <c r="X223" s="293">
        <f t="shared" si="4893"/>
        <v>164558</v>
      </c>
      <c r="Y223" s="293">
        <f t="shared" si="4893"/>
        <v>164558</v>
      </c>
      <c r="Z223" s="293">
        <f>ROUND(Y223*(1+取值表!$D$12),0)</f>
        <v>179862</v>
      </c>
      <c r="AA223" s="293">
        <f t="shared" ref="AA223" si="4894">Z223</f>
        <v>179862</v>
      </c>
      <c r="AB223" s="293">
        <f t="shared" ref="AB223" si="4895">AA223</f>
        <v>179862</v>
      </c>
      <c r="AC223" s="293">
        <f>AB223</f>
        <v>179862</v>
      </c>
      <c r="AD223" s="293">
        <f>ROUND(AC223*(1+取值表!$D$12),0)</f>
        <v>196589</v>
      </c>
      <c r="AE223" s="293">
        <f t="shared" ref="AE223" si="4896">AD223</f>
        <v>196589</v>
      </c>
      <c r="AF223" s="293">
        <f t="shared" ref="AF223" si="4897">AE223</f>
        <v>196589</v>
      </c>
      <c r="AG223" s="293">
        <f t="shared" ref="AG223" si="4898">AF223</f>
        <v>196589</v>
      </c>
      <c r="AH223" s="293">
        <f>ROUND(AG223*(1+取值表!$D$12),0)</f>
        <v>214872</v>
      </c>
      <c r="AI223" s="293">
        <f t="shared" ref="AI223" si="4899">AH223</f>
        <v>214872</v>
      </c>
      <c r="AJ223" s="293">
        <f t="shared" ref="AJ223" si="4900">AI223</f>
        <v>214872</v>
      </c>
      <c r="AK223" s="293">
        <f t="shared" ref="AK223" si="4901">AJ223</f>
        <v>214872</v>
      </c>
      <c r="AL223" s="293">
        <f>ROUND(AK223*(1+取值表!$D$12),0)</f>
        <v>234855</v>
      </c>
      <c r="AM223" s="293">
        <f t="shared" ref="AM223" si="4902">AL223</f>
        <v>234855</v>
      </c>
      <c r="AN223" s="293">
        <f t="shared" ref="AN223" si="4903">AM223</f>
        <v>234855</v>
      </c>
      <c r="AO223" s="293">
        <f t="shared" ref="AO223" si="4904">AN223</f>
        <v>234855</v>
      </c>
      <c r="AP223" s="293">
        <f>ROUND(AO223*(1+取值表!$D$12),0)</f>
        <v>256697</v>
      </c>
      <c r="AQ223" s="293">
        <f t="shared" ref="AQ223" si="4905">AP223</f>
        <v>256697</v>
      </c>
      <c r="AR223" s="293">
        <f t="shared" ref="AR223" si="4906">AQ223</f>
        <v>256697</v>
      </c>
      <c r="AS223" s="293">
        <f t="shared" ref="AS223" si="4907">AR223</f>
        <v>256697</v>
      </c>
      <c r="AT223" s="293">
        <f>ROUND(AS223*(1+取值表!$D$12),0)</f>
        <v>280570</v>
      </c>
      <c r="AU223" s="293">
        <f t="shared" ref="AU223" si="4908">AT223</f>
        <v>280570</v>
      </c>
      <c r="AV223" s="293">
        <f t="shared" ref="AV223" si="4909">AU223</f>
        <v>280570</v>
      </c>
      <c r="AW223" s="293">
        <f t="shared" ref="AW223" si="4910">AV223</f>
        <v>280570</v>
      </c>
      <c r="AX223" s="293">
        <f>ROUND(AW223*(1+取值表!$D$12),0)</f>
        <v>306663</v>
      </c>
      <c r="AY223" s="293">
        <f t="shared" ref="AY223" si="4911">AX223</f>
        <v>306663</v>
      </c>
      <c r="AZ223" s="293">
        <f t="shared" ref="AZ223" si="4912">AY223</f>
        <v>306663</v>
      </c>
      <c r="BA223" s="293">
        <f t="shared" ref="BA223" si="4913">AZ223</f>
        <v>306663</v>
      </c>
      <c r="BB223" s="293">
        <f>ROUND(BA223*(1+取值表!$D$12),0)</f>
        <v>335183</v>
      </c>
      <c r="BC223" s="293">
        <f>BB223</f>
        <v>335183</v>
      </c>
      <c r="BD223" s="293">
        <f t="shared" ref="BD223" si="4914">BC223</f>
        <v>335183</v>
      </c>
      <c r="BE223" s="293">
        <f>BD223</f>
        <v>335183</v>
      </c>
      <c r="BF223" s="293">
        <f>ROUND(BE223*(1+取值表!$D$12),0)</f>
        <v>366355</v>
      </c>
      <c r="BG223" s="293">
        <f>BF223</f>
        <v>366355</v>
      </c>
      <c r="BH223" s="293">
        <f t="shared" ref="BH223" si="4915">BG223</f>
        <v>366355</v>
      </c>
      <c r="BI223" s="293">
        <f t="shared" ref="BI223" si="4916">BH223</f>
        <v>366355</v>
      </c>
      <c r="BJ223" s="293">
        <f>ROUND(BI223*(1+取值表!$D$12),0)</f>
        <v>400426</v>
      </c>
      <c r="BK223" s="293">
        <f t="shared" ref="BK223" si="4917">BJ223</f>
        <v>400426</v>
      </c>
      <c r="BL223" s="293">
        <f t="shared" ref="BL223" si="4918">BK223</f>
        <v>400426</v>
      </c>
      <c r="BM223" s="293">
        <f t="shared" ref="BM223" si="4919">BL223</f>
        <v>400426</v>
      </c>
      <c r="BN223" s="293">
        <f>ROUND(BM223*(1+取值表!$D$12),0)</f>
        <v>437666</v>
      </c>
      <c r="BO223" s="293">
        <f t="shared" ref="BO223" si="4920">BN223</f>
        <v>437666</v>
      </c>
      <c r="BP223" s="293">
        <f t="shared" ref="BP223" si="4921">BO223</f>
        <v>437666</v>
      </c>
      <c r="BQ223" s="293">
        <f t="shared" ref="BQ223" si="4922">BP223</f>
        <v>437666</v>
      </c>
      <c r="BR223" s="293">
        <f>ROUND(BQ223*(1+取值表!$D$12),0)</f>
        <v>478369</v>
      </c>
      <c r="BS223" s="293">
        <f t="shared" ref="BS223" si="4923">BR223</f>
        <v>478369</v>
      </c>
      <c r="BT223" s="293">
        <f t="shared" ref="BT223" si="4924">BS223</f>
        <v>478369</v>
      </c>
      <c r="BU223" s="293">
        <f t="shared" ref="BU223" si="4925">BT223</f>
        <v>478369</v>
      </c>
      <c r="BV223" s="293">
        <f>ROUND(BU223*(1+取值表!$D$12),0)</f>
        <v>522857</v>
      </c>
      <c r="BW223" s="293">
        <f t="shared" ref="BW223" si="4926">BV223</f>
        <v>522857</v>
      </c>
      <c r="BX223" s="293">
        <f t="shared" ref="BX223" si="4927">BW223</f>
        <v>522857</v>
      </c>
      <c r="BY223" s="293">
        <f t="shared" ref="BY223" si="4928">BX223</f>
        <v>522857</v>
      </c>
      <c r="BZ223" s="293">
        <f>ROUND(BY223*(1+取值表!$D$12),0)</f>
        <v>571483</v>
      </c>
      <c r="CA223" s="293">
        <f t="shared" ref="CA223" si="4929">BZ223</f>
        <v>571483</v>
      </c>
      <c r="CB223" s="293">
        <f t="shared" ref="CB223" si="4930">CA223</f>
        <v>571483</v>
      </c>
      <c r="CC223" s="293">
        <f t="shared" ref="CC223" si="4931">CB223</f>
        <v>571483</v>
      </c>
      <c r="CD223" s="293">
        <f>ROUND(CC223*(1+取值表!$D$12),0)</f>
        <v>624631</v>
      </c>
      <c r="CE223" s="293">
        <f t="shared" ref="CE223" si="4932">CD223</f>
        <v>624631</v>
      </c>
      <c r="CF223" s="293">
        <f t="shared" ref="CF223" si="4933">CE223</f>
        <v>624631</v>
      </c>
      <c r="CG223" s="293">
        <f t="shared" ref="CG223" si="4934">CF223</f>
        <v>624631</v>
      </c>
      <c r="CH223" s="293">
        <f>ROUND(CG223*(1+取值表!$D$12),0)</f>
        <v>682722</v>
      </c>
      <c r="CI223" s="293">
        <f>CH223</f>
        <v>682722</v>
      </c>
      <c r="CJ223" s="293">
        <f t="shared" ref="CJ223" si="4935">CI223</f>
        <v>682722</v>
      </c>
      <c r="CK223" s="293">
        <f t="shared" ref="CK223" si="4936">CJ223</f>
        <v>682722</v>
      </c>
      <c r="CL223" s="293">
        <f>ROUND(CK223*(1+取值表!$D$12),0)</f>
        <v>746215</v>
      </c>
      <c r="CM223" s="293">
        <f>CL223</f>
        <v>746215</v>
      </c>
      <c r="CN223" s="293">
        <f t="shared" ref="CN223" si="4937">CM223</f>
        <v>746215</v>
      </c>
      <c r="CO223" s="293">
        <f t="shared" ref="CO223" si="4938">CN223</f>
        <v>746215</v>
      </c>
      <c r="CP223" s="293">
        <f t="shared" si="4294"/>
        <v>29691208</v>
      </c>
    </row>
    <row r="224" spans="1:95">
      <c r="A224" s="680"/>
      <c r="B224" s="645"/>
      <c r="C224" s="646"/>
      <c r="D224" s="647"/>
      <c r="E224" s="648"/>
      <c r="F224" s="642"/>
      <c r="G224" s="642"/>
      <c r="H224" s="643"/>
      <c r="I224" s="291"/>
      <c r="J224" s="295"/>
      <c r="K224" s="293"/>
      <c r="L224" s="293"/>
      <c r="M224" s="293"/>
      <c r="N224" s="293"/>
      <c r="O224" s="293"/>
      <c r="P224" s="293"/>
      <c r="Q224" s="293"/>
      <c r="R224" s="293"/>
      <c r="S224" s="293"/>
      <c r="T224" s="293"/>
      <c r="U224" s="293"/>
      <c r="V224" s="293"/>
      <c r="W224" s="293"/>
      <c r="X224" s="293"/>
      <c r="Y224" s="293"/>
      <c r="Z224" s="293"/>
      <c r="AA224" s="293"/>
      <c r="AB224" s="293"/>
      <c r="AC224" s="293"/>
      <c r="AD224" s="293"/>
      <c r="AE224" s="293"/>
      <c r="AF224" s="293"/>
      <c r="AG224" s="293"/>
      <c r="AH224" s="293"/>
      <c r="AI224" s="293"/>
      <c r="AJ224" s="293"/>
      <c r="AK224" s="293"/>
      <c r="AL224" s="293"/>
      <c r="AM224" s="293"/>
      <c r="AN224" s="293"/>
      <c r="AO224" s="293"/>
      <c r="AP224" s="293"/>
      <c r="AQ224" s="293"/>
      <c r="AR224" s="293"/>
      <c r="AS224" s="293"/>
      <c r="AT224" s="293"/>
      <c r="AU224" s="293"/>
      <c r="AV224" s="293"/>
      <c r="AW224" s="293"/>
      <c r="AX224" s="293"/>
      <c r="AY224" s="293"/>
      <c r="AZ224" s="293"/>
      <c r="BA224" s="293"/>
      <c r="BB224" s="293"/>
      <c r="BC224" s="293"/>
      <c r="BD224" s="293"/>
      <c r="BE224" s="293"/>
      <c r="BF224" s="293"/>
      <c r="BG224" s="293"/>
      <c r="BH224" s="293"/>
      <c r="BI224" s="293"/>
      <c r="BJ224" s="293"/>
      <c r="BK224" s="293"/>
      <c r="BL224" s="293"/>
      <c r="BM224" s="293"/>
      <c r="BN224" s="293"/>
      <c r="BO224" s="293"/>
      <c r="BP224" s="293"/>
      <c r="BQ224" s="293"/>
      <c r="BR224" s="293"/>
      <c r="BS224" s="293"/>
      <c r="BT224" s="293"/>
      <c r="BU224" s="293"/>
      <c r="BV224" s="293"/>
      <c r="BW224" s="293"/>
      <c r="BX224" s="293"/>
      <c r="BY224" s="293"/>
      <c r="BZ224" s="293"/>
      <c r="CA224" s="293"/>
      <c r="CB224" s="293"/>
      <c r="CC224" s="293"/>
      <c r="CD224" s="293"/>
      <c r="CE224" s="293"/>
      <c r="CF224" s="293"/>
      <c r="CG224" s="293"/>
      <c r="CH224" s="293"/>
      <c r="CI224" s="293"/>
      <c r="CJ224" s="293"/>
      <c r="CK224" s="293"/>
      <c r="CL224" s="293"/>
      <c r="CM224" s="293"/>
      <c r="CN224" s="293"/>
      <c r="CO224" s="293"/>
      <c r="CP224" s="293">
        <f t="shared" si="4294"/>
        <v>0</v>
      </c>
    </row>
    <row r="225" spans="1:95" ht="12" customHeight="1">
      <c r="A225" s="679">
        <v>113</v>
      </c>
      <c r="B225" s="645" t="s">
        <v>225</v>
      </c>
      <c r="C225" s="646" t="s">
        <v>226</v>
      </c>
      <c r="D225" s="647" t="s">
        <v>478</v>
      </c>
      <c r="E225" s="648" t="s">
        <v>486</v>
      </c>
      <c r="F225" s="642">
        <v>44.89</v>
      </c>
      <c r="G225" s="642">
        <v>19</v>
      </c>
      <c r="H225" s="643">
        <f>F225*G225*365</f>
        <v>311312.14999999997</v>
      </c>
      <c r="I225" s="291">
        <v>77828.039999999994</v>
      </c>
      <c r="J225" s="295">
        <f>ROUND(G225*F225*365/4,0)</f>
        <v>77828</v>
      </c>
      <c r="K225" s="292">
        <f>J225</f>
        <v>77828</v>
      </c>
      <c r="L225" s="293">
        <f>K225</f>
        <v>77828</v>
      </c>
      <c r="M225" s="293">
        <f>L225</f>
        <v>77828</v>
      </c>
      <c r="N225" s="293">
        <f>ROUND(M225*(1+取值表!$D$12)*取值表!$I$12,0)</f>
        <v>80047</v>
      </c>
      <c r="O225" s="293">
        <f>N225</f>
        <v>80047</v>
      </c>
      <c r="P225" s="293">
        <f>O225</f>
        <v>80047</v>
      </c>
      <c r="Q225" s="293">
        <f>P225</f>
        <v>80047</v>
      </c>
      <c r="R225" s="294">
        <f>ROUND(Q225*(1+取值表!$D$8),0)</f>
        <v>87491</v>
      </c>
      <c r="S225" s="293">
        <f t="shared" ref="S225:T225" si="4939">R225</f>
        <v>87491</v>
      </c>
      <c r="T225" s="293">
        <f t="shared" si="4939"/>
        <v>87491</v>
      </c>
      <c r="U225" s="293">
        <f>T225</f>
        <v>87491</v>
      </c>
      <c r="V225" s="293">
        <f>ROUND(U225*(1+取值表!$D$12),0)</f>
        <v>95628</v>
      </c>
      <c r="W225" s="293">
        <f t="shared" ref="W225:Y225" si="4940">V225</f>
        <v>95628</v>
      </c>
      <c r="X225" s="293">
        <f t="shared" si="4940"/>
        <v>95628</v>
      </c>
      <c r="Y225" s="293">
        <f t="shared" si="4940"/>
        <v>95628</v>
      </c>
      <c r="Z225" s="293">
        <f>ROUND(Y225*(1+取值表!$D$12),0)</f>
        <v>104521</v>
      </c>
      <c r="AA225" s="293">
        <f t="shared" ref="AA225" si="4941">Z225</f>
        <v>104521</v>
      </c>
      <c r="AB225" s="293">
        <f t="shared" ref="AB225" si="4942">AA225</f>
        <v>104521</v>
      </c>
      <c r="AC225" s="293">
        <f>AB225</f>
        <v>104521</v>
      </c>
      <c r="AD225" s="293">
        <f>ROUND(AC225*(1+取值表!$D$12),0)</f>
        <v>114241</v>
      </c>
      <c r="AE225" s="293">
        <f t="shared" ref="AE225" si="4943">AD225</f>
        <v>114241</v>
      </c>
      <c r="AF225" s="293">
        <f t="shared" ref="AF225" si="4944">AE225</f>
        <v>114241</v>
      </c>
      <c r="AG225" s="293">
        <f t="shared" ref="AG225" si="4945">AF225</f>
        <v>114241</v>
      </c>
      <c r="AH225" s="293">
        <f>ROUND(AG225*(1+取值表!$D$12),0)</f>
        <v>124865</v>
      </c>
      <c r="AI225" s="293">
        <f t="shared" ref="AI225" si="4946">AH225</f>
        <v>124865</v>
      </c>
      <c r="AJ225" s="293">
        <f t="shared" ref="AJ225" si="4947">AI225</f>
        <v>124865</v>
      </c>
      <c r="AK225" s="293">
        <f t="shared" ref="AK225" si="4948">AJ225</f>
        <v>124865</v>
      </c>
      <c r="AL225" s="293">
        <f>ROUND(AK225*(1+取值表!$D$12),0)</f>
        <v>136477</v>
      </c>
      <c r="AM225" s="293">
        <f t="shared" ref="AM225" si="4949">AL225</f>
        <v>136477</v>
      </c>
      <c r="AN225" s="293">
        <f t="shared" ref="AN225" si="4950">AM225</f>
        <v>136477</v>
      </c>
      <c r="AO225" s="293">
        <f t="shared" ref="AO225" si="4951">AN225</f>
        <v>136477</v>
      </c>
      <c r="AP225" s="293">
        <f>ROUND(AO225*(1+取值表!$D$12),0)</f>
        <v>149169</v>
      </c>
      <c r="AQ225" s="293">
        <f t="shared" ref="AQ225" si="4952">AP225</f>
        <v>149169</v>
      </c>
      <c r="AR225" s="293">
        <f t="shared" ref="AR225" si="4953">AQ225</f>
        <v>149169</v>
      </c>
      <c r="AS225" s="293">
        <f t="shared" ref="AS225" si="4954">AR225</f>
        <v>149169</v>
      </c>
      <c r="AT225" s="293">
        <f>ROUND(AS225*(1+取值表!$D$12),0)</f>
        <v>163042</v>
      </c>
      <c r="AU225" s="293">
        <f t="shared" ref="AU225" si="4955">AT225</f>
        <v>163042</v>
      </c>
      <c r="AV225" s="293">
        <f t="shared" ref="AV225" si="4956">AU225</f>
        <v>163042</v>
      </c>
      <c r="AW225" s="293">
        <f t="shared" ref="AW225" si="4957">AV225</f>
        <v>163042</v>
      </c>
      <c r="AX225" s="293">
        <f>ROUND(AW225*(1+取值表!$D$12),0)</f>
        <v>178205</v>
      </c>
      <c r="AY225" s="293">
        <f t="shared" ref="AY225" si="4958">AX225</f>
        <v>178205</v>
      </c>
      <c r="AZ225" s="293">
        <f t="shared" ref="AZ225" si="4959">AY225</f>
        <v>178205</v>
      </c>
      <c r="BA225" s="293">
        <f t="shared" ref="BA225" si="4960">AZ225</f>
        <v>178205</v>
      </c>
      <c r="BB225" s="293">
        <f>ROUND(BA225*(1+取值表!$D$12),0)</f>
        <v>194778</v>
      </c>
      <c r="BC225" s="293">
        <f>BB225</f>
        <v>194778</v>
      </c>
      <c r="BD225" s="293">
        <f t="shared" ref="BD225" si="4961">BC225</f>
        <v>194778</v>
      </c>
      <c r="BE225" s="293">
        <f>BD225</f>
        <v>194778</v>
      </c>
      <c r="BF225" s="293">
        <f>ROUND(BE225*(1+取值表!$D$12),0)</f>
        <v>212892</v>
      </c>
      <c r="BG225" s="293">
        <f>BF225</f>
        <v>212892</v>
      </c>
      <c r="BH225" s="293">
        <f t="shared" ref="BH225" si="4962">BG225</f>
        <v>212892</v>
      </c>
      <c r="BI225" s="293">
        <f t="shared" ref="BI225" si="4963">BH225</f>
        <v>212892</v>
      </c>
      <c r="BJ225" s="293">
        <f>ROUND(BI225*(1+取值表!$D$12),0)</f>
        <v>232691</v>
      </c>
      <c r="BK225" s="293">
        <f t="shared" ref="BK225" si="4964">BJ225</f>
        <v>232691</v>
      </c>
      <c r="BL225" s="293">
        <f t="shared" ref="BL225" si="4965">BK225</f>
        <v>232691</v>
      </c>
      <c r="BM225" s="293">
        <f t="shared" ref="BM225" si="4966">BL225</f>
        <v>232691</v>
      </c>
      <c r="BN225" s="293">
        <f>ROUND(BM225*(1+取值表!$D$12),0)</f>
        <v>254331</v>
      </c>
      <c r="BO225" s="293">
        <f t="shared" ref="BO225" si="4967">BN225</f>
        <v>254331</v>
      </c>
      <c r="BP225" s="293">
        <f t="shared" ref="BP225" si="4968">BO225</f>
        <v>254331</v>
      </c>
      <c r="BQ225" s="293">
        <f t="shared" ref="BQ225" si="4969">BP225</f>
        <v>254331</v>
      </c>
      <c r="BR225" s="293">
        <f>ROUND(BQ225*(1+取值表!$D$12),0)</f>
        <v>277984</v>
      </c>
      <c r="BS225" s="293">
        <f t="shared" ref="BS225" si="4970">BR225</f>
        <v>277984</v>
      </c>
      <c r="BT225" s="293">
        <f t="shared" ref="BT225" si="4971">BS225</f>
        <v>277984</v>
      </c>
      <c r="BU225" s="293">
        <f t="shared" ref="BU225" si="4972">BT225</f>
        <v>277984</v>
      </c>
      <c r="BV225" s="293">
        <f>ROUND(BU225*(1+取值表!$D$12),0)</f>
        <v>303837</v>
      </c>
      <c r="BW225" s="293">
        <f t="shared" ref="BW225" si="4973">BV225</f>
        <v>303837</v>
      </c>
      <c r="BX225" s="293">
        <f t="shared" ref="BX225" si="4974">BW225</f>
        <v>303837</v>
      </c>
      <c r="BY225" s="293">
        <f t="shared" ref="BY225" si="4975">BX225</f>
        <v>303837</v>
      </c>
      <c r="BZ225" s="293">
        <f>ROUND(BY225*(1+取值表!$D$12),0)</f>
        <v>332094</v>
      </c>
      <c r="CA225" s="293">
        <f t="shared" ref="CA225" si="4976">BZ225</f>
        <v>332094</v>
      </c>
      <c r="CB225" s="293">
        <f t="shared" ref="CB225" si="4977">CA225</f>
        <v>332094</v>
      </c>
      <c r="CC225" s="293">
        <f t="shared" ref="CC225" si="4978">CB225</f>
        <v>332094</v>
      </c>
      <c r="CD225" s="293">
        <f>ROUND(CC225*(1+取值表!$D$12),0)</f>
        <v>362979</v>
      </c>
      <c r="CE225" s="293">
        <f t="shared" ref="CE225" si="4979">CD225</f>
        <v>362979</v>
      </c>
      <c r="CF225" s="293">
        <f t="shared" ref="CF225" si="4980">CE225</f>
        <v>362979</v>
      </c>
      <c r="CG225" s="293">
        <f t="shared" ref="CG225" si="4981">CF225</f>
        <v>362979</v>
      </c>
      <c r="CH225" s="293">
        <f>ROUND(CG225*(1+取值表!$D$12),0)</f>
        <v>396736</v>
      </c>
      <c r="CI225" s="293">
        <f>CH225</f>
        <v>396736</v>
      </c>
      <c r="CJ225" s="293">
        <f t="shared" ref="CJ225" si="4982">CI225</f>
        <v>396736</v>
      </c>
      <c r="CK225" s="293">
        <f t="shared" ref="CK225" si="4983">CJ225</f>
        <v>396736</v>
      </c>
      <c r="CL225" s="293">
        <f>ROUND(CK225*(1+取值表!$D$12),0)</f>
        <v>433632</v>
      </c>
      <c r="CM225" s="293">
        <f>CL225</f>
        <v>433632</v>
      </c>
      <c r="CN225" s="293">
        <f t="shared" ref="CN225" si="4984">CM225</f>
        <v>433632</v>
      </c>
      <c r="CO225" s="293">
        <f t="shared" ref="CO225" si="4985">CN225</f>
        <v>433632</v>
      </c>
      <c r="CP225" s="293">
        <f t="shared" si="4294"/>
        <v>17253872</v>
      </c>
    </row>
    <row r="226" spans="1:95">
      <c r="A226" s="680"/>
      <c r="B226" s="645"/>
      <c r="C226" s="646"/>
      <c r="D226" s="647"/>
      <c r="E226" s="648"/>
      <c r="F226" s="642"/>
      <c r="G226" s="642"/>
      <c r="H226" s="643"/>
      <c r="I226" s="291"/>
      <c r="J226" s="295"/>
      <c r="K226" s="293"/>
      <c r="L226" s="293"/>
      <c r="M226" s="293"/>
      <c r="N226" s="293"/>
      <c r="O226" s="293"/>
      <c r="P226" s="293"/>
      <c r="Q226" s="293"/>
      <c r="R226" s="293"/>
      <c r="S226" s="293"/>
      <c r="T226" s="293"/>
      <c r="U226" s="293"/>
      <c r="V226" s="293"/>
      <c r="W226" s="293"/>
      <c r="X226" s="293"/>
      <c r="Y226" s="293"/>
      <c r="Z226" s="293"/>
      <c r="AA226" s="293"/>
      <c r="AB226" s="293"/>
      <c r="AC226" s="293"/>
      <c r="AD226" s="293"/>
      <c r="AE226" s="293"/>
      <c r="AF226" s="293"/>
      <c r="AG226" s="293"/>
      <c r="AH226" s="293"/>
      <c r="AI226" s="293"/>
      <c r="AJ226" s="293"/>
      <c r="AK226" s="293"/>
      <c r="AL226" s="293"/>
      <c r="AM226" s="293"/>
      <c r="AN226" s="293"/>
      <c r="AO226" s="293"/>
      <c r="AP226" s="293"/>
      <c r="AQ226" s="293"/>
      <c r="AR226" s="293"/>
      <c r="AS226" s="293"/>
      <c r="AT226" s="293"/>
      <c r="AU226" s="293"/>
      <c r="AV226" s="293"/>
      <c r="AW226" s="293"/>
      <c r="AX226" s="293"/>
      <c r="AY226" s="293"/>
      <c r="AZ226" s="293"/>
      <c r="BA226" s="293"/>
      <c r="BB226" s="293"/>
      <c r="BC226" s="293"/>
      <c r="BD226" s="293"/>
      <c r="BE226" s="293"/>
      <c r="BF226" s="293"/>
      <c r="BG226" s="293"/>
      <c r="BH226" s="293"/>
      <c r="BI226" s="293"/>
      <c r="BJ226" s="293"/>
      <c r="BK226" s="293"/>
      <c r="BL226" s="293"/>
      <c r="BM226" s="293"/>
      <c r="BN226" s="293"/>
      <c r="BO226" s="293"/>
      <c r="BP226" s="293"/>
      <c r="BQ226" s="293"/>
      <c r="BR226" s="293"/>
      <c r="BS226" s="293"/>
      <c r="BT226" s="293"/>
      <c r="BU226" s="293"/>
      <c r="BV226" s="293"/>
      <c r="BW226" s="293"/>
      <c r="BX226" s="293"/>
      <c r="BY226" s="293"/>
      <c r="BZ226" s="293"/>
      <c r="CA226" s="293"/>
      <c r="CB226" s="293"/>
      <c r="CC226" s="293"/>
      <c r="CD226" s="293"/>
      <c r="CE226" s="293"/>
      <c r="CF226" s="293"/>
      <c r="CG226" s="293"/>
      <c r="CH226" s="293"/>
      <c r="CI226" s="293"/>
      <c r="CJ226" s="293"/>
      <c r="CK226" s="293"/>
      <c r="CL226" s="293"/>
      <c r="CM226" s="293"/>
      <c r="CN226" s="293"/>
      <c r="CO226" s="293"/>
      <c r="CP226" s="293">
        <f t="shared" si="4294"/>
        <v>0</v>
      </c>
    </row>
    <row r="227" spans="1:95" ht="12" customHeight="1">
      <c r="A227" s="679">
        <v>114</v>
      </c>
      <c r="B227" s="645" t="s">
        <v>227</v>
      </c>
      <c r="C227" s="646" t="s">
        <v>29</v>
      </c>
      <c r="D227" s="647" t="s">
        <v>497</v>
      </c>
      <c r="E227" s="648" t="s">
        <v>486</v>
      </c>
      <c r="F227" s="642">
        <v>47.71</v>
      </c>
      <c r="G227" s="642">
        <v>17</v>
      </c>
      <c r="H227" s="643">
        <f>24670.05*12</f>
        <v>296040.59999999998</v>
      </c>
      <c r="I227" s="291">
        <v>74010.14</v>
      </c>
      <c r="J227" s="292">
        <f>ROUND(G227*F227*365/4,0)</f>
        <v>74010</v>
      </c>
      <c r="K227" s="324">
        <f>J227</f>
        <v>74010</v>
      </c>
      <c r="L227" s="324">
        <f>K227</f>
        <v>74010</v>
      </c>
      <c r="M227" s="324">
        <f>L227</f>
        <v>74010</v>
      </c>
      <c r="N227" s="293">
        <f>ROUND(M227*(1+取值表!$D$12)*取值表!$I$12,0)</f>
        <v>76120</v>
      </c>
      <c r="O227" s="293">
        <f>N227</f>
        <v>76120</v>
      </c>
      <c r="P227" s="293">
        <f>O227</f>
        <v>76120</v>
      </c>
      <c r="Q227" s="293">
        <f>P227</f>
        <v>76120</v>
      </c>
      <c r="R227" s="294">
        <f>ROUND(Q227*(1+取值表!$D$8),0)</f>
        <v>83199</v>
      </c>
      <c r="S227" s="293">
        <f t="shared" ref="S227:T227" si="4986">R227</f>
        <v>83199</v>
      </c>
      <c r="T227" s="293">
        <f t="shared" si="4986"/>
        <v>83199</v>
      </c>
      <c r="U227" s="293">
        <f>T227</f>
        <v>83199</v>
      </c>
      <c r="V227" s="293">
        <f>ROUND(U227*(1+取值表!$D$12),0)</f>
        <v>90937</v>
      </c>
      <c r="W227" s="293">
        <f t="shared" ref="W227:Y227" si="4987">V227</f>
        <v>90937</v>
      </c>
      <c r="X227" s="293">
        <f t="shared" si="4987"/>
        <v>90937</v>
      </c>
      <c r="Y227" s="293">
        <f t="shared" si="4987"/>
        <v>90937</v>
      </c>
      <c r="Z227" s="293">
        <f>ROUND(Y227*(1+取值表!$D$12),0)</f>
        <v>99394</v>
      </c>
      <c r="AA227" s="293">
        <f t="shared" ref="AA227" si="4988">Z227</f>
        <v>99394</v>
      </c>
      <c r="AB227" s="293">
        <f t="shared" ref="AB227" si="4989">AA227</f>
        <v>99394</v>
      </c>
      <c r="AC227" s="293">
        <f>AB227</f>
        <v>99394</v>
      </c>
      <c r="AD227" s="293">
        <f>ROUND(AC227*(1+取值表!$D$12),0)</f>
        <v>108638</v>
      </c>
      <c r="AE227" s="293">
        <f t="shared" ref="AE227" si="4990">AD227</f>
        <v>108638</v>
      </c>
      <c r="AF227" s="293">
        <f t="shared" ref="AF227" si="4991">AE227</f>
        <v>108638</v>
      </c>
      <c r="AG227" s="293">
        <f t="shared" ref="AG227" si="4992">AF227</f>
        <v>108638</v>
      </c>
      <c r="AH227" s="293">
        <f>ROUND(AG227*(1+取值表!$D$12),0)</f>
        <v>118741</v>
      </c>
      <c r="AI227" s="293">
        <f t="shared" ref="AI227" si="4993">AH227</f>
        <v>118741</v>
      </c>
      <c r="AJ227" s="293">
        <f t="shared" ref="AJ227" si="4994">AI227</f>
        <v>118741</v>
      </c>
      <c r="AK227" s="293">
        <f t="shared" ref="AK227" si="4995">AJ227</f>
        <v>118741</v>
      </c>
      <c r="AL227" s="293">
        <f>ROUND(AK227*(1+取值表!$D$12),0)</f>
        <v>129784</v>
      </c>
      <c r="AM227" s="293">
        <f t="shared" ref="AM227" si="4996">AL227</f>
        <v>129784</v>
      </c>
      <c r="AN227" s="293">
        <f t="shared" ref="AN227" si="4997">AM227</f>
        <v>129784</v>
      </c>
      <c r="AO227" s="293">
        <f t="shared" ref="AO227" si="4998">AN227</f>
        <v>129784</v>
      </c>
      <c r="AP227" s="293">
        <f>ROUND(AO227*(1+取值表!$D$12),0)</f>
        <v>141854</v>
      </c>
      <c r="AQ227" s="293">
        <f t="shared" ref="AQ227" si="4999">AP227</f>
        <v>141854</v>
      </c>
      <c r="AR227" s="293">
        <f t="shared" ref="AR227" si="5000">AQ227</f>
        <v>141854</v>
      </c>
      <c r="AS227" s="293">
        <f t="shared" ref="AS227" si="5001">AR227</f>
        <v>141854</v>
      </c>
      <c r="AT227" s="293">
        <f>ROUND(AS227*(1+取值表!$D$12),0)</f>
        <v>155046</v>
      </c>
      <c r="AU227" s="293">
        <f t="shared" ref="AU227" si="5002">AT227</f>
        <v>155046</v>
      </c>
      <c r="AV227" s="293">
        <f t="shared" ref="AV227" si="5003">AU227</f>
        <v>155046</v>
      </c>
      <c r="AW227" s="293">
        <f t="shared" ref="AW227" si="5004">AV227</f>
        <v>155046</v>
      </c>
      <c r="AX227" s="293">
        <f>ROUND(AW227*(1+取值表!$D$12),0)</f>
        <v>169465</v>
      </c>
      <c r="AY227" s="293">
        <f t="shared" ref="AY227" si="5005">AX227</f>
        <v>169465</v>
      </c>
      <c r="AZ227" s="293">
        <f t="shared" ref="AZ227" si="5006">AY227</f>
        <v>169465</v>
      </c>
      <c r="BA227" s="293">
        <f t="shared" ref="BA227" si="5007">AZ227</f>
        <v>169465</v>
      </c>
      <c r="BB227" s="293">
        <f>ROUND(BA227*(1+取值表!$D$12),0)</f>
        <v>185225</v>
      </c>
      <c r="BC227" s="293">
        <f>BB227</f>
        <v>185225</v>
      </c>
      <c r="BD227" s="293">
        <f t="shared" ref="BD227" si="5008">BC227</f>
        <v>185225</v>
      </c>
      <c r="BE227" s="293">
        <f>BD227</f>
        <v>185225</v>
      </c>
      <c r="BF227" s="293">
        <f>ROUND(BE227*(1+取值表!$D$12),0)</f>
        <v>202451</v>
      </c>
      <c r="BG227" s="293">
        <f>BF227</f>
        <v>202451</v>
      </c>
      <c r="BH227" s="293">
        <f t="shared" ref="BH227" si="5009">BG227</f>
        <v>202451</v>
      </c>
      <c r="BI227" s="293">
        <f t="shared" ref="BI227" si="5010">BH227</f>
        <v>202451</v>
      </c>
      <c r="BJ227" s="293">
        <f>ROUND(BI227*(1+取值表!$D$12),0)</f>
        <v>221279</v>
      </c>
      <c r="BK227" s="293">
        <f t="shared" ref="BK227" si="5011">BJ227</f>
        <v>221279</v>
      </c>
      <c r="BL227" s="293">
        <f t="shared" ref="BL227" si="5012">BK227</f>
        <v>221279</v>
      </c>
      <c r="BM227" s="293">
        <f t="shared" ref="BM227" si="5013">BL227</f>
        <v>221279</v>
      </c>
      <c r="BN227" s="293">
        <f>ROUND(BM227*(1+取值表!$D$12),0)</f>
        <v>241858</v>
      </c>
      <c r="BO227" s="293">
        <f t="shared" ref="BO227" si="5014">BN227</f>
        <v>241858</v>
      </c>
      <c r="BP227" s="293">
        <f t="shared" ref="BP227" si="5015">BO227</f>
        <v>241858</v>
      </c>
      <c r="BQ227" s="293">
        <f t="shared" ref="BQ227" si="5016">BP227</f>
        <v>241858</v>
      </c>
      <c r="BR227" s="293">
        <f>ROUND(BQ227*(1+取值表!$D$12),0)</f>
        <v>264351</v>
      </c>
      <c r="BS227" s="293">
        <f t="shared" ref="BS227" si="5017">BR227</f>
        <v>264351</v>
      </c>
      <c r="BT227" s="293">
        <f t="shared" ref="BT227" si="5018">BS227</f>
        <v>264351</v>
      </c>
      <c r="BU227" s="293">
        <f t="shared" ref="BU227" si="5019">BT227</f>
        <v>264351</v>
      </c>
      <c r="BV227" s="293">
        <f>ROUND(BU227*(1+取值表!$D$12),0)</f>
        <v>288936</v>
      </c>
      <c r="BW227" s="293">
        <f t="shared" ref="BW227" si="5020">BV227</f>
        <v>288936</v>
      </c>
      <c r="BX227" s="293">
        <f t="shared" ref="BX227" si="5021">BW227</f>
        <v>288936</v>
      </c>
      <c r="BY227" s="293">
        <f t="shared" ref="BY227" si="5022">BX227</f>
        <v>288936</v>
      </c>
      <c r="BZ227" s="293">
        <f>ROUND(BY227*(1+取值表!$D$12),0)</f>
        <v>315807</v>
      </c>
      <c r="CA227" s="293">
        <f t="shared" ref="CA227" si="5023">BZ227</f>
        <v>315807</v>
      </c>
      <c r="CB227" s="293">
        <f t="shared" ref="CB227" si="5024">CA227</f>
        <v>315807</v>
      </c>
      <c r="CC227" s="293">
        <f t="shared" ref="CC227" si="5025">CB227</f>
        <v>315807</v>
      </c>
      <c r="CD227" s="293">
        <f>ROUND(CC227*(1+取值表!$D$12),0)</f>
        <v>345177</v>
      </c>
      <c r="CE227" s="293">
        <f t="shared" ref="CE227" si="5026">CD227</f>
        <v>345177</v>
      </c>
      <c r="CF227" s="293">
        <f t="shared" ref="CF227" si="5027">CE227</f>
        <v>345177</v>
      </c>
      <c r="CG227" s="293">
        <f t="shared" ref="CG227" si="5028">CF227</f>
        <v>345177</v>
      </c>
      <c r="CH227" s="293">
        <f>ROUND(CG227*(1+取值表!$D$12),0)</f>
        <v>377278</v>
      </c>
      <c r="CI227" s="293">
        <f>CH227</f>
        <v>377278</v>
      </c>
      <c r="CJ227" s="293">
        <f t="shared" ref="CJ227" si="5029">CI227</f>
        <v>377278</v>
      </c>
      <c r="CK227" s="293">
        <f t="shared" ref="CK227" si="5030">CJ227</f>
        <v>377278</v>
      </c>
      <c r="CL227" s="293">
        <f>ROUND(CK227*(1+取值表!$D$12),0)</f>
        <v>412365</v>
      </c>
      <c r="CM227" s="293">
        <f>CL227</f>
        <v>412365</v>
      </c>
      <c r="CN227" s="293">
        <f t="shared" ref="CN227" si="5031">CM227</f>
        <v>412365</v>
      </c>
      <c r="CO227" s="293">
        <f t="shared" ref="CO227" si="5032">CN227</f>
        <v>412365</v>
      </c>
      <c r="CP227" s="293">
        <f t="shared" si="4294"/>
        <v>16407660</v>
      </c>
    </row>
    <row r="228" spans="1:95">
      <c r="A228" s="680"/>
      <c r="B228" s="645"/>
      <c r="C228" s="646"/>
      <c r="D228" s="647"/>
      <c r="E228" s="648"/>
      <c r="F228" s="642"/>
      <c r="G228" s="642"/>
      <c r="H228" s="643"/>
      <c r="I228" s="291"/>
      <c r="J228" s="295"/>
      <c r="K228" s="293"/>
      <c r="L228" s="293"/>
      <c r="M228" s="293"/>
      <c r="N228" s="293"/>
      <c r="O228" s="293"/>
      <c r="P228" s="293"/>
      <c r="Q228" s="293"/>
      <c r="R228" s="293"/>
      <c r="S228" s="293"/>
      <c r="T228" s="293"/>
      <c r="U228" s="293"/>
      <c r="V228" s="293"/>
      <c r="W228" s="293"/>
      <c r="X228" s="293"/>
      <c r="Y228" s="293"/>
      <c r="Z228" s="293"/>
      <c r="AA228" s="293"/>
      <c r="AB228" s="293"/>
      <c r="AC228" s="293"/>
      <c r="AD228" s="293"/>
      <c r="AE228" s="293"/>
      <c r="AF228" s="293"/>
      <c r="AG228" s="293"/>
      <c r="AH228" s="293"/>
      <c r="AI228" s="293"/>
      <c r="AJ228" s="293"/>
      <c r="AK228" s="293"/>
      <c r="AL228" s="293"/>
      <c r="AM228" s="293"/>
      <c r="AN228" s="293"/>
      <c r="AO228" s="293"/>
      <c r="AP228" s="293"/>
      <c r="AQ228" s="293"/>
      <c r="AR228" s="293"/>
      <c r="AS228" s="293"/>
      <c r="AT228" s="293"/>
      <c r="AU228" s="293"/>
      <c r="AV228" s="293"/>
      <c r="AW228" s="293"/>
      <c r="AX228" s="293"/>
      <c r="AY228" s="293"/>
      <c r="AZ228" s="293"/>
      <c r="BA228" s="293"/>
      <c r="BB228" s="293"/>
      <c r="BC228" s="293"/>
      <c r="BD228" s="293"/>
      <c r="BE228" s="293"/>
      <c r="BF228" s="293"/>
      <c r="BG228" s="293"/>
      <c r="BH228" s="293"/>
      <c r="BI228" s="293"/>
      <c r="BJ228" s="293"/>
      <c r="BK228" s="293"/>
      <c r="BL228" s="293"/>
      <c r="BM228" s="293"/>
      <c r="BN228" s="293"/>
      <c r="BO228" s="293"/>
      <c r="BP228" s="293"/>
      <c r="BQ228" s="293"/>
      <c r="BR228" s="293"/>
      <c r="BS228" s="293"/>
      <c r="BT228" s="293"/>
      <c r="BU228" s="293"/>
      <c r="BV228" s="293"/>
      <c r="BW228" s="293"/>
      <c r="BX228" s="293"/>
      <c r="BY228" s="293"/>
      <c r="BZ228" s="293"/>
      <c r="CA228" s="293"/>
      <c r="CB228" s="293"/>
      <c r="CC228" s="293"/>
      <c r="CD228" s="293"/>
      <c r="CE228" s="293"/>
      <c r="CF228" s="293"/>
      <c r="CG228" s="293"/>
      <c r="CH228" s="293"/>
      <c r="CI228" s="293"/>
      <c r="CJ228" s="293"/>
      <c r="CK228" s="293"/>
      <c r="CL228" s="293"/>
      <c r="CM228" s="293"/>
      <c r="CN228" s="293"/>
      <c r="CO228" s="293"/>
      <c r="CP228" s="293">
        <f t="shared" si="4294"/>
        <v>0</v>
      </c>
    </row>
    <row r="229" spans="1:95">
      <c r="A229" s="679">
        <v>115</v>
      </c>
      <c r="B229" s="645" t="s">
        <v>228</v>
      </c>
      <c r="C229" s="646" t="s">
        <v>229</v>
      </c>
      <c r="D229" s="647" t="s">
        <v>499</v>
      </c>
      <c r="E229" s="648" t="s">
        <v>486</v>
      </c>
      <c r="F229" s="642">
        <v>90.13</v>
      </c>
      <c r="G229" s="642">
        <v>21</v>
      </c>
      <c r="H229" s="643">
        <f>F229*G229*365</f>
        <v>690846.45</v>
      </c>
      <c r="I229" s="291">
        <v>172711.61</v>
      </c>
      <c r="J229" s="295">
        <f>ROUND(G229*F229*365/4,0)</f>
        <v>172712</v>
      </c>
      <c r="K229" s="293">
        <f>J229</f>
        <v>172712</v>
      </c>
      <c r="L229" s="293">
        <f t="shared" ref="L229:S229" si="5033">K229</f>
        <v>172712</v>
      </c>
      <c r="M229" s="293">
        <f t="shared" si="5033"/>
        <v>172712</v>
      </c>
      <c r="N229" s="293">
        <f t="shared" si="5033"/>
        <v>172712</v>
      </c>
      <c r="O229" s="293">
        <f>N229</f>
        <v>172712</v>
      </c>
      <c r="P229" s="293">
        <f>O229</f>
        <v>172712</v>
      </c>
      <c r="Q229" s="293">
        <f>P229</f>
        <v>172712</v>
      </c>
      <c r="R229" s="293">
        <f t="shared" si="5033"/>
        <v>172712</v>
      </c>
      <c r="S229" s="292">
        <f t="shared" si="5033"/>
        <v>172712</v>
      </c>
      <c r="T229" s="293">
        <f>S229</f>
        <v>172712</v>
      </c>
      <c r="U229" s="293">
        <f>T229</f>
        <v>172712</v>
      </c>
      <c r="V229" s="293">
        <f>ROUND(U229*(1+取值表!$D$12)*取值表!$I$12,0)</f>
        <v>177637</v>
      </c>
      <c r="W229" s="293">
        <f>V229</f>
        <v>177637</v>
      </c>
      <c r="X229" s="293">
        <f>W229</f>
        <v>177637</v>
      </c>
      <c r="Y229" s="293">
        <f>X229</f>
        <v>177637</v>
      </c>
      <c r="Z229" s="294">
        <f>ROUND(Y229*(1+取值表!$D$8),0)</f>
        <v>194157</v>
      </c>
      <c r="AA229" s="293">
        <f t="shared" ref="AA229:AB229" si="5034">Z229</f>
        <v>194157</v>
      </c>
      <c r="AB229" s="293">
        <f t="shared" si="5034"/>
        <v>194157</v>
      </c>
      <c r="AC229" s="293">
        <f>AB229</f>
        <v>194157</v>
      </c>
      <c r="AD229" s="293">
        <f>ROUND(AC229*(1+取值表!$D$12),0)</f>
        <v>212214</v>
      </c>
      <c r="AE229" s="293">
        <f t="shared" ref="AE229:AG229" si="5035">AD229</f>
        <v>212214</v>
      </c>
      <c r="AF229" s="293">
        <f t="shared" si="5035"/>
        <v>212214</v>
      </c>
      <c r="AG229" s="293">
        <f t="shared" si="5035"/>
        <v>212214</v>
      </c>
      <c r="AH229" s="293">
        <f>ROUND(AG229*(1+取值表!$D$12),0)</f>
        <v>231950</v>
      </c>
      <c r="AI229" s="293">
        <f t="shared" ref="AI229" si="5036">AH229</f>
        <v>231950</v>
      </c>
      <c r="AJ229" s="293">
        <f t="shared" ref="AJ229" si="5037">AI229</f>
        <v>231950</v>
      </c>
      <c r="AK229" s="293">
        <f t="shared" ref="AK229" si="5038">AJ229</f>
        <v>231950</v>
      </c>
      <c r="AL229" s="293">
        <f>ROUND(AK229*(1+取值表!$D$12),0)</f>
        <v>253521</v>
      </c>
      <c r="AM229" s="293">
        <f t="shared" ref="AM229" si="5039">AL229</f>
        <v>253521</v>
      </c>
      <c r="AN229" s="293">
        <f t="shared" ref="AN229" si="5040">AM229</f>
        <v>253521</v>
      </c>
      <c r="AO229" s="293">
        <f t="shared" ref="AO229" si="5041">AN229</f>
        <v>253521</v>
      </c>
      <c r="AP229" s="293">
        <f>ROUND(AO229*(1+取值表!$D$12),0)</f>
        <v>277098</v>
      </c>
      <c r="AQ229" s="293">
        <f t="shared" ref="AQ229" si="5042">AP229</f>
        <v>277098</v>
      </c>
      <c r="AR229" s="293">
        <f t="shared" ref="AR229" si="5043">AQ229</f>
        <v>277098</v>
      </c>
      <c r="AS229" s="293">
        <f t="shared" ref="AS229" si="5044">AR229</f>
        <v>277098</v>
      </c>
      <c r="AT229" s="293">
        <f>ROUND(AS229*(1+取值表!$D$12),0)</f>
        <v>302868</v>
      </c>
      <c r="AU229" s="293">
        <f t="shared" ref="AU229" si="5045">AT229</f>
        <v>302868</v>
      </c>
      <c r="AV229" s="293">
        <f t="shared" ref="AV229" si="5046">AU229</f>
        <v>302868</v>
      </c>
      <c r="AW229" s="293">
        <f t="shared" ref="AW229" si="5047">AV229</f>
        <v>302868</v>
      </c>
      <c r="AX229" s="293">
        <f>ROUND(AW229*(1+取值表!$D$12),0)</f>
        <v>331035</v>
      </c>
      <c r="AY229" s="293">
        <f t="shared" ref="AY229" si="5048">AX229</f>
        <v>331035</v>
      </c>
      <c r="AZ229" s="293">
        <f t="shared" ref="AZ229" si="5049">AY229</f>
        <v>331035</v>
      </c>
      <c r="BA229" s="293">
        <f t="shared" ref="BA229" si="5050">AZ229</f>
        <v>331035</v>
      </c>
      <c r="BB229" s="293">
        <f>ROUND(BA229*(1+取值表!$D$12),0)</f>
        <v>361821</v>
      </c>
      <c r="BC229" s="293">
        <f>BB229</f>
        <v>361821</v>
      </c>
      <c r="BD229" s="293">
        <f t="shared" ref="BD229" si="5051">BC229</f>
        <v>361821</v>
      </c>
      <c r="BE229" s="293">
        <f>BD229</f>
        <v>361821</v>
      </c>
      <c r="BF229" s="293">
        <f>ROUND(BE229*(1+取值表!$D$12),0)</f>
        <v>395470</v>
      </c>
      <c r="BG229" s="293">
        <f>BF229</f>
        <v>395470</v>
      </c>
      <c r="BH229" s="293">
        <f t="shared" ref="BH229" si="5052">BG229</f>
        <v>395470</v>
      </c>
      <c r="BI229" s="293">
        <f t="shared" ref="BI229" si="5053">BH229</f>
        <v>395470</v>
      </c>
      <c r="BJ229" s="293">
        <f>ROUND(BI229*(1+取值表!$D$12),0)</f>
        <v>432249</v>
      </c>
      <c r="BK229" s="293">
        <f t="shared" ref="BK229" si="5054">BJ229</f>
        <v>432249</v>
      </c>
      <c r="BL229" s="293">
        <f t="shared" ref="BL229" si="5055">BK229</f>
        <v>432249</v>
      </c>
      <c r="BM229" s="293">
        <f t="shared" ref="BM229" si="5056">BL229</f>
        <v>432249</v>
      </c>
      <c r="BN229" s="293">
        <f>ROUND(BM229*(1+取值表!$D$12),0)</f>
        <v>472448</v>
      </c>
      <c r="BO229" s="293">
        <f t="shared" ref="BO229" si="5057">BN229</f>
        <v>472448</v>
      </c>
      <c r="BP229" s="293">
        <f t="shared" ref="BP229" si="5058">BO229</f>
        <v>472448</v>
      </c>
      <c r="BQ229" s="293">
        <f t="shared" ref="BQ229" si="5059">BP229</f>
        <v>472448</v>
      </c>
      <c r="BR229" s="293">
        <f>ROUND(BQ229*(1+取值表!$D$12),0)</f>
        <v>516386</v>
      </c>
      <c r="BS229" s="293">
        <f t="shared" ref="BS229" si="5060">BR229</f>
        <v>516386</v>
      </c>
      <c r="BT229" s="293">
        <f t="shared" ref="BT229" si="5061">BS229</f>
        <v>516386</v>
      </c>
      <c r="BU229" s="293">
        <f t="shared" ref="BU229" si="5062">BT229</f>
        <v>516386</v>
      </c>
      <c r="BV229" s="293">
        <f>ROUND(BU229*(1+取值表!$D$12),0)</f>
        <v>564410</v>
      </c>
      <c r="BW229" s="293">
        <f t="shared" ref="BW229" si="5063">BV229</f>
        <v>564410</v>
      </c>
      <c r="BX229" s="293">
        <f t="shared" ref="BX229" si="5064">BW229</f>
        <v>564410</v>
      </c>
      <c r="BY229" s="293">
        <f t="shared" ref="BY229" si="5065">BX229</f>
        <v>564410</v>
      </c>
      <c r="BZ229" s="293">
        <f>ROUND(BY229*(1+取值表!$D$12),0)</f>
        <v>616900</v>
      </c>
      <c r="CA229" s="293">
        <f t="shared" ref="CA229" si="5066">BZ229</f>
        <v>616900</v>
      </c>
      <c r="CB229" s="293">
        <f t="shared" ref="CB229" si="5067">CA229</f>
        <v>616900</v>
      </c>
      <c r="CC229" s="293">
        <f t="shared" ref="CC229" si="5068">CB229</f>
        <v>616900</v>
      </c>
      <c r="CD229" s="293">
        <f>ROUND(CC229*(1+取值表!$D$12),0)</f>
        <v>674272</v>
      </c>
      <c r="CE229" s="293">
        <f t="shared" ref="CE229" si="5069">CD229</f>
        <v>674272</v>
      </c>
      <c r="CF229" s="293">
        <f t="shared" ref="CF229" si="5070">CE229</f>
        <v>674272</v>
      </c>
      <c r="CG229" s="293">
        <f t="shared" ref="CG229" si="5071">CF229</f>
        <v>674272</v>
      </c>
      <c r="CH229" s="293">
        <f>ROUND(CG229*(1+取值表!$D$12),0)</f>
        <v>736979</v>
      </c>
      <c r="CI229" s="293">
        <f>CH229</f>
        <v>736979</v>
      </c>
      <c r="CJ229" s="293">
        <f t="shared" ref="CJ229" si="5072">CI229</f>
        <v>736979</v>
      </c>
      <c r="CK229" s="293">
        <f t="shared" ref="CK229" si="5073">CJ229</f>
        <v>736979</v>
      </c>
      <c r="CL229" s="293">
        <f>ROUND(CK229*(1+取值表!$D$12),0)</f>
        <v>805518</v>
      </c>
      <c r="CM229" s="293">
        <f>CL229</f>
        <v>805518</v>
      </c>
      <c r="CN229" s="293">
        <f t="shared" ref="CN229" si="5074">CM229</f>
        <v>805518</v>
      </c>
      <c r="CO229" s="293">
        <f t="shared" ref="CO229" si="5075">CN229</f>
        <v>805518</v>
      </c>
      <c r="CP229" s="293">
        <f t="shared" si="4294"/>
        <v>32300276</v>
      </c>
    </row>
    <row r="230" spans="1:95">
      <c r="A230" s="680"/>
      <c r="B230" s="645"/>
      <c r="C230" s="646"/>
      <c r="D230" s="647"/>
      <c r="E230" s="648"/>
      <c r="F230" s="642"/>
      <c r="G230" s="642"/>
      <c r="H230" s="643"/>
      <c r="I230" s="291"/>
      <c r="J230" s="295"/>
      <c r="K230" s="293"/>
      <c r="L230" s="293"/>
      <c r="M230" s="293"/>
      <c r="N230" s="293"/>
      <c r="O230" s="293"/>
      <c r="P230" s="293"/>
      <c r="Q230" s="293"/>
      <c r="R230" s="293"/>
      <c r="S230" s="293"/>
      <c r="T230" s="293"/>
      <c r="U230" s="293"/>
      <c r="V230" s="293"/>
      <c r="W230" s="293"/>
      <c r="X230" s="293"/>
      <c r="Y230" s="293"/>
      <c r="Z230" s="293"/>
      <c r="AA230" s="293"/>
      <c r="AB230" s="293"/>
      <c r="AC230" s="293"/>
      <c r="AD230" s="293"/>
      <c r="AE230" s="293"/>
      <c r="AF230" s="293"/>
      <c r="AG230" s="293"/>
      <c r="AH230" s="293"/>
      <c r="AI230" s="293"/>
      <c r="AJ230" s="293"/>
      <c r="AK230" s="293"/>
      <c r="AL230" s="293"/>
      <c r="AM230" s="293"/>
      <c r="AN230" s="293"/>
      <c r="AO230" s="293"/>
      <c r="AP230" s="293"/>
      <c r="AQ230" s="293"/>
      <c r="AR230" s="293"/>
      <c r="AS230" s="293"/>
      <c r="AT230" s="293"/>
      <c r="AU230" s="293"/>
      <c r="AV230" s="293"/>
      <c r="AW230" s="293"/>
      <c r="AX230" s="293"/>
      <c r="AY230" s="293"/>
      <c r="AZ230" s="293"/>
      <c r="BA230" s="293"/>
      <c r="BB230" s="293"/>
      <c r="BC230" s="293"/>
      <c r="BD230" s="293"/>
      <c r="BE230" s="293"/>
      <c r="BF230" s="293"/>
      <c r="BG230" s="293"/>
      <c r="BH230" s="293"/>
      <c r="BI230" s="293"/>
      <c r="BJ230" s="293"/>
      <c r="BK230" s="293"/>
      <c r="BL230" s="293"/>
      <c r="BM230" s="293"/>
      <c r="BN230" s="293"/>
      <c r="BO230" s="293"/>
      <c r="BP230" s="293"/>
      <c r="BQ230" s="293"/>
      <c r="BR230" s="293"/>
      <c r="BS230" s="293"/>
      <c r="BT230" s="293"/>
      <c r="BU230" s="293"/>
      <c r="BV230" s="293"/>
      <c r="BW230" s="293"/>
      <c r="BX230" s="293"/>
      <c r="BY230" s="293"/>
      <c r="BZ230" s="293"/>
      <c r="CA230" s="293"/>
      <c r="CB230" s="293"/>
      <c r="CC230" s="293"/>
      <c r="CD230" s="293"/>
      <c r="CE230" s="293"/>
      <c r="CF230" s="293"/>
      <c r="CG230" s="293"/>
      <c r="CH230" s="293"/>
      <c r="CI230" s="293"/>
      <c r="CJ230" s="293"/>
      <c r="CK230" s="293"/>
      <c r="CL230" s="293"/>
      <c r="CM230" s="293"/>
      <c r="CN230" s="293"/>
      <c r="CO230" s="293"/>
      <c r="CP230" s="293">
        <f t="shared" si="4294"/>
        <v>0</v>
      </c>
    </row>
    <row r="231" spans="1:95" ht="12" customHeight="1">
      <c r="A231" s="679">
        <v>116</v>
      </c>
      <c r="B231" s="645" t="s">
        <v>230</v>
      </c>
      <c r="C231" s="646" t="s">
        <v>741</v>
      </c>
      <c r="D231" s="647" t="s">
        <v>496</v>
      </c>
      <c r="E231" s="648" t="s">
        <v>486</v>
      </c>
      <c r="F231" s="642">
        <v>99.25</v>
      </c>
      <c r="G231" s="642">
        <v>21</v>
      </c>
      <c r="H231" s="643">
        <f>F231*G231*365</f>
        <v>760751.25</v>
      </c>
      <c r="I231" s="291">
        <v>191586.68</v>
      </c>
      <c r="J231" s="295">
        <f>ROUND(G231*F231*365/4,0)</f>
        <v>190188</v>
      </c>
      <c r="K231" s="292">
        <f>J231</f>
        <v>190188</v>
      </c>
      <c r="L231" s="293">
        <f>K231</f>
        <v>190188</v>
      </c>
      <c r="M231" s="293">
        <f>L231</f>
        <v>190188</v>
      </c>
      <c r="N231" s="293">
        <f>ROUND(M231*(1+取值表!$D$12)*取值表!$I$12,0)</f>
        <v>195611</v>
      </c>
      <c r="O231" s="293">
        <f>N231</f>
        <v>195611</v>
      </c>
      <c r="P231" s="293">
        <f>O231</f>
        <v>195611</v>
      </c>
      <c r="Q231" s="293">
        <f>P231</f>
        <v>195611</v>
      </c>
      <c r="R231" s="294">
        <f>ROUND(Q231*(1+取值表!$D$8),0)</f>
        <v>213803</v>
      </c>
      <c r="S231" s="293">
        <f t="shared" ref="S231:T231" si="5076">R231</f>
        <v>213803</v>
      </c>
      <c r="T231" s="293">
        <f t="shared" si="5076"/>
        <v>213803</v>
      </c>
      <c r="U231" s="293">
        <f>T231</f>
        <v>213803</v>
      </c>
      <c r="V231" s="293">
        <f>ROUND(U231*(1+取值表!$D$12),0)</f>
        <v>233687</v>
      </c>
      <c r="W231" s="293">
        <f t="shared" ref="W231:Y231" si="5077">V231</f>
        <v>233687</v>
      </c>
      <c r="X231" s="293">
        <f t="shared" si="5077"/>
        <v>233687</v>
      </c>
      <c r="Y231" s="293">
        <f t="shared" si="5077"/>
        <v>233687</v>
      </c>
      <c r="Z231" s="293">
        <f>ROUND(Y231*(1+取值表!$D$12),0)</f>
        <v>255420</v>
      </c>
      <c r="AA231" s="293">
        <f t="shared" ref="AA231" si="5078">Z231</f>
        <v>255420</v>
      </c>
      <c r="AB231" s="293">
        <f t="shared" ref="AB231" si="5079">AA231</f>
        <v>255420</v>
      </c>
      <c r="AC231" s="293">
        <f>AB231</f>
        <v>255420</v>
      </c>
      <c r="AD231" s="293">
        <f>ROUND(AC231*(1+取值表!$D$12),0)</f>
        <v>279174</v>
      </c>
      <c r="AE231" s="293">
        <f t="shared" ref="AE231" si="5080">AD231</f>
        <v>279174</v>
      </c>
      <c r="AF231" s="293">
        <f t="shared" ref="AF231" si="5081">AE231</f>
        <v>279174</v>
      </c>
      <c r="AG231" s="293">
        <f t="shared" ref="AG231" si="5082">AF231</f>
        <v>279174</v>
      </c>
      <c r="AH231" s="293">
        <f>ROUND(AG231*(1+取值表!$D$12),0)</f>
        <v>305137</v>
      </c>
      <c r="AI231" s="293">
        <f t="shared" ref="AI231" si="5083">AH231</f>
        <v>305137</v>
      </c>
      <c r="AJ231" s="293">
        <f t="shared" ref="AJ231" si="5084">AI231</f>
        <v>305137</v>
      </c>
      <c r="AK231" s="293">
        <f t="shared" ref="AK231" si="5085">AJ231</f>
        <v>305137</v>
      </c>
      <c r="AL231" s="293">
        <f>ROUND(AK231*(1+取值表!$D$12),0)</f>
        <v>333515</v>
      </c>
      <c r="AM231" s="293">
        <f t="shared" ref="AM231" si="5086">AL231</f>
        <v>333515</v>
      </c>
      <c r="AN231" s="293">
        <f t="shared" ref="AN231" si="5087">AM231</f>
        <v>333515</v>
      </c>
      <c r="AO231" s="293">
        <f t="shared" ref="AO231" si="5088">AN231</f>
        <v>333515</v>
      </c>
      <c r="AP231" s="293">
        <f>ROUND(AO231*(1+取值表!$D$12),0)</f>
        <v>364532</v>
      </c>
      <c r="AQ231" s="293">
        <f t="shared" ref="AQ231" si="5089">AP231</f>
        <v>364532</v>
      </c>
      <c r="AR231" s="293">
        <f t="shared" ref="AR231" si="5090">AQ231</f>
        <v>364532</v>
      </c>
      <c r="AS231" s="293">
        <f t="shared" ref="AS231" si="5091">AR231</f>
        <v>364532</v>
      </c>
      <c r="AT231" s="293">
        <f>ROUND(AS231*(1+取值表!$D$12),0)</f>
        <v>398433</v>
      </c>
      <c r="AU231" s="293">
        <f t="shared" ref="AU231" si="5092">AT231</f>
        <v>398433</v>
      </c>
      <c r="AV231" s="293">
        <f t="shared" ref="AV231" si="5093">AU231</f>
        <v>398433</v>
      </c>
      <c r="AW231" s="293">
        <f t="shared" ref="AW231" si="5094">AV231</f>
        <v>398433</v>
      </c>
      <c r="AX231" s="293">
        <f>ROUND(AW231*(1+取值表!$D$12),0)</f>
        <v>435487</v>
      </c>
      <c r="AY231" s="293">
        <f t="shared" ref="AY231" si="5095">AX231</f>
        <v>435487</v>
      </c>
      <c r="AZ231" s="293">
        <f t="shared" ref="AZ231" si="5096">AY231</f>
        <v>435487</v>
      </c>
      <c r="BA231" s="293">
        <f t="shared" ref="BA231" si="5097">AZ231</f>
        <v>435487</v>
      </c>
      <c r="BB231" s="293">
        <f>ROUND(BA231*(1+取值表!$D$12),0)</f>
        <v>475987</v>
      </c>
      <c r="BC231" s="293">
        <f>BB231</f>
        <v>475987</v>
      </c>
      <c r="BD231" s="293">
        <f t="shared" ref="BD231" si="5098">BC231</f>
        <v>475987</v>
      </c>
      <c r="BE231" s="293">
        <f>BD231</f>
        <v>475987</v>
      </c>
      <c r="BF231" s="293">
        <f>ROUND(BE231*(1+取值表!$D$12),0)</f>
        <v>520254</v>
      </c>
      <c r="BG231" s="293">
        <f>BF231</f>
        <v>520254</v>
      </c>
      <c r="BH231" s="293">
        <f t="shared" ref="BH231" si="5099">BG231</f>
        <v>520254</v>
      </c>
      <c r="BI231" s="293">
        <f t="shared" ref="BI231" si="5100">BH231</f>
        <v>520254</v>
      </c>
      <c r="BJ231" s="293">
        <f>ROUND(BI231*(1+取值表!$D$12),0)</f>
        <v>568638</v>
      </c>
      <c r="BK231" s="293">
        <f t="shared" ref="BK231" si="5101">BJ231</f>
        <v>568638</v>
      </c>
      <c r="BL231" s="293">
        <f t="shared" ref="BL231" si="5102">BK231</f>
        <v>568638</v>
      </c>
      <c r="BM231" s="293">
        <f t="shared" ref="BM231" si="5103">BL231</f>
        <v>568638</v>
      </c>
      <c r="BN231" s="293">
        <f>ROUND(BM231*(1+取值表!$D$12),0)</f>
        <v>621521</v>
      </c>
      <c r="BO231" s="293">
        <f t="shared" ref="BO231" si="5104">BN231</f>
        <v>621521</v>
      </c>
      <c r="BP231" s="293">
        <f t="shared" ref="BP231" si="5105">BO231</f>
        <v>621521</v>
      </c>
      <c r="BQ231" s="293">
        <f t="shared" ref="BQ231" si="5106">BP231</f>
        <v>621521</v>
      </c>
      <c r="BR231" s="293">
        <f>ROUND(BQ231*(1+取值表!$D$12),0)</f>
        <v>679322</v>
      </c>
      <c r="BS231" s="293">
        <f t="shared" ref="BS231" si="5107">BR231</f>
        <v>679322</v>
      </c>
      <c r="BT231" s="293">
        <f t="shared" ref="BT231" si="5108">BS231</f>
        <v>679322</v>
      </c>
      <c r="BU231" s="293">
        <f t="shared" ref="BU231" si="5109">BT231</f>
        <v>679322</v>
      </c>
      <c r="BV231" s="293">
        <f>ROUND(BU231*(1+取值表!$D$12),0)</f>
        <v>742499</v>
      </c>
      <c r="BW231" s="293">
        <f t="shared" ref="BW231" si="5110">BV231</f>
        <v>742499</v>
      </c>
      <c r="BX231" s="293">
        <f t="shared" ref="BX231" si="5111">BW231</f>
        <v>742499</v>
      </c>
      <c r="BY231" s="293">
        <f t="shared" ref="BY231" si="5112">BX231</f>
        <v>742499</v>
      </c>
      <c r="BZ231" s="293">
        <f>ROUND(BY231*(1+取值表!$D$12),0)</f>
        <v>811551</v>
      </c>
      <c r="CA231" s="293">
        <f t="shared" ref="CA231" si="5113">BZ231</f>
        <v>811551</v>
      </c>
      <c r="CB231" s="293">
        <f t="shared" ref="CB231" si="5114">CA231</f>
        <v>811551</v>
      </c>
      <c r="CC231" s="293">
        <f t="shared" ref="CC231" si="5115">CB231</f>
        <v>811551</v>
      </c>
      <c r="CD231" s="293">
        <f>ROUND(CC231*(1+取值表!$D$12),0)</f>
        <v>887025</v>
      </c>
      <c r="CE231" s="293">
        <f t="shared" ref="CE231" si="5116">CD231</f>
        <v>887025</v>
      </c>
      <c r="CF231" s="293">
        <f t="shared" ref="CF231" si="5117">CE231</f>
        <v>887025</v>
      </c>
      <c r="CG231" s="293">
        <f t="shared" ref="CG231" si="5118">CF231</f>
        <v>887025</v>
      </c>
      <c r="CH231" s="293">
        <f>ROUND(CG231*(1+取值表!$D$12),0)</f>
        <v>969518</v>
      </c>
      <c r="CI231" s="293">
        <f>CH231</f>
        <v>969518</v>
      </c>
      <c r="CJ231" s="293">
        <f t="shared" ref="CJ231" si="5119">CI231</f>
        <v>969518</v>
      </c>
      <c r="CK231" s="293">
        <f t="shared" ref="CK231" si="5120">CJ231</f>
        <v>969518</v>
      </c>
      <c r="CL231" s="293">
        <f>ROUND(CK231*(1+取值表!$D$12),0)</f>
        <v>1059683</v>
      </c>
      <c r="CM231" s="293">
        <f>CL231</f>
        <v>1059683</v>
      </c>
      <c r="CN231" s="293">
        <f t="shared" ref="CN231" si="5121">CM231</f>
        <v>1059683</v>
      </c>
      <c r="CO231" s="293">
        <f t="shared" ref="CO231" si="5122">CN231</f>
        <v>1059683</v>
      </c>
      <c r="CP231" s="293">
        <f t="shared" si="4294"/>
        <v>42163940</v>
      </c>
    </row>
    <row r="232" spans="1:95">
      <c r="A232" s="680"/>
      <c r="B232" s="645"/>
      <c r="C232" s="646"/>
      <c r="D232" s="647"/>
      <c r="E232" s="648"/>
      <c r="F232" s="642"/>
      <c r="G232" s="642"/>
      <c r="H232" s="643"/>
      <c r="I232" s="291"/>
      <c r="J232" s="295"/>
      <c r="K232" s="293"/>
      <c r="L232" s="293"/>
      <c r="M232" s="293"/>
      <c r="N232" s="293"/>
      <c r="O232" s="293"/>
      <c r="P232" s="293"/>
      <c r="Q232" s="293"/>
      <c r="R232" s="293"/>
      <c r="S232" s="293"/>
      <c r="T232" s="293"/>
      <c r="U232" s="293"/>
      <c r="V232" s="293"/>
      <c r="W232" s="293"/>
      <c r="X232" s="293"/>
      <c r="Y232" s="293"/>
      <c r="Z232" s="293"/>
      <c r="AA232" s="293"/>
      <c r="AB232" s="293"/>
      <c r="AC232" s="293"/>
      <c r="AD232" s="293"/>
      <c r="AE232" s="293"/>
      <c r="AF232" s="293"/>
      <c r="AG232" s="293"/>
      <c r="AH232" s="293"/>
      <c r="AI232" s="293"/>
      <c r="AJ232" s="293"/>
      <c r="AK232" s="293"/>
      <c r="AL232" s="293"/>
      <c r="AM232" s="293"/>
      <c r="AN232" s="293"/>
      <c r="AO232" s="293"/>
      <c r="AP232" s="293"/>
      <c r="AQ232" s="293"/>
      <c r="AR232" s="293"/>
      <c r="AS232" s="293"/>
      <c r="AT232" s="293"/>
      <c r="AU232" s="293"/>
      <c r="AV232" s="293"/>
      <c r="AW232" s="293"/>
      <c r="AX232" s="293"/>
      <c r="AY232" s="293"/>
      <c r="AZ232" s="293"/>
      <c r="BA232" s="293"/>
      <c r="BB232" s="293"/>
      <c r="BC232" s="293"/>
      <c r="BD232" s="293"/>
      <c r="BE232" s="293"/>
      <c r="BF232" s="293"/>
      <c r="BG232" s="293"/>
      <c r="BH232" s="293"/>
      <c r="BI232" s="293"/>
      <c r="BJ232" s="293"/>
      <c r="BK232" s="293"/>
      <c r="BL232" s="293"/>
      <c r="BM232" s="293"/>
      <c r="BN232" s="293"/>
      <c r="BO232" s="293"/>
      <c r="BP232" s="293"/>
      <c r="BQ232" s="293"/>
      <c r="BR232" s="293"/>
      <c r="BS232" s="293"/>
      <c r="BT232" s="293"/>
      <c r="BU232" s="293"/>
      <c r="BV232" s="293"/>
      <c r="BW232" s="293"/>
      <c r="BX232" s="293"/>
      <c r="BY232" s="293"/>
      <c r="BZ232" s="293"/>
      <c r="CA232" s="293"/>
      <c r="CB232" s="293"/>
      <c r="CC232" s="293"/>
      <c r="CD232" s="293"/>
      <c r="CE232" s="293"/>
      <c r="CF232" s="293"/>
      <c r="CG232" s="293"/>
      <c r="CH232" s="293"/>
      <c r="CI232" s="293"/>
      <c r="CJ232" s="293"/>
      <c r="CK232" s="293"/>
      <c r="CL232" s="293"/>
      <c r="CM232" s="293"/>
      <c r="CN232" s="293"/>
      <c r="CO232" s="293"/>
      <c r="CP232" s="293">
        <f t="shared" si="4294"/>
        <v>0</v>
      </c>
    </row>
    <row r="233" spans="1:95" ht="12" customHeight="1">
      <c r="A233" s="679">
        <v>117</v>
      </c>
      <c r="B233" s="645" t="s">
        <v>231</v>
      </c>
      <c r="C233" s="646" t="s">
        <v>232</v>
      </c>
      <c r="D233" s="647" t="s">
        <v>498</v>
      </c>
      <c r="E233" s="648" t="s">
        <v>486</v>
      </c>
      <c r="F233" s="642">
        <v>59.25</v>
      </c>
      <c r="G233" s="642">
        <f>AVERAGE(18.5)</f>
        <v>18.5</v>
      </c>
      <c r="H233" s="643">
        <f>F233*G233*365</f>
        <v>400085.625</v>
      </c>
      <c r="I233" s="291">
        <v>94614.84</v>
      </c>
      <c r="J233" s="295">
        <f>ROUND(G233*F233*365/4,0)</f>
        <v>100021</v>
      </c>
      <c r="K233" s="326">
        <f>J233</f>
        <v>100021</v>
      </c>
      <c r="L233" s="327">
        <f>K233</f>
        <v>100021</v>
      </c>
      <c r="M233" s="326">
        <f>L233</f>
        <v>100021</v>
      </c>
      <c r="N233" s="293">
        <f>ROUND(M233*(1+取值表!$D$12)*取值表!$I$12,0)</f>
        <v>102873</v>
      </c>
      <c r="O233" s="326">
        <f>N233</f>
        <v>102873</v>
      </c>
      <c r="P233" s="326">
        <f>O233</f>
        <v>102873</v>
      </c>
      <c r="Q233" s="326">
        <f>P233</f>
        <v>102873</v>
      </c>
      <c r="R233" s="294">
        <f>ROUND(Q233*(1+取值表!$D$8),0)</f>
        <v>112440</v>
      </c>
      <c r="S233" s="326">
        <f t="shared" ref="S233:T233" si="5123">R233</f>
        <v>112440</v>
      </c>
      <c r="T233" s="326">
        <f t="shared" si="5123"/>
        <v>112440</v>
      </c>
      <c r="U233" s="326">
        <f>T233</f>
        <v>112440</v>
      </c>
      <c r="V233" s="293">
        <f>ROUND(U233*(1+取值表!$D$12),0)</f>
        <v>122897</v>
      </c>
      <c r="W233" s="326">
        <f t="shared" ref="W233:Y233" si="5124">V233</f>
        <v>122897</v>
      </c>
      <c r="X233" s="326">
        <f t="shared" si="5124"/>
        <v>122897</v>
      </c>
      <c r="Y233" s="326">
        <f t="shared" si="5124"/>
        <v>122897</v>
      </c>
      <c r="Z233" s="293">
        <f>ROUND(Y233*(1+取值表!$D$12),0)</f>
        <v>134326</v>
      </c>
      <c r="AA233" s="326">
        <f t="shared" ref="AA233" si="5125">Z233</f>
        <v>134326</v>
      </c>
      <c r="AB233" s="326">
        <f t="shared" ref="AB233" si="5126">AA233</f>
        <v>134326</v>
      </c>
      <c r="AC233" s="326">
        <f>AB233</f>
        <v>134326</v>
      </c>
      <c r="AD233" s="293">
        <f>ROUND(AC233*(1+取值表!$D$12),0)</f>
        <v>146818</v>
      </c>
      <c r="AE233" s="326">
        <f t="shared" ref="AE233" si="5127">AD233</f>
        <v>146818</v>
      </c>
      <c r="AF233" s="326">
        <f t="shared" ref="AF233" si="5128">AE233</f>
        <v>146818</v>
      </c>
      <c r="AG233" s="326">
        <f t="shared" ref="AG233" si="5129">AF233</f>
        <v>146818</v>
      </c>
      <c r="AH233" s="293">
        <f>ROUND(AG233*(1+取值表!$D$12),0)</f>
        <v>160472</v>
      </c>
      <c r="AI233" s="326">
        <f t="shared" ref="AI233" si="5130">AH233</f>
        <v>160472</v>
      </c>
      <c r="AJ233" s="326">
        <f t="shared" ref="AJ233" si="5131">AI233</f>
        <v>160472</v>
      </c>
      <c r="AK233" s="326">
        <f t="shared" ref="AK233" si="5132">AJ233</f>
        <v>160472</v>
      </c>
      <c r="AL233" s="293">
        <f>ROUND(AK233*(1+取值表!$D$12),0)</f>
        <v>175396</v>
      </c>
      <c r="AM233" s="326">
        <f t="shared" ref="AM233" si="5133">AL233</f>
        <v>175396</v>
      </c>
      <c r="AN233" s="326">
        <f t="shared" ref="AN233" si="5134">AM233</f>
        <v>175396</v>
      </c>
      <c r="AO233" s="326">
        <f t="shared" ref="AO233" si="5135">AN233</f>
        <v>175396</v>
      </c>
      <c r="AP233" s="293">
        <f>ROUND(AO233*(1+取值表!$D$12),0)</f>
        <v>191708</v>
      </c>
      <c r="AQ233" s="326">
        <f t="shared" ref="AQ233" si="5136">AP233</f>
        <v>191708</v>
      </c>
      <c r="AR233" s="326">
        <f t="shared" ref="AR233" si="5137">AQ233</f>
        <v>191708</v>
      </c>
      <c r="AS233" s="326">
        <f t="shared" ref="AS233" si="5138">AR233</f>
        <v>191708</v>
      </c>
      <c r="AT233" s="293">
        <f>ROUND(AS233*(1+取值表!$D$12),0)</f>
        <v>209537</v>
      </c>
      <c r="AU233" s="326">
        <f t="shared" ref="AU233" si="5139">AT233</f>
        <v>209537</v>
      </c>
      <c r="AV233" s="326">
        <f t="shared" ref="AV233" si="5140">AU233</f>
        <v>209537</v>
      </c>
      <c r="AW233" s="326">
        <f t="shared" ref="AW233" si="5141">AV233</f>
        <v>209537</v>
      </c>
      <c r="AX233" s="293">
        <f>ROUND(AW233*(1+取值表!$D$12),0)</f>
        <v>229024</v>
      </c>
      <c r="AY233" s="326">
        <f t="shared" ref="AY233" si="5142">AX233</f>
        <v>229024</v>
      </c>
      <c r="AZ233" s="326">
        <f t="shared" ref="AZ233" si="5143">AY233</f>
        <v>229024</v>
      </c>
      <c r="BA233" s="326">
        <f t="shared" ref="BA233" si="5144">AZ233</f>
        <v>229024</v>
      </c>
      <c r="BB233" s="293">
        <f>ROUND(BA233*(1+取值表!$D$12),0)</f>
        <v>250323</v>
      </c>
      <c r="BC233" s="326">
        <f>BB233</f>
        <v>250323</v>
      </c>
      <c r="BD233" s="326">
        <f t="shared" ref="BD233" si="5145">BC233</f>
        <v>250323</v>
      </c>
      <c r="BE233" s="326">
        <f>BD233</f>
        <v>250323</v>
      </c>
      <c r="BF233" s="293">
        <f>ROUND(BE233*(1+取值表!$D$12),0)</f>
        <v>273603</v>
      </c>
      <c r="BG233" s="326">
        <f>BF233</f>
        <v>273603</v>
      </c>
      <c r="BH233" s="326">
        <f t="shared" ref="BH233" si="5146">BG233</f>
        <v>273603</v>
      </c>
      <c r="BI233" s="326">
        <f t="shared" ref="BI233" si="5147">BH233</f>
        <v>273603</v>
      </c>
      <c r="BJ233" s="293">
        <f>ROUND(BI233*(1+取值表!$D$12),0)</f>
        <v>299048</v>
      </c>
      <c r="BK233" s="326">
        <f t="shared" ref="BK233" si="5148">BJ233</f>
        <v>299048</v>
      </c>
      <c r="BL233" s="326">
        <f t="shared" ref="BL233" si="5149">BK233</f>
        <v>299048</v>
      </c>
      <c r="BM233" s="326">
        <f t="shared" ref="BM233" si="5150">BL233</f>
        <v>299048</v>
      </c>
      <c r="BN233" s="293">
        <f>ROUND(BM233*(1+取值表!$D$12),0)</f>
        <v>326859</v>
      </c>
      <c r="BO233" s="326">
        <f t="shared" ref="BO233" si="5151">BN233</f>
        <v>326859</v>
      </c>
      <c r="BP233" s="326">
        <f t="shared" ref="BP233" si="5152">BO233</f>
        <v>326859</v>
      </c>
      <c r="BQ233" s="326">
        <f t="shared" ref="BQ233" si="5153">BP233</f>
        <v>326859</v>
      </c>
      <c r="BR233" s="293">
        <f>ROUND(BQ233*(1+取值表!$D$12),0)</f>
        <v>357257</v>
      </c>
      <c r="BS233" s="326">
        <f t="shared" ref="BS233" si="5154">BR233</f>
        <v>357257</v>
      </c>
      <c r="BT233" s="326">
        <f t="shared" ref="BT233" si="5155">BS233</f>
        <v>357257</v>
      </c>
      <c r="BU233" s="326">
        <f t="shared" ref="BU233" si="5156">BT233</f>
        <v>357257</v>
      </c>
      <c r="BV233" s="293">
        <f>ROUND(BU233*(1+取值表!$D$12),0)</f>
        <v>390482</v>
      </c>
      <c r="BW233" s="326">
        <f t="shared" ref="BW233" si="5157">BV233</f>
        <v>390482</v>
      </c>
      <c r="BX233" s="326">
        <f t="shared" ref="BX233" si="5158">BW233</f>
        <v>390482</v>
      </c>
      <c r="BY233" s="326">
        <f t="shared" ref="BY233" si="5159">BX233</f>
        <v>390482</v>
      </c>
      <c r="BZ233" s="293">
        <f>ROUND(BY233*(1+取值表!$D$12),0)</f>
        <v>426797</v>
      </c>
      <c r="CA233" s="326">
        <f t="shared" ref="CA233" si="5160">BZ233</f>
        <v>426797</v>
      </c>
      <c r="CB233" s="326">
        <f t="shared" ref="CB233" si="5161">CA233</f>
        <v>426797</v>
      </c>
      <c r="CC233" s="326">
        <f t="shared" ref="CC233" si="5162">CB233</f>
        <v>426797</v>
      </c>
      <c r="CD233" s="293">
        <f>ROUND(CC233*(1+取值表!$D$12),0)</f>
        <v>466489</v>
      </c>
      <c r="CE233" s="326">
        <f t="shared" ref="CE233" si="5163">CD233</f>
        <v>466489</v>
      </c>
      <c r="CF233" s="326">
        <f t="shared" ref="CF233" si="5164">CE233</f>
        <v>466489</v>
      </c>
      <c r="CG233" s="326">
        <f t="shared" ref="CG233" si="5165">CF233</f>
        <v>466489</v>
      </c>
      <c r="CH233" s="293">
        <f>ROUND(CG233*(1+取值表!$D$12),0)</f>
        <v>509872</v>
      </c>
      <c r="CI233" s="326">
        <f>CH233</f>
        <v>509872</v>
      </c>
      <c r="CJ233" s="326">
        <f t="shared" ref="CJ233" si="5166">CI233</f>
        <v>509872</v>
      </c>
      <c r="CK233" s="326">
        <f t="shared" ref="CK233" si="5167">CJ233</f>
        <v>509872</v>
      </c>
      <c r="CL233" s="293">
        <f>ROUND(CK233*(1+取值表!$D$12),0)</f>
        <v>557290</v>
      </c>
      <c r="CM233" s="326">
        <f>CL233</f>
        <v>557290</v>
      </c>
      <c r="CN233" s="326">
        <f t="shared" ref="CN233" si="5168">CM233</f>
        <v>557290</v>
      </c>
      <c r="CO233" s="326">
        <f t="shared" ref="CO233" si="5169">CN233</f>
        <v>557290</v>
      </c>
      <c r="CP233" s="293">
        <f t="shared" si="4294"/>
        <v>22174128</v>
      </c>
    </row>
    <row r="234" spans="1:95">
      <c r="A234" s="680"/>
      <c r="B234" s="645"/>
      <c r="C234" s="646"/>
      <c r="D234" s="647"/>
      <c r="E234" s="648"/>
      <c r="F234" s="642"/>
      <c r="G234" s="642"/>
      <c r="H234" s="643"/>
      <c r="I234" s="291"/>
      <c r="J234" s="295"/>
      <c r="K234" s="293"/>
      <c r="L234" s="293"/>
      <c r="M234" s="293"/>
      <c r="N234" s="293"/>
      <c r="O234" s="293"/>
      <c r="P234" s="293"/>
      <c r="Q234" s="293"/>
      <c r="R234" s="293"/>
      <c r="S234" s="293"/>
      <c r="T234" s="293"/>
      <c r="U234" s="293"/>
      <c r="V234" s="293"/>
      <c r="W234" s="293"/>
      <c r="X234" s="293"/>
      <c r="Y234" s="293"/>
      <c r="Z234" s="293"/>
      <c r="AA234" s="293"/>
      <c r="AB234" s="293"/>
      <c r="AC234" s="293"/>
      <c r="AD234" s="293"/>
      <c r="AE234" s="293"/>
      <c r="AF234" s="293"/>
      <c r="AG234" s="293"/>
      <c r="AH234" s="293"/>
      <c r="AI234" s="293"/>
      <c r="AJ234" s="293"/>
      <c r="AK234" s="293"/>
      <c r="AL234" s="293"/>
      <c r="AM234" s="293"/>
      <c r="AN234" s="293"/>
      <c r="AO234" s="293"/>
      <c r="AP234" s="293"/>
      <c r="AQ234" s="293"/>
      <c r="AR234" s="293"/>
      <c r="AS234" s="293"/>
      <c r="AT234" s="293"/>
      <c r="AU234" s="293"/>
      <c r="AV234" s="293"/>
      <c r="AW234" s="293"/>
      <c r="AX234" s="293"/>
      <c r="AY234" s="293"/>
      <c r="AZ234" s="293"/>
      <c r="BA234" s="293"/>
      <c r="BB234" s="293"/>
      <c r="BC234" s="293"/>
      <c r="BD234" s="293"/>
      <c r="BE234" s="293"/>
      <c r="BF234" s="293"/>
      <c r="BG234" s="293"/>
      <c r="BH234" s="293"/>
      <c r="BI234" s="293"/>
      <c r="BJ234" s="293"/>
      <c r="BK234" s="293"/>
      <c r="BL234" s="293"/>
      <c r="BM234" s="293"/>
      <c r="BN234" s="293"/>
      <c r="BO234" s="293"/>
      <c r="BP234" s="293"/>
      <c r="BQ234" s="293"/>
      <c r="BR234" s="293"/>
      <c r="BS234" s="293"/>
      <c r="BT234" s="293"/>
      <c r="BU234" s="293"/>
      <c r="BV234" s="293"/>
      <c r="BW234" s="293"/>
      <c r="BX234" s="293"/>
      <c r="BY234" s="293"/>
      <c r="BZ234" s="293"/>
      <c r="CA234" s="293"/>
      <c r="CB234" s="293"/>
      <c r="CC234" s="293"/>
      <c r="CD234" s="293"/>
      <c r="CE234" s="293"/>
      <c r="CF234" s="293"/>
      <c r="CG234" s="293"/>
      <c r="CH234" s="293"/>
      <c r="CI234" s="293"/>
      <c r="CJ234" s="293"/>
      <c r="CK234" s="293"/>
      <c r="CL234" s="293"/>
      <c r="CM234" s="293"/>
      <c r="CN234" s="293"/>
      <c r="CO234" s="293"/>
      <c r="CP234" s="293">
        <f t="shared" si="4294"/>
        <v>0</v>
      </c>
    </row>
    <row r="235" spans="1:95" s="314" customFormat="1" ht="12" customHeight="1">
      <c r="A235" s="679">
        <v>118</v>
      </c>
      <c r="B235" s="645" t="s">
        <v>233</v>
      </c>
      <c r="C235" s="646" t="s">
        <v>30</v>
      </c>
      <c r="D235" s="647" t="s">
        <v>31</v>
      </c>
      <c r="E235" s="648" t="s">
        <v>486</v>
      </c>
      <c r="F235" s="642">
        <v>60.68</v>
      </c>
      <c r="G235" s="642">
        <f>AVERAGE(18.5)</f>
        <v>18.5</v>
      </c>
      <c r="H235" s="643">
        <f>F235*G235*365</f>
        <v>409741.69999999995</v>
      </c>
      <c r="I235" s="291">
        <v>99666.9</v>
      </c>
      <c r="J235" s="295">
        <f>ROUND(G235*F235*365/4,0)</f>
        <v>102435</v>
      </c>
      <c r="K235" s="292">
        <f>J235</f>
        <v>102435</v>
      </c>
      <c r="L235" s="293">
        <f>K235</f>
        <v>102435</v>
      </c>
      <c r="M235" s="293">
        <f>L235</f>
        <v>102435</v>
      </c>
      <c r="N235" s="293">
        <f>ROUND(M235*(1+取值表!$D$12)*取值表!$I$12,0)</f>
        <v>105356</v>
      </c>
      <c r="O235" s="293">
        <f>N235</f>
        <v>105356</v>
      </c>
      <c r="P235" s="293">
        <f>O235</f>
        <v>105356</v>
      </c>
      <c r="Q235" s="293">
        <f>P235</f>
        <v>105356</v>
      </c>
      <c r="R235" s="294">
        <f>ROUND(Q235*(1+取值表!$D$8),0)</f>
        <v>115154</v>
      </c>
      <c r="S235" s="293">
        <f t="shared" ref="S235:T235" si="5170">R235</f>
        <v>115154</v>
      </c>
      <c r="T235" s="293">
        <f t="shared" si="5170"/>
        <v>115154</v>
      </c>
      <c r="U235" s="293">
        <f>T235</f>
        <v>115154</v>
      </c>
      <c r="V235" s="293">
        <f>ROUND(U235*(1+取值表!$D$12),0)</f>
        <v>125863</v>
      </c>
      <c r="W235" s="293">
        <f t="shared" ref="W235:Y235" si="5171">V235</f>
        <v>125863</v>
      </c>
      <c r="X235" s="293">
        <f t="shared" si="5171"/>
        <v>125863</v>
      </c>
      <c r="Y235" s="293">
        <f t="shared" si="5171"/>
        <v>125863</v>
      </c>
      <c r="Z235" s="293">
        <f>ROUND(Y235*(1+取值表!$D$12),0)</f>
        <v>137568</v>
      </c>
      <c r="AA235" s="293">
        <f t="shared" ref="AA235" si="5172">Z235</f>
        <v>137568</v>
      </c>
      <c r="AB235" s="293">
        <f t="shared" ref="AB235" si="5173">AA235</f>
        <v>137568</v>
      </c>
      <c r="AC235" s="293">
        <f>AB235</f>
        <v>137568</v>
      </c>
      <c r="AD235" s="293">
        <f>ROUND(AC235*(1+取值表!$D$12),0)</f>
        <v>150362</v>
      </c>
      <c r="AE235" s="293">
        <f t="shared" ref="AE235" si="5174">AD235</f>
        <v>150362</v>
      </c>
      <c r="AF235" s="293">
        <f t="shared" ref="AF235" si="5175">AE235</f>
        <v>150362</v>
      </c>
      <c r="AG235" s="293">
        <f t="shared" ref="AG235" si="5176">AF235</f>
        <v>150362</v>
      </c>
      <c r="AH235" s="293">
        <f>ROUND(AG235*(1+取值表!$D$12),0)</f>
        <v>164346</v>
      </c>
      <c r="AI235" s="293">
        <f t="shared" ref="AI235" si="5177">AH235</f>
        <v>164346</v>
      </c>
      <c r="AJ235" s="293">
        <f t="shared" ref="AJ235" si="5178">AI235</f>
        <v>164346</v>
      </c>
      <c r="AK235" s="293">
        <f t="shared" ref="AK235" si="5179">AJ235</f>
        <v>164346</v>
      </c>
      <c r="AL235" s="293">
        <f>ROUND(AK235*(1+取值表!$D$12),0)</f>
        <v>179630</v>
      </c>
      <c r="AM235" s="293">
        <f t="shared" ref="AM235" si="5180">AL235</f>
        <v>179630</v>
      </c>
      <c r="AN235" s="293">
        <f t="shared" ref="AN235" si="5181">AM235</f>
        <v>179630</v>
      </c>
      <c r="AO235" s="293">
        <f t="shared" ref="AO235" si="5182">AN235</f>
        <v>179630</v>
      </c>
      <c r="AP235" s="293">
        <f>ROUND(AO235*(1+取值表!$D$12),0)</f>
        <v>196336</v>
      </c>
      <c r="AQ235" s="293">
        <f t="shared" ref="AQ235" si="5183">AP235</f>
        <v>196336</v>
      </c>
      <c r="AR235" s="293">
        <f t="shared" ref="AR235" si="5184">AQ235</f>
        <v>196336</v>
      </c>
      <c r="AS235" s="293">
        <f t="shared" ref="AS235" si="5185">AR235</f>
        <v>196336</v>
      </c>
      <c r="AT235" s="293">
        <f>ROUND(AS235*(1+取值表!$D$12),0)</f>
        <v>214595</v>
      </c>
      <c r="AU235" s="293">
        <f t="shared" ref="AU235" si="5186">AT235</f>
        <v>214595</v>
      </c>
      <c r="AV235" s="293">
        <f t="shared" ref="AV235" si="5187">AU235</f>
        <v>214595</v>
      </c>
      <c r="AW235" s="293">
        <f t="shared" ref="AW235" si="5188">AV235</f>
        <v>214595</v>
      </c>
      <c r="AX235" s="293">
        <f>ROUND(AW235*(1+取值表!$D$12),0)</f>
        <v>234552</v>
      </c>
      <c r="AY235" s="293">
        <f t="shared" ref="AY235" si="5189">AX235</f>
        <v>234552</v>
      </c>
      <c r="AZ235" s="293">
        <f t="shared" ref="AZ235" si="5190">AY235</f>
        <v>234552</v>
      </c>
      <c r="BA235" s="293">
        <f t="shared" ref="BA235" si="5191">AZ235</f>
        <v>234552</v>
      </c>
      <c r="BB235" s="293">
        <f>ROUND(BA235*(1+取值表!$D$12),0)</f>
        <v>256365</v>
      </c>
      <c r="BC235" s="293">
        <f>BB235</f>
        <v>256365</v>
      </c>
      <c r="BD235" s="293">
        <f t="shared" ref="BD235" si="5192">BC235</f>
        <v>256365</v>
      </c>
      <c r="BE235" s="293">
        <f>BD235</f>
        <v>256365</v>
      </c>
      <c r="BF235" s="293">
        <f>ROUND(BE235*(1+取值表!$D$12),0)</f>
        <v>280207</v>
      </c>
      <c r="BG235" s="293">
        <f>BF235</f>
        <v>280207</v>
      </c>
      <c r="BH235" s="293">
        <f t="shared" ref="BH235" si="5193">BG235</f>
        <v>280207</v>
      </c>
      <c r="BI235" s="293">
        <f t="shared" ref="BI235" si="5194">BH235</f>
        <v>280207</v>
      </c>
      <c r="BJ235" s="293">
        <f>ROUND(BI235*(1+取值表!$D$12),0)</f>
        <v>306266</v>
      </c>
      <c r="BK235" s="293">
        <f t="shared" ref="BK235" si="5195">BJ235</f>
        <v>306266</v>
      </c>
      <c r="BL235" s="293">
        <f t="shared" ref="BL235" si="5196">BK235</f>
        <v>306266</v>
      </c>
      <c r="BM235" s="293">
        <f t="shared" ref="BM235" si="5197">BL235</f>
        <v>306266</v>
      </c>
      <c r="BN235" s="293">
        <f>ROUND(BM235*(1+取值表!$D$12),0)</f>
        <v>334749</v>
      </c>
      <c r="BO235" s="293">
        <f t="shared" ref="BO235" si="5198">BN235</f>
        <v>334749</v>
      </c>
      <c r="BP235" s="293">
        <f t="shared" ref="BP235" si="5199">BO235</f>
        <v>334749</v>
      </c>
      <c r="BQ235" s="293">
        <f t="shared" ref="BQ235" si="5200">BP235</f>
        <v>334749</v>
      </c>
      <c r="BR235" s="293">
        <f>ROUND(BQ235*(1+取值表!$D$12),0)</f>
        <v>365881</v>
      </c>
      <c r="BS235" s="293">
        <f t="shared" ref="BS235" si="5201">BR235</f>
        <v>365881</v>
      </c>
      <c r="BT235" s="293">
        <f t="shared" ref="BT235" si="5202">BS235</f>
        <v>365881</v>
      </c>
      <c r="BU235" s="293">
        <f t="shared" ref="BU235" si="5203">BT235</f>
        <v>365881</v>
      </c>
      <c r="BV235" s="293">
        <f>ROUND(BU235*(1+取值表!$D$12),0)</f>
        <v>399908</v>
      </c>
      <c r="BW235" s="293">
        <f t="shared" ref="BW235" si="5204">BV235</f>
        <v>399908</v>
      </c>
      <c r="BX235" s="293">
        <f t="shared" ref="BX235" si="5205">BW235</f>
        <v>399908</v>
      </c>
      <c r="BY235" s="293">
        <f t="shared" ref="BY235" si="5206">BX235</f>
        <v>399908</v>
      </c>
      <c r="BZ235" s="293">
        <f>ROUND(BY235*(1+取值表!$D$12),0)</f>
        <v>437099</v>
      </c>
      <c r="CA235" s="293">
        <f t="shared" ref="CA235" si="5207">BZ235</f>
        <v>437099</v>
      </c>
      <c r="CB235" s="293">
        <f t="shared" ref="CB235" si="5208">CA235</f>
        <v>437099</v>
      </c>
      <c r="CC235" s="293">
        <f t="shared" ref="CC235" si="5209">CB235</f>
        <v>437099</v>
      </c>
      <c r="CD235" s="293">
        <f>ROUND(CC235*(1+取值表!$D$12),0)</f>
        <v>477749</v>
      </c>
      <c r="CE235" s="293">
        <f t="shared" ref="CE235" si="5210">CD235</f>
        <v>477749</v>
      </c>
      <c r="CF235" s="293">
        <f t="shared" ref="CF235" si="5211">CE235</f>
        <v>477749</v>
      </c>
      <c r="CG235" s="293">
        <f t="shared" ref="CG235" si="5212">CF235</f>
        <v>477749</v>
      </c>
      <c r="CH235" s="293">
        <f>ROUND(CG235*(1+取值表!$D$12),0)</f>
        <v>522180</v>
      </c>
      <c r="CI235" s="293">
        <f>CH235</f>
        <v>522180</v>
      </c>
      <c r="CJ235" s="293">
        <f t="shared" ref="CJ235" si="5213">CI235</f>
        <v>522180</v>
      </c>
      <c r="CK235" s="293">
        <f t="shared" ref="CK235" si="5214">CJ235</f>
        <v>522180</v>
      </c>
      <c r="CL235" s="293">
        <f>ROUND(CK235*(1+取值表!$D$12),0)</f>
        <v>570743</v>
      </c>
      <c r="CM235" s="293">
        <f>CL235</f>
        <v>570743</v>
      </c>
      <c r="CN235" s="293">
        <f t="shared" ref="CN235" si="5215">CM235</f>
        <v>570743</v>
      </c>
      <c r="CO235" s="293">
        <f t="shared" ref="CO235" si="5216">CN235</f>
        <v>570743</v>
      </c>
      <c r="CP235" s="293">
        <f t="shared" si="4294"/>
        <v>22709376</v>
      </c>
      <c r="CQ235" s="289"/>
    </row>
    <row r="236" spans="1:95" s="314" customFormat="1">
      <c r="A236" s="680"/>
      <c r="B236" s="645"/>
      <c r="C236" s="646"/>
      <c r="D236" s="647"/>
      <c r="E236" s="648"/>
      <c r="F236" s="642"/>
      <c r="G236" s="642"/>
      <c r="H236" s="643"/>
      <c r="I236" s="291"/>
      <c r="J236" s="295"/>
      <c r="K236" s="293"/>
      <c r="L236" s="293"/>
      <c r="M236" s="293"/>
      <c r="N236" s="293"/>
      <c r="O236" s="293"/>
      <c r="P236" s="293"/>
      <c r="Q236" s="293"/>
      <c r="R236" s="293"/>
      <c r="S236" s="293"/>
      <c r="T236" s="293"/>
      <c r="U236" s="293"/>
      <c r="V236" s="293"/>
      <c r="W236" s="293"/>
      <c r="X236" s="293"/>
      <c r="Y236" s="293"/>
      <c r="Z236" s="293"/>
      <c r="AA236" s="293"/>
      <c r="AB236" s="293"/>
      <c r="AC236" s="293"/>
      <c r="AD236" s="293"/>
      <c r="AE236" s="293"/>
      <c r="AF236" s="293"/>
      <c r="AG236" s="293"/>
      <c r="AH236" s="293"/>
      <c r="AI236" s="293"/>
      <c r="AJ236" s="293"/>
      <c r="AK236" s="293"/>
      <c r="AL236" s="293"/>
      <c r="AM236" s="293"/>
      <c r="AN236" s="293"/>
      <c r="AO236" s="293"/>
      <c r="AP236" s="293"/>
      <c r="AQ236" s="293"/>
      <c r="AR236" s="293"/>
      <c r="AS236" s="293"/>
      <c r="AT236" s="293"/>
      <c r="AU236" s="293"/>
      <c r="AV236" s="293"/>
      <c r="AW236" s="293"/>
      <c r="AX236" s="293"/>
      <c r="AY236" s="293"/>
      <c r="AZ236" s="293"/>
      <c r="BA236" s="293"/>
      <c r="BB236" s="293"/>
      <c r="BC236" s="293"/>
      <c r="BD236" s="293"/>
      <c r="BE236" s="293"/>
      <c r="BF236" s="293"/>
      <c r="BG236" s="293"/>
      <c r="BH236" s="293"/>
      <c r="BI236" s="293"/>
      <c r="BJ236" s="293"/>
      <c r="BK236" s="293"/>
      <c r="BL236" s="293"/>
      <c r="BM236" s="293"/>
      <c r="BN236" s="293"/>
      <c r="BO236" s="293"/>
      <c r="BP236" s="293"/>
      <c r="BQ236" s="293"/>
      <c r="BR236" s="293"/>
      <c r="BS236" s="293"/>
      <c r="BT236" s="293"/>
      <c r="BU236" s="293"/>
      <c r="BV236" s="293"/>
      <c r="BW236" s="293"/>
      <c r="BX236" s="293"/>
      <c r="BY236" s="293"/>
      <c r="BZ236" s="293"/>
      <c r="CA236" s="293"/>
      <c r="CB236" s="293"/>
      <c r="CC236" s="293"/>
      <c r="CD236" s="293"/>
      <c r="CE236" s="293"/>
      <c r="CF236" s="293"/>
      <c r="CG236" s="293"/>
      <c r="CH236" s="293"/>
      <c r="CI236" s="293"/>
      <c r="CJ236" s="293"/>
      <c r="CK236" s="293"/>
      <c r="CL236" s="293"/>
      <c r="CM236" s="293"/>
      <c r="CN236" s="293"/>
      <c r="CO236" s="293"/>
      <c r="CP236" s="293">
        <f t="shared" si="4294"/>
        <v>0</v>
      </c>
      <c r="CQ236" s="289"/>
    </row>
    <row r="237" spans="1:95">
      <c r="A237" s="679">
        <v>119</v>
      </c>
      <c r="B237" s="645" t="s">
        <v>234</v>
      </c>
      <c r="C237" s="646" t="s">
        <v>235</v>
      </c>
      <c r="D237" s="647" t="s">
        <v>500</v>
      </c>
      <c r="E237" s="681">
        <v>3</v>
      </c>
      <c r="F237" s="642">
        <v>21.92</v>
      </c>
      <c r="G237" s="642">
        <v>23</v>
      </c>
      <c r="H237" s="643">
        <f>F237*G237*365</f>
        <v>184018.40000000002</v>
      </c>
      <c r="I237" s="291">
        <v>52005.2</v>
      </c>
      <c r="J237" s="295">
        <f>ROUND(G237*F237*365/4,0)</f>
        <v>46005</v>
      </c>
      <c r="K237" s="293">
        <f t="shared" ref="K237:N237" si="5217">J237</f>
        <v>46005</v>
      </c>
      <c r="L237" s="293">
        <f t="shared" si="5217"/>
        <v>46005</v>
      </c>
      <c r="M237" s="293">
        <f t="shared" si="5217"/>
        <v>46005</v>
      </c>
      <c r="N237" s="292">
        <f t="shared" si="5217"/>
        <v>46005</v>
      </c>
      <c r="O237" s="293">
        <f>N237</f>
        <v>46005</v>
      </c>
      <c r="P237" s="293">
        <f>O237</f>
        <v>46005</v>
      </c>
      <c r="Q237" s="293">
        <f>P237</f>
        <v>46005</v>
      </c>
      <c r="R237" s="293">
        <f>ROUND(Q237*(1+取值表!$D$12)*取值表!$I$12,0)</f>
        <v>47317</v>
      </c>
      <c r="S237" s="293">
        <f>R237</f>
        <v>47317</v>
      </c>
      <c r="T237" s="293">
        <f>S237</f>
        <v>47317</v>
      </c>
      <c r="U237" s="293">
        <f>T237</f>
        <v>47317</v>
      </c>
      <c r="V237" s="294">
        <f>ROUND(U237*(1+取值表!$D$8),0)</f>
        <v>51717</v>
      </c>
      <c r="W237" s="293">
        <f t="shared" ref="W237:Y237" si="5218">V237</f>
        <v>51717</v>
      </c>
      <c r="X237" s="293">
        <f t="shared" si="5218"/>
        <v>51717</v>
      </c>
      <c r="Y237" s="293">
        <f t="shared" si="5218"/>
        <v>51717</v>
      </c>
      <c r="Z237" s="293">
        <f>ROUND(Y237*(1+取值表!$D$12),0)</f>
        <v>56527</v>
      </c>
      <c r="AA237" s="293">
        <f t="shared" ref="AA237:AB237" si="5219">Z237</f>
        <v>56527</v>
      </c>
      <c r="AB237" s="293">
        <f t="shared" si="5219"/>
        <v>56527</v>
      </c>
      <c r="AC237" s="293">
        <f>AB237</f>
        <v>56527</v>
      </c>
      <c r="AD237" s="293">
        <f>ROUND(AC237*(1+取值表!$D$12),0)</f>
        <v>61784</v>
      </c>
      <c r="AE237" s="293">
        <f t="shared" ref="AE237" si="5220">AD237</f>
        <v>61784</v>
      </c>
      <c r="AF237" s="293">
        <f t="shared" ref="AF237" si="5221">AE237</f>
        <v>61784</v>
      </c>
      <c r="AG237" s="293">
        <f t="shared" ref="AG237" si="5222">AF237</f>
        <v>61784</v>
      </c>
      <c r="AH237" s="293">
        <f>ROUND(AG237*(1+取值表!$D$12),0)</f>
        <v>67530</v>
      </c>
      <c r="AI237" s="293">
        <f t="shared" ref="AI237" si="5223">AH237</f>
        <v>67530</v>
      </c>
      <c r="AJ237" s="293">
        <f t="shared" ref="AJ237" si="5224">AI237</f>
        <v>67530</v>
      </c>
      <c r="AK237" s="293">
        <f t="shared" ref="AK237" si="5225">AJ237</f>
        <v>67530</v>
      </c>
      <c r="AL237" s="293">
        <f>ROUND(AK237*(1+取值表!$D$12),0)</f>
        <v>73810</v>
      </c>
      <c r="AM237" s="293">
        <f t="shared" ref="AM237" si="5226">AL237</f>
        <v>73810</v>
      </c>
      <c r="AN237" s="293">
        <f t="shared" ref="AN237" si="5227">AM237</f>
        <v>73810</v>
      </c>
      <c r="AO237" s="293">
        <f t="shared" ref="AO237" si="5228">AN237</f>
        <v>73810</v>
      </c>
      <c r="AP237" s="293">
        <f>ROUND(AO237*(1+取值表!$D$12),0)</f>
        <v>80674</v>
      </c>
      <c r="AQ237" s="293">
        <f t="shared" ref="AQ237" si="5229">AP237</f>
        <v>80674</v>
      </c>
      <c r="AR237" s="293">
        <f t="shared" ref="AR237" si="5230">AQ237</f>
        <v>80674</v>
      </c>
      <c r="AS237" s="293">
        <f t="shared" ref="AS237" si="5231">AR237</f>
        <v>80674</v>
      </c>
      <c r="AT237" s="293">
        <f>ROUND(AS237*(1+取值表!$D$12),0)</f>
        <v>88177</v>
      </c>
      <c r="AU237" s="293">
        <f t="shared" ref="AU237" si="5232">AT237</f>
        <v>88177</v>
      </c>
      <c r="AV237" s="293">
        <f t="shared" ref="AV237" si="5233">AU237</f>
        <v>88177</v>
      </c>
      <c r="AW237" s="293">
        <f t="shared" ref="AW237" si="5234">AV237</f>
        <v>88177</v>
      </c>
      <c r="AX237" s="293">
        <f>ROUND(AW237*(1+取值表!$D$12),0)</f>
        <v>96377</v>
      </c>
      <c r="AY237" s="293">
        <f t="shared" ref="AY237" si="5235">AX237</f>
        <v>96377</v>
      </c>
      <c r="AZ237" s="293">
        <f t="shared" ref="AZ237" si="5236">AY237</f>
        <v>96377</v>
      </c>
      <c r="BA237" s="293">
        <f t="shared" ref="BA237" si="5237">AZ237</f>
        <v>96377</v>
      </c>
      <c r="BB237" s="293">
        <f>ROUND(BA237*(1+取值表!$D$12),0)</f>
        <v>105340</v>
      </c>
      <c r="BC237" s="293">
        <f>BB237</f>
        <v>105340</v>
      </c>
      <c r="BD237" s="293">
        <f t="shared" ref="BD237" si="5238">BC237</f>
        <v>105340</v>
      </c>
      <c r="BE237" s="293">
        <f>BD237</f>
        <v>105340</v>
      </c>
      <c r="BF237" s="293">
        <f>ROUND(BE237*(1+取值表!$D$12),0)</f>
        <v>115137</v>
      </c>
      <c r="BG237" s="293">
        <f>BF237</f>
        <v>115137</v>
      </c>
      <c r="BH237" s="293">
        <f t="shared" ref="BH237" si="5239">BG237</f>
        <v>115137</v>
      </c>
      <c r="BI237" s="293">
        <f t="shared" ref="BI237" si="5240">BH237</f>
        <v>115137</v>
      </c>
      <c r="BJ237" s="293">
        <f>ROUND(BI237*(1+取值表!$D$12),0)</f>
        <v>125845</v>
      </c>
      <c r="BK237" s="293">
        <f t="shared" ref="BK237" si="5241">BJ237</f>
        <v>125845</v>
      </c>
      <c r="BL237" s="293">
        <f t="shared" ref="BL237" si="5242">BK237</f>
        <v>125845</v>
      </c>
      <c r="BM237" s="293">
        <f t="shared" ref="BM237" si="5243">BL237</f>
        <v>125845</v>
      </c>
      <c r="BN237" s="293">
        <f>ROUND(BM237*(1+取值表!$D$12),0)</f>
        <v>137549</v>
      </c>
      <c r="BO237" s="293">
        <f t="shared" ref="BO237" si="5244">BN237</f>
        <v>137549</v>
      </c>
      <c r="BP237" s="293">
        <f t="shared" ref="BP237" si="5245">BO237</f>
        <v>137549</v>
      </c>
      <c r="BQ237" s="293">
        <f t="shared" ref="BQ237" si="5246">BP237</f>
        <v>137549</v>
      </c>
      <c r="BR237" s="293">
        <f>ROUND(BQ237*(1+取值表!$D$12),0)</f>
        <v>150341</v>
      </c>
      <c r="BS237" s="293">
        <f t="shared" ref="BS237" si="5247">BR237</f>
        <v>150341</v>
      </c>
      <c r="BT237" s="293">
        <f t="shared" ref="BT237" si="5248">BS237</f>
        <v>150341</v>
      </c>
      <c r="BU237" s="293">
        <f t="shared" ref="BU237" si="5249">BT237</f>
        <v>150341</v>
      </c>
      <c r="BV237" s="293">
        <f>ROUND(BU237*(1+取值表!$D$12),0)</f>
        <v>164323</v>
      </c>
      <c r="BW237" s="293">
        <f t="shared" ref="BW237" si="5250">BV237</f>
        <v>164323</v>
      </c>
      <c r="BX237" s="293">
        <f t="shared" ref="BX237" si="5251">BW237</f>
        <v>164323</v>
      </c>
      <c r="BY237" s="293">
        <f t="shared" ref="BY237" si="5252">BX237</f>
        <v>164323</v>
      </c>
      <c r="BZ237" s="293">
        <f>ROUND(BY237*(1+取值表!$D$12),0)</f>
        <v>179605</v>
      </c>
      <c r="CA237" s="293">
        <f t="shared" ref="CA237" si="5253">BZ237</f>
        <v>179605</v>
      </c>
      <c r="CB237" s="293">
        <f t="shared" ref="CB237" si="5254">CA237</f>
        <v>179605</v>
      </c>
      <c r="CC237" s="293">
        <f t="shared" ref="CC237" si="5255">CB237</f>
        <v>179605</v>
      </c>
      <c r="CD237" s="293">
        <f>ROUND(CC237*(1+取值表!$D$12),0)</f>
        <v>196308</v>
      </c>
      <c r="CE237" s="293">
        <f t="shared" ref="CE237" si="5256">CD237</f>
        <v>196308</v>
      </c>
      <c r="CF237" s="293">
        <f t="shared" ref="CF237" si="5257">CE237</f>
        <v>196308</v>
      </c>
      <c r="CG237" s="293">
        <f t="shared" ref="CG237" si="5258">CF237</f>
        <v>196308</v>
      </c>
      <c r="CH237" s="293">
        <f>ROUND(CG237*(1+取值表!$D$12),0)</f>
        <v>214565</v>
      </c>
      <c r="CI237" s="293">
        <f>CH237</f>
        <v>214565</v>
      </c>
      <c r="CJ237" s="293">
        <f t="shared" ref="CJ237" si="5259">CI237</f>
        <v>214565</v>
      </c>
      <c r="CK237" s="293">
        <f t="shared" ref="CK237" si="5260">CJ237</f>
        <v>214565</v>
      </c>
      <c r="CL237" s="293">
        <f>ROUND(CK237*(1+取值表!$D$12),0)</f>
        <v>234520</v>
      </c>
      <c r="CM237" s="293">
        <f>CL237</f>
        <v>234520</v>
      </c>
      <c r="CN237" s="293">
        <f t="shared" ref="CN237" si="5261">CM237</f>
        <v>234520</v>
      </c>
      <c r="CO237" s="293">
        <f t="shared" ref="CO237" si="5262">CN237</f>
        <v>234520</v>
      </c>
      <c r="CP237" s="293">
        <f t="shared" si="4294"/>
        <v>9357824</v>
      </c>
    </row>
    <row r="238" spans="1:95">
      <c r="A238" s="680"/>
      <c r="B238" s="645"/>
      <c r="C238" s="646"/>
      <c r="D238" s="647"/>
      <c r="E238" s="681"/>
      <c r="F238" s="642"/>
      <c r="G238" s="642"/>
      <c r="H238" s="643"/>
      <c r="I238" s="291"/>
      <c r="J238" s="295"/>
      <c r="K238" s="293"/>
      <c r="L238" s="293"/>
      <c r="M238" s="293"/>
      <c r="N238" s="293"/>
      <c r="O238" s="293"/>
      <c r="P238" s="293"/>
      <c r="Q238" s="293"/>
      <c r="R238" s="293"/>
      <c r="S238" s="293"/>
      <c r="T238" s="293"/>
      <c r="U238" s="293"/>
      <c r="V238" s="293"/>
      <c r="W238" s="293"/>
      <c r="X238" s="293"/>
      <c r="Y238" s="293"/>
      <c r="Z238" s="293"/>
      <c r="AA238" s="293"/>
      <c r="AB238" s="293"/>
      <c r="AC238" s="293"/>
      <c r="AD238" s="293"/>
      <c r="AE238" s="293"/>
      <c r="AF238" s="293"/>
      <c r="AG238" s="293"/>
      <c r="AH238" s="293"/>
      <c r="AI238" s="293"/>
      <c r="AJ238" s="293"/>
      <c r="AK238" s="293"/>
      <c r="AL238" s="293"/>
      <c r="AM238" s="293"/>
      <c r="AN238" s="293"/>
      <c r="AO238" s="293"/>
      <c r="AP238" s="293"/>
      <c r="AQ238" s="293"/>
      <c r="AR238" s="293"/>
      <c r="AS238" s="293"/>
      <c r="AT238" s="293"/>
      <c r="AU238" s="293"/>
      <c r="AV238" s="293"/>
      <c r="AW238" s="293"/>
      <c r="AX238" s="293"/>
      <c r="AY238" s="293"/>
      <c r="AZ238" s="293"/>
      <c r="BA238" s="293"/>
      <c r="BB238" s="293"/>
      <c r="BC238" s="293"/>
      <c r="BD238" s="293"/>
      <c r="BE238" s="293"/>
      <c r="BF238" s="293"/>
      <c r="BG238" s="293"/>
      <c r="BH238" s="293"/>
      <c r="BI238" s="293"/>
      <c r="BJ238" s="293"/>
      <c r="BK238" s="293"/>
      <c r="BL238" s="293"/>
      <c r="BM238" s="293"/>
      <c r="BN238" s="293"/>
      <c r="BO238" s="293"/>
      <c r="BP238" s="293"/>
      <c r="BQ238" s="293"/>
      <c r="BR238" s="293"/>
      <c r="BS238" s="293"/>
      <c r="BT238" s="293"/>
      <c r="BU238" s="293"/>
      <c r="BV238" s="293"/>
      <c r="BW238" s="293"/>
      <c r="BX238" s="293"/>
      <c r="BY238" s="293"/>
      <c r="BZ238" s="293"/>
      <c r="CA238" s="293"/>
      <c r="CB238" s="293"/>
      <c r="CC238" s="293"/>
      <c r="CD238" s="293"/>
      <c r="CE238" s="293"/>
      <c r="CF238" s="293"/>
      <c r="CG238" s="293"/>
      <c r="CH238" s="293"/>
      <c r="CI238" s="293"/>
      <c r="CJ238" s="293"/>
      <c r="CK238" s="293"/>
      <c r="CL238" s="293"/>
      <c r="CM238" s="293"/>
      <c r="CN238" s="293"/>
      <c r="CO238" s="293"/>
      <c r="CP238" s="293">
        <f t="shared" si="4294"/>
        <v>0</v>
      </c>
    </row>
    <row r="239" spans="1:95" ht="12" customHeight="1">
      <c r="A239" s="679">
        <v>120</v>
      </c>
      <c r="B239" s="645" t="s">
        <v>236</v>
      </c>
      <c r="C239" s="646" t="s">
        <v>727</v>
      </c>
      <c r="D239" s="647" t="s">
        <v>501</v>
      </c>
      <c r="E239" s="648" t="s">
        <v>486</v>
      </c>
      <c r="F239" s="642">
        <v>149.49</v>
      </c>
      <c r="G239" s="642">
        <v>20</v>
      </c>
      <c r="H239" s="643">
        <f>F239*G239*365</f>
        <v>1091277</v>
      </c>
      <c r="I239" s="291">
        <v>259178.29</v>
      </c>
      <c r="J239" s="295">
        <f>ROUND(G239*F239*365/4,0)</f>
        <v>272819</v>
      </c>
      <c r="K239" s="293">
        <f t="shared" ref="K239:N239" si="5263">J239</f>
        <v>272819</v>
      </c>
      <c r="L239" s="293">
        <f t="shared" si="5263"/>
        <v>272819</v>
      </c>
      <c r="M239" s="293">
        <f t="shared" si="5263"/>
        <v>272819</v>
      </c>
      <c r="N239" s="293">
        <f t="shared" si="5263"/>
        <v>272819</v>
      </c>
      <c r="O239" s="292">
        <f>N239</f>
        <v>272819</v>
      </c>
      <c r="P239" s="293">
        <f>O239</f>
        <v>272819</v>
      </c>
      <c r="Q239" s="293">
        <f>P239</f>
        <v>272819</v>
      </c>
      <c r="R239" s="293">
        <f>ROUND(Q239*(1+取值表!$D$12)*取值表!$I$12,0)</f>
        <v>280598</v>
      </c>
      <c r="S239" s="293">
        <f>R239</f>
        <v>280598</v>
      </c>
      <c r="T239" s="293">
        <f>S239</f>
        <v>280598</v>
      </c>
      <c r="U239" s="293">
        <f>T239</f>
        <v>280598</v>
      </c>
      <c r="V239" s="294">
        <f>ROUND(U239*(1+取值表!$D$8),0)</f>
        <v>306694</v>
      </c>
      <c r="W239" s="293">
        <f t="shared" ref="W239:Y239" si="5264">V239</f>
        <v>306694</v>
      </c>
      <c r="X239" s="293">
        <f t="shared" si="5264"/>
        <v>306694</v>
      </c>
      <c r="Y239" s="293">
        <f t="shared" si="5264"/>
        <v>306694</v>
      </c>
      <c r="Z239" s="293">
        <f>ROUND(Y239*(1+取值表!$D$12),0)</f>
        <v>335217</v>
      </c>
      <c r="AA239" s="293">
        <f t="shared" ref="AA239:AB239" si="5265">Z239</f>
        <v>335217</v>
      </c>
      <c r="AB239" s="293">
        <f t="shared" si="5265"/>
        <v>335217</v>
      </c>
      <c r="AC239" s="293">
        <f>AB239</f>
        <v>335217</v>
      </c>
      <c r="AD239" s="293">
        <f>ROUND(AC239*(1+取值表!$D$12),0)</f>
        <v>366392</v>
      </c>
      <c r="AE239" s="293">
        <f t="shared" ref="AE239" si="5266">AD239</f>
        <v>366392</v>
      </c>
      <c r="AF239" s="293">
        <f t="shared" ref="AF239" si="5267">AE239</f>
        <v>366392</v>
      </c>
      <c r="AG239" s="293">
        <f t="shared" ref="AG239" si="5268">AF239</f>
        <v>366392</v>
      </c>
      <c r="AH239" s="293">
        <f>ROUND(AG239*(1+取值表!$D$12),0)</f>
        <v>400466</v>
      </c>
      <c r="AI239" s="293">
        <f t="shared" ref="AI239" si="5269">AH239</f>
        <v>400466</v>
      </c>
      <c r="AJ239" s="293">
        <f t="shared" ref="AJ239" si="5270">AI239</f>
        <v>400466</v>
      </c>
      <c r="AK239" s="293">
        <f t="shared" ref="AK239" si="5271">AJ239</f>
        <v>400466</v>
      </c>
      <c r="AL239" s="293">
        <f>ROUND(AK239*(1+取值表!$D$12),0)</f>
        <v>437709</v>
      </c>
      <c r="AM239" s="293">
        <f t="shared" ref="AM239" si="5272">AL239</f>
        <v>437709</v>
      </c>
      <c r="AN239" s="293">
        <f t="shared" ref="AN239" si="5273">AM239</f>
        <v>437709</v>
      </c>
      <c r="AO239" s="293">
        <f t="shared" ref="AO239" si="5274">AN239</f>
        <v>437709</v>
      </c>
      <c r="AP239" s="293">
        <f>ROUND(AO239*(1+取值表!$D$12),0)</f>
        <v>478416</v>
      </c>
      <c r="AQ239" s="293">
        <f t="shared" ref="AQ239" si="5275">AP239</f>
        <v>478416</v>
      </c>
      <c r="AR239" s="293">
        <f t="shared" ref="AR239" si="5276">AQ239</f>
        <v>478416</v>
      </c>
      <c r="AS239" s="293">
        <f t="shared" ref="AS239" si="5277">AR239</f>
        <v>478416</v>
      </c>
      <c r="AT239" s="293">
        <f>ROUND(AS239*(1+取值表!$D$12),0)</f>
        <v>522909</v>
      </c>
      <c r="AU239" s="293">
        <f t="shared" ref="AU239" si="5278">AT239</f>
        <v>522909</v>
      </c>
      <c r="AV239" s="293">
        <f t="shared" ref="AV239" si="5279">AU239</f>
        <v>522909</v>
      </c>
      <c r="AW239" s="293">
        <f t="shared" ref="AW239" si="5280">AV239</f>
        <v>522909</v>
      </c>
      <c r="AX239" s="293">
        <f>ROUND(AW239*(1+取值表!$D$12),0)</f>
        <v>571540</v>
      </c>
      <c r="AY239" s="293">
        <f t="shared" ref="AY239" si="5281">AX239</f>
        <v>571540</v>
      </c>
      <c r="AZ239" s="293">
        <f t="shared" ref="AZ239" si="5282">AY239</f>
        <v>571540</v>
      </c>
      <c r="BA239" s="293">
        <f t="shared" ref="BA239" si="5283">AZ239</f>
        <v>571540</v>
      </c>
      <c r="BB239" s="293">
        <f>ROUND(BA239*(1+取值表!$D$12),0)</f>
        <v>624693</v>
      </c>
      <c r="BC239" s="293">
        <f>BB239</f>
        <v>624693</v>
      </c>
      <c r="BD239" s="293">
        <f t="shared" ref="BD239" si="5284">BC239</f>
        <v>624693</v>
      </c>
      <c r="BE239" s="293">
        <f>BD239</f>
        <v>624693</v>
      </c>
      <c r="BF239" s="293">
        <f>ROUND(BE239*(1+取值表!$D$12),0)</f>
        <v>682789</v>
      </c>
      <c r="BG239" s="293">
        <f>BF239</f>
        <v>682789</v>
      </c>
      <c r="BH239" s="293">
        <f t="shared" ref="BH239" si="5285">BG239</f>
        <v>682789</v>
      </c>
      <c r="BI239" s="293">
        <f t="shared" ref="BI239" si="5286">BH239</f>
        <v>682789</v>
      </c>
      <c r="BJ239" s="293">
        <f>ROUND(BI239*(1+取值表!$D$12),0)</f>
        <v>746288</v>
      </c>
      <c r="BK239" s="293">
        <f t="shared" ref="BK239" si="5287">BJ239</f>
        <v>746288</v>
      </c>
      <c r="BL239" s="293">
        <f t="shared" ref="BL239" si="5288">BK239</f>
        <v>746288</v>
      </c>
      <c r="BM239" s="293">
        <f t="shared" ref="BM239" si="5289">BL239</f>
        <v>746288</v>
      </c>
      <c r="BN239" s="293">
        <f>ROUND(BM239*(1+取值表!$D$12),0)</f>
        <v>815693</v>
      </c>
      <c r="BO239" s="293">
        <f t="shared" ref="BO239" si="5290">BN239</f>
        <v>815693</v>
      </c>
      <c r="BP239" s="293">
        <f t="shared" ref="BP239" si="5291">BO239</f>
        <v>815693</v>
      </c>
      <c r="BQ239" s="293">
        <f t="shared" ref="BQ239" si="5292">BP239</f>
        <v>815693</v>
      </c>
      <c r="BR239" s="293">
        <f>ROUND(BQ239*(1+取值表!$D$12),0)</f>
        <v>891552</v>
      </c>
      <c r="BS239" s="293">
        <f t="shared" ref="BS239" si="5293">BR239</f>
        <v>891552</v>
      </c>
      <c r="BT239" s="293">
        <f t="shared" ref="BT239" si="5294">BS239</f>
        <v>891552</v>
      </c>
      <c r="BU239" s="293">
        <f t="shared" ref="BU239" si="5295">BT239</f>
        <v>891552</v>
      </c>
      <c r="BV239" s="293">
        <f>ROUND(BU239*(1+取值表!$D$12),0)</f>
        <v>974466</v>
      </c>
      <c r="BW239" s="293">
        <f t="shared" ref="BW239" si="5296">BV239</f>
        <v>974466</v>
      </c>
      <c r="BX239" s="293">
        <f t="shared" ref="BX239" si="5297">BW239</f>
        <v>974466</v>
      </c>
      <c r="BY239" s="293">
        <f t="shared" ref="BY239" si="5298">BX239</f>
        <v>974466</v>
      </c>
      <c r="BZ239" s="293">
        <f>ROUND(BY239*(1+取值表!$D$12),0)</f>
        <v>1065091</v>
      </c>
      <c r="CA239" s="293">
        <f t="shared" ref="CA239" si="5299">BZ239</f>
        <v>1065091</v>
      </c>
      <c r="CB239" s="293">
        <f t="shared" ref="CB239" si="5300">CA239</f>
        <v>1065091</v>
      </c>
      <c r="CC239" s="293">
        <f t="shared" ref="CC239" si="5301">CB239</f>
        <v>1065091</v>
      </c>
      <c r="CD239" s="293">
        <f>ROUND(CC239*(1+取值表!$D$12),0)</f>
        <v>1164144</v>
      </c>
      <c r="CE239" s="293">
        <f t="shared" ref="CE239" si="5302">CD239</f>
        <v>1164144</v>
      </c>
      <c r="CF239" s="293">
        <f t="shared" ref="CF239" si="5303">CE239</f>
        <v>1164144</v>
      </c>
      <c r="CG239" s="293">
        <f t="shared" ref="CG239" si="5304">CF239</f>
        <v>1164144</v>
      </c>
      <c r="CH239" s="293">
        <f>ROUND(CG239*(1+取值表!$D$12),0)</f>
        <v>1272409</v>
      </c>
      <c r="CI239" s="293">
        <f>CH239</f>
        <v>1272409</v>
      </c>
      <c r="CJ239" s="293">
        <f t="shared" ref="CJ239" si="5305">CI239</f>
        <v>1272409</v>
      </c>
      <c r="CK239" s="293">
        <f t="shared" ref="CK239" si="5306">CJ239</f>
        <v>1272409</v>
      </c>
      <c r="CL239" s="293">
        <f>ROUND(CK239*(1+取值表!$D$12),0)</f>
        <v>1390743</v>
      </c>
      <c r="CM239" s="293">
        <f>CL239</f>
        <v>1390743</v>
      </c>
      <c r="CN239" s="293">
        <f t="shared" ref="CN239" si="5307">CM239</f>
        <v>1390743</v>
      </c>
      <c r="CO239" s="293">
        <f t="shared" ref="CO239" si="5308">CN239</f>
        <v>1390743</v>
      </c>
      <c r="CP239" s="293">
        <f t="shared" si="4294"/>
        <v>55493788</v>
      </c>
    </row>
    <row r="240" spans="1:95">
      <c r="A240" s="680"/>
      <c r="B240" s="645"/>
      <c r="C240" s="646"/>
      <c r="D240" s="647"/>
      <c r="E240" s="648"/>
      <c r="F240" s="642"/>
      <c r="G240" s="642"/>
      <c r="H240" s="643"/>
      <c r="I240" s="291"/>
      <c r="J240" s="295"/>
      <c r="K240" s="293"/>
      <c r="L240" s="293"/>
      <c r="M240" s="293"/>
      <c r="N240" s="293"/>
      <c r="O240" s="293"/>
      <c r="P240" s="293"/>
      <c r="Q240" s="293"/>
      <c r="R240" s="293"/>
      <c r="S240" s="293"/>
      <c r="T240" s="293"/>
      <c r="U240" s="293"/>
      <c r="V240" s="293"/>
      <c r="W240" s="293"/>
      <c r="X240" s="293"/>
      <c r="Y240" s="293"/>
      <c r="Z240" s="293"/>
      <c r="AA240" s="293"/>
      <c r="AB240" s="293"/>
      <c r="AC240" s="293"/>
      <c r="AD240" s="293"/>
      <c r="AE240" s="293"/>
      <c r="AF240" s="293"/>
      <c r="AG240" s="293"/>
      <c r="AH240" s="293"/>
      <c r="AI240" s="293"/>
      <c r="AJ240" s="293"/>
      <c r="AK240" s="293"/>
      <c r="AL240" s="293"/>
      <c r="AM240" s="293"/>
      <c r="AN240" s="293"/>
      <c r="AO240" s="293"/>
      <c r="AP240" s="293"/>
      <c r="AQ240" s="293"/>
      <c r="AR240" s="293"/>
      <c r="AS240" s="293"/>
      <c r="AT240" s="293"/>
      <c r="AU240" s="293"/>
      <c r="AV240" s="293"/>
      <c r="AW240" s="293"/>
      <c r="AX240" s="293"/>
      <c r="AY240" s="293"/>
      <c r="AZ240" s="293"/>
      <c r="BA240" s="293"/>
      <c r="BB240" s="293"/>
      <c r="BC240" s="293"/>
      <c r="BD240" s="293"/>
      <c r="BE240" s="293"/>
      <c r="BF240" s="293"/>
      <c r="BG240" s="293"/>
      <c r="BH240" s="293"/>
      <c r="BI240" s="293"/>
      <c r="BJ240" s="293"/>
      <c r="BK240" s="293"/>
      <c r="BL240" s="293"/>
      <c r="BM240" s="293"/>
      <c r="BN240" s="293"/>
      <c r="BO240" s="293"/>
      <c r="BP240" s="293"/>
      <c r="BQ240" s="293"/>
      <c r="BR240" s="293"/>
      <c r="BS240" s="293"/>
      <c r="BT240" s="293"/>
      <c r="BU240" s="293"/>
      <c r="BV240" s="293"/>
      <c r="BW240" s="293"/>
      <c r="BX240" s="293"/>
      <c r="BY240" s="293"/>
      <c r="BZ240" s="293"/>
      <c r="CA240" s="293"/>
      <c r="CB240" s="293"/>
      <c r="CC240" s="293"/>
      <c r="CD240" s="293"/>
      <c r="CE240" s="293"/>
      <c r="CF240" s="293"/>
      <c r="CG240" s="293"/>
      <c r="CH240" s="293"/>
      <c r="CI240" s="293"/>
      <c r="CJ240" s="293"/>
      <c r="CK240" s="293"/>
      <c r="CL240" s="293"/>
      <c r="CM240" s="293"/>
      <c r="CN240" s="293"/>
      <c r="CO240" s="293"/>
      <c r="CP240" s="293">
        <f t="shared" si="4294"/>
        <v>0</v>
      </c>
    </row>
    <row r="241" spans="1:212" ht="12" customHeight="1">
      <c r="A241" s="679">
        <v>121</v>
      </c>
      <c r="B241" s="658" t="s">
        <v>237</v>
      </c>
      <c r="C241" s="646" t="s">
        <v>108</v>
      </c>
      <c r="D241" s="647" t="s">
        <v>502</v>
      </c>
      <c r="E241" s="648" t="s">
        <v>486</v>
      </c>
      <c r="F241" s="642">
        <v>163.41</v>
      </c>
      <c r="G241" s="642">
        <v>15</v>
      </c>
      <c r="H241" s="643">
        <f>F241*G241*365</f>
        <v>894669.75</v>
      </c>
      <c r="I241" s="291">
        <v>160295</v>
      </c>
      <c r="J241" s="292">
        <f>ROUND(G241*F241*365/4,0)</f>
        <v>223667</v>
      </c>
      <c r="K241" s="293">
        <f>J241</f>
        <v>223667</v>
      </c>
      <c r="L241" s="293">
        <f>K241</f>
        <v>223667</v>
      </c>
      <c r="M241" s="293">
        <f>L241</f>
        <v>223667</v>
      </c>
      <c r="N241" s="293">
        <f>ROUND(M241*(1+取值表!$D$12)*取值表!$I$12,0)</f>
        <v>230044</v>
      </c>
      <c r="O241" s="293">
        <f>N241</f>
        <v>230044</v>
      </c>
      <c r="P241" s="293">
        <f>O241</f>
        <v>230044</v>
      </c>
      <c r="Q241" s="293">
        <f>P241</f>
        <v>230044</v>
      </c>
      <c r="R241" s="294">
        <f>ROUND(Q241*(1+取值表!$D$8),0)</f>
        <v>251438</v>
      </c>
      <c r="S241" s="293">
        <f t="shared" ref="S241:T241" si="5309">R241</f>
        <v>251438</v>
      </c>
      <c r="T241" s="293">
        <f t="shared" si="5309"/>
        <v>251438</v>
      </c>
      <c r="U241" s="293">
        <f>T241</f>
        <v>251438</v>
      </c>
      <c r="V241" s="293">
        <f>ROUND(U241*(1+取值表!$D$12),0)</f>
        <v>274822</v>
      </c>
      <c r="W241" s="293">
        <f t="shared" ref="W241:Y241" si="5310">V241</f>
        <v>274822</v>
      </c>
      <c r="X241" s="293">
        <f t="shared" si="5310"/>
        <v>274822</v>
      </c>
      <c r="Y241" s="293">
        <f t="shared" si="5310"/>
        <v>274822</v>
      </c>
      <c r="Z241" s="293">
        <f>ROUND(Y241*(1+取值表!$D$12),0)</f>
        <v>300380</v>
      </c>
      <c r="AA241" s="293">
        <f t="shared" ref="AA241" si="5311">Z241</f>
        <v>300380</v>
      </c>
      <c r="AB241" s="293">
        <f t="shared" ref="AB241" si="5312">AA241</f>
        <v>300380</v>
      </c>
      <c r="AC241" s="293">
        <f>AB241</f>
        <v>300380</v>
      </c>
      <c r="AD241" s="293">
        <f>ROUND(AC241*(1+取值表!$D$12),0)</f>
        <v>328315</v>
      </c>
      <c r="AE241" s="293">
        <f t="shared" ref="AE241" si="5313">AD241</f>
        <v>328315</v>
      </c>
      <c r="AF241" s="293">
        <f t="shared" ref="AF241" si="5314">AE241</f>
        <v>328315</v>
      </c>
      <c r="AG241" s="293">
        <f t="shared" ref="AG241" si="5315">AF241</f>
        <v>328315</v>
      </c>
      <c r="AH241" s="293">
        <f>ROUND(AG241*(1+取值表!$D$12),0)</f>
        <v>358848</v>
      </c>
      <c r="AI241" s="293">
        <f t="shared" ref="AI241" si="5316">AH241</f>
        <v>358848</v>
      </c>
      <c r="AJ241" s="293">
        <f t="shared" ref="AJ241" si="5317">AI241</f>
        <v>358848</v>
      </c>
      <c r="AK241" s="293">
        <f t="shared" ref="AK241" si="5318">AJ241</f>
        <v>358848</v>
      </c>
      <c r="AL241" s="293">
        <f>ROUND(AK241*(1+取值表!$D$12),0)</f>
        <v>392221</v>
      </c>
      <c r="AM241" s="293">
        <f t="shared" ref="AM241" si="5319">AL241</f>
        <v>392221</v>
      </c>
      <c r="AN241" s="293">
        <f t="shared" ref="AN241" si="5320">AM241</f>
        <v>392221</v>
      </c>
      <c r="AO241" s="293">
        <f t="shared" ref="AO241" si="5321">AN241</f>
        <v>392221</v>
      </c>
      <c r="AP241" s="293">
        <f>ROUND(AO241*(1+取值表!$D$12),0)</f>
        <v>428698</v>
      </c>
      <c r="AQ241" s="293">
        <f t="shared" ref="AQ241" si="5322">AP241</f>
        <v>428698</v>
      </c>
      <c r="AR241" s="293">
        <f t="shared" ref="AR241" si="5323">AQ241</f>
        <v>428698</v>
      </c>
      <c r="AS241" s="293">
        <f t="shared" ref="AS241" si="5324">AR241</f>
        <v>428698</v>
      </c>
      <c r="AT241" s="293">
        <f>ROUND(AS241*(1+取值表!$D$12),0)</f>
        <v>468567</v>
      </c>
      <c r="AU241" s="293">
        <f t="shared" ref="AU241" si="5325">AT241</f>
        <v>468567</v>
      </c>
      <c r="AV241" s="293">
        <f t="shared" ref="AV241" si="5326">AU241</f>
        <v>468567</v>
      </c>
      <c r="AW241" s="293">
        <f t="shared" ref="AW241" si="5327">AV241</f>
        <v>468567</v>
      </c>
      <c r="AX241" s="293">
        <f>ROUND(AW241*(1+取值表!$D$12),0)</f>
        <v>512144</v>
      </c>
      <c r="AY241" s="293">
        <f t="shared" ref="AY241" si="5328">AX241</f>
        <v>512144</v>
      </c>
      <c r="AZ241" s="293">
        <f t="shared" ref="AZ241" si="5329">AY241</f>
        <v>512144</v>
      </c>
      <c r="BA241" s="293">
        <f t="shared" ref="BA241" si="5330">AZ241</f>
        <v>512144</v>
      </c>
      <c r="BB241" s="293">
        <f>ROUND(BA241*(1+取值表!$D$12),0)</f>
        <v>559773</v>
      </c>
      <c r="BC241" s="293">
        <f>BB241</f>
        <v>559773</v>
      </c>
      <c r="BD241" s="293">
        <f t="shared" ref="BD241" si="5331">BC241</f>
        <v>559773</v>
      </c>
      <c r="BE241" s="293">
        <f>BD241</f>
        <v>559773</v>
      </c>
      <c r="BF241" s="293">
        <f>ROUND(BE241*(1+取值表!$D$12),0)</f>
        <v>611832</v>
      </c>
      <c r="BG241" s="293">
        <f>BF241</f>
        <v>611832</v>
      </c>
      <c r="BH241" s="293">
        <f t="shared" ref="BH241" si="5332">BG241</f>
        <v>611832</v>
      </c>
      <c r="BI241" s="293">
        <f t="shared" ref="BI241" si="5333">BH241</f>
        <v>611832</v>
      </c>
      <c r="BJ241" s="293">
        <f>ROUND(BI241*(1+取值表!$D$12),0)</f>
        <v>668732</v>
      </c>
      <c r="BK241" s="293">
        <f t="shared" ref="BK241" si="5334">BJ241</f>
        <v>668732</v>
      </c>
      <c r="BL241" s="293">
        <f t="shared" ref="BL241" si="5335">BK241</f>
        <v>668732</v>
      </c>
      <c r="BM241" s="293">
        <f t="shared" ref="BM241" si="5336">BL241</f>
        <v>668732</v>
      </c>
      <c r="BN241" s="293">
        <f>ROUND(BM241*(1+取值表!$D$12),0)</f>
        <v>730924</v>
      </c>
      <c r="BO241" s="293">
        <f t="shared" ref="BO241" si="5337">BN241</f>
        <v>730924</v>
      </c>
      <c r="BP241" s="293">
        <f t="shared" ref="BP241" si="5338">BO241</f>
        <v>730924</v>
      </c>
      <c r="BQ241" s="293">
        <f t="shared" ref="BQ241" si="5339">BP241</f>
        <v>730924</v>
      </c>
      <c r="BR241" s="293">
        <f>ROUND(BQ241*(1+取值表!$D$12),0)</f>
        <v>798900</v>
      </c>
      <c r="BS241" s="293">
        <f t="shared" ref="BS241" si="5340">BR241</f>
        <v>798900</v>
      </c>
      <c r="BT241" s="293">
        <f t="shared" ref="BT241" si="5341">BS241</f>
        <v>798900</v>
      </c>
      <c r="BU241" s="293">
        <f t="shared" ref="BU241" si="5342">BT241</f>
        <v>798900</v>
      </c>
      <c r="BV241" s="293">
        <f>ROUND(BU241*(1+取值表!$D$12),0)</f>
        <v>873198</v>
      </c>
      <c r="BW241" s="293">
        <f t="shared" ref="BW241" si="5343">BV241</f>
        <v>873198</v>
      </c>
      <c r="BX241" s="293">
        <f t="shared" ref="BX241" si="5344">BW241</f>
        <v>873198</v>
      </c>
      <c r="BY241" s="293">
        <f t="shared" ref="BY241" si="5345">BX241</f>
        <v>873198</v>
      </c>
      <c r="BZ241" s="293">
        <f>ROUND(BY241*(1+取值表!$D$12),0)</f>
        <v>954405</v>
      </c>
      <c r="CA241" s="293">
        <f t="shared" ref="CA241" si="5346">BZ241</f>
        <v>954405</v>
      </c>
      <c r="CB241" s="293">
        <f t="shared" ref="CB241" si="5347">CA241</f>
        <v>954405</v>
      </c>
      <c r="CC241" s="293">
        <f t="shared" ref="CC241" si="5348">CB241</f>
        <v>954405</v>
      </c>
      <c r="CD241" s="293">
        <f>ROUND(CC241*(1+取值表!$D$12),0)</f>
        <v>1043165</v>
      </c>
      <c r="CE241" s="293">
        <f t="shared" ref="CE241" si="5349">CD241</f>
        <v>1043165</v>
      </c>
      <c r="CF241" s="293">
        <f t="shared" ref="CF241" si="5350">CE241</f>
        <v>1043165</v>
      </c>
      <c r="CG241" s="293">
        <f t="shared" ref="CG241" si="5351">CF241</f>
        <v>1043165</v>
      </c>
      <c r="CH241" s="293">
        <f>ROUND(CG241*(1+取值表!$D$12),0)</f>
        <v>1140179</v>
      </c>
      <c r="CI241" s="293">
        <f>CH241</f>
        <v>1140179</v>
      </c>
      <c r="CJ241" s="293">
        <f t="shared" ref="CJ241" si="5352">CI241</f>
        <v>1140179</v>
      </c>
      <c r="CK241" s="293">
        <f t="shared" ref="CK241" si="5353">CJ241</f>
        <v>1140179</v>
      </c>
      <c r="CL241" s="293">
        <f>ROUND(CK241*(1+取值表!$D$12),0)</f>
        <v>1246216</v>
      </c>
      <c r="CM241" s="293">
        <f>CL241</f>
        <v>1246216</v>
      </c>
      <c r="CN241" s="293">
        <f t="shared" ref="CN241" si="5354">CM241</f>
        <v>1246216</v>
      </c>
      <c r="CO241" s="293">
        <f t="shared" ref="CO241" si="5355">CN241</f>
        <v>1246216</v>
      </c>
      <c r="CP241" s="293">
        <f t="shared" si="4294"/>
        <v>49585872</v>
      </c>
    </row>
    <row r="242" spans="1:212">
      <c r="A242" s="680"/>
      <c r="B242" s="658"/>
      <c r="C242" s="646"/>
      <c r="D242" s="647"/>
      <c r="E242" s="648"/>
      <c r="F242" s="642"/>
      <c r="G242" s="642"/>
      <c r="H242" s="643"/>
      <c r="I242" s="291"/>
      <c r="J242" s="295"/>
      <c r="K242" s="293"/>
      <c r="L242" s="293"/>
      <c r="M242" s="293"/>
      <c r="N242" s="293"/>
      <c r="O242" s="293"/>
      <c r="P242" s="293"/>
      <c r="Q242" s="293"/>
      <c r="R242" s="293"/>
      <c r="S242" s="293"/>
      <c r="T242" s="293"/>
      <c r="U242" s="293"/>
      <c r="V242" s="293"/>
      <c r="W242" s="293"/>
      <c r="X242" s="293"/>
      <c r="Y242" s="293"/>
      <c r="Z242" s="293"/>
      <c r="AA242" s="293"/>
      <c r="AB242" s="293"/>
      <c r="AC242" s="293"/>
      <c r="AD242" s="293"/>
      <c r="AE242" s="293"/>
      <c r="AF242" s="293"/>
      <c r="AG242" s="293"/>
      <c r="AH242" s="293"/>
      <c r="AI242" s="293"/>
      <c r="AJ242" s="293"/>
      <c r="AK242" s="293"/>
      <c r="AL242" s="293"/>
      <c r="AM242" s="293"/>
      <c r="AN242" s="293"/>
      <c r="AO242" s="293"/>
      <c r="AP242" s="293"/>
      <c r="AQ242" s="293"/>
      <c r="AR242" s="293"/>
      <c r="AS242" s="293"/>
      <c r="AT242" s="293"/>
      <c r="AU242" s="293"/>
      <c r="AV242" s="293"/>
      <c r="AW242" s="293"/>
      <c r="AX242" s="293"/>
      <c r="AY242" s="293"/>
      <c r="AZ242" s="293"/>
      <c r="BA242" s="293"/>
      <c r="BB242" s="293"/>
      <c r="BC242" s="293"/>
      <c r="BD242" s="293"/>
      <c r="BE242" s="293"/>
      <c r="BF242" s="293"/>
      <c r="BG242" s="293"/>
      <c r="BH242" s="293"/>
      <c r="BI242" s="293"/>
      <c r="BJ242" s="293"/>
      <c r="BK242" s="293"/>
      <c r="BL242" s="293"/>
      <c r="BM242" s="293"/>
      <c r="BN242" s="293"/>
      <c r="BO242" s="293"/>
      <c r="BP242" s="293"/>
      <c r="BQ242" s="293"/>
      <c r="BR242" s="293"/>
      <c r="BS242" s="293"/>
      <c r="BT242" s="293"/>
      <c r="BU242" s="293"/>
      <c r="BV242" s="293"/>
      <c r="BW242" s="293"/>
      <c r="BX242" s="293"/>
      <c r="BY242" s="293"/>
      <c r="BZ242" s="293"/>
      <c r="CA242" s="293"/>
      <c r="CB242" s="293"/>
      <c r="CC242" s="293"/>
      <c r="CD242" s="293"/>
      <c r="CE242" s="293"/>
      <c r="CF242" s="293"/>
      <c r="CG242" s="293"/>
      <c r="CH242" s="293"/>
      <c r="CI242" s="293"/>
      <c r="CJ242" s="293"/>
      <c r="CK242" s="293"/>
      <c r="CL242" s="293"/>
      <c r="CM242" s="293"/>
      <c r="CN242" s="293"/>
      <c r="CO242" s="293"/>
      <c r="CP242" s="293">
        <f t="shared" si="4294"/>
        <v>0</v>
      </c>
    </row>
    <row r="243" spans="1:212">
      <c r="A243" s="679">
        <v>122</v>
      </c>
      <c r="B243" s="645" t="s">
        <v>238</v>
      </c>
      <c r="C243" s="646" t="s">
        <v>239</v>
      </c>
      <c r="D243" s="647" t="s">
        <v>187</v>
      </c>
      <c r="E243" s="648" t="s">
        <v>486</v>
      </c>
      <c r="F243" s="642">
        <v>12.96</v>
      </c>
      <c r="G243" s="642">
        <v>19.5</v>
      </c>
      <c r="H243" s="643">
        <f>F243*G243*365</f>
        <v>92242.8</v>
      </c>
      <c r="I243" s="291">
        <v>23060.7</v>
      </c>
      <c r="J243" s="295">
        <f>ROUND(G243*F243*365/4,0)</f>
        <v>23061</v>
      </c>
      <c r="K243" s="293">
        <f>J243</f>
        <v>23061</v>
      </c>
      <c r="L243" s="292">
        <f>K243</f>
        <v>23061</v>
      </c>
      <c r="M243" s="293">
        <f>L243</f>
        <v>23061</v>
      </c>
      <c r="N243" s="293">
        <f>ROUND(M243*(1+取值表!$D$12)*取值表!$I$12,0)</f>
        <v>23719</v>
      </c>
      <c r="O243" s="293">
        <f>N243</f>
        <v>23719</v>
      </c>
      <c r="P243" s="293">
        <f>O243</f>
        <v>23719</v>
      </c>
      <c r="Q243" s="293">
        <f>P243</f>
        <v>23719</v>
      </c>
      <c r="R243" s="294">
        <f>ROUND(Q243*(1+取值表!$D$8),0)</f>
        <v>25925</v>
      </c>
      <c r="S243" s="293">
        <f t="shared" ref="S243:T243" si="5356">R243</f>
        <v>25925</v>
      </c>
      <c r="T243" s="293">
        <f t="shared" si="5356"/>
        <v>25925</v>
      </c>
      <c r="U243" s="293">
        <f>T243</f>
        <v>25925</v>
      </c>
      <c r="V243" s="293">
        <f>ROUND(U243*(1+取值表!$D$12),0)</f>
        <v>28336</v>
      </c>
      <c r="W243" s="293">
        <f t="shared" ref="W243:Y243" si="5357">V243</f>
        <v>28336</v>
      </c>
      <c r="X243" s="293">
        <f t="shared" si="5357"/>
        <v>28336</v>
      </c>
      <c r="Y243" s="293">
        <f t="shared" si="5357"/>
        <v>28336</v>
      </c>
      <c r="Z243" s="293">
        <f>ROUND(Y243*(1+取值表!$D$12),0)</f>
        <v>30971</v>
      </c>
      <c r="AA243" s="293">
        <f t="shared" ref="AA243" si="5358">Z243</f>
        <v>30971</v>
      </c>
      <c r="AB243" s="293">
        <f t="shared" ref="AB243" si="5359">AA243</f>
        <v>30971</v>
      </c>
      <c r="AC243" s="293">
        <f>AB243</f>
        <v>30971</v>
      </c>
      <c r="AD243" s="293">
        <f>ROUND(AC243*(1+取值表!$D$12),0)</f>
        <v>33851</v>
      </c>
      <c r="AE243" s="293">
        <f t="shared" ref="AE243" si="5360">AD243</f>
        <v>33851</v>
      </c>
      <c r="AF243" s="293">
        <f t="shared" ref="AF243" si="5361">AE243</f>
        <v>33851</v>
      </c>
      <c r="AG243" s="293">
        <f t="shared" ref="AG243" si="5362">AF243</f>
        <v>33851</v>
      </c>
      <c r="AH243" s="293">
        <f>ROUND(AG243*(1+取值表!$D$12),0)</f>
        <v>36999</v>
      </c>
      <c r="AI243" s="293">
        <f t="shared" ref="AI243" si="5363">AH243</f>
        <v>36999</v>
      </c>
      <c r="AJ243" s="293">
        <f t="shared" ref="AJ243" si="5364">AI243</f>
        <v>36999</v>
      </c>
      <c r="AK243" s="293">
        <f t="shared" ref="AK243" si="5365">AJ243</f>
        <v>36999</v>
      </c>
      <c r="AL243" s="293">
        <f>ROUND(AK243*(1+取值表!$D$12),0)</f>
        <v>40440</v>
      </c>
      <c r="AM243" s="293">
        <f t="shared" ref="AM243" si="5366">AL243</f>
        <v>40440</v>
      </c>
      <c r="AN243" s="293">
        <f t="shared" ref="AN243" si="5367">AM243</f>
        <v>40440</v>
      </c>
      <c r="AO243" s="293">
        <f t="shared" ref="AO243" si="5368">AN243</f>
        <v>40440</v>
      </c>
      <c r="AP243" s="293">
        <f>ROUND(AO243*(1+取值表!$D$12),0)</f>
        <v>44201</v>
      </c>
      <c r="AQ243" s="293">
        <f t="shared" ref="AQ243" si="5369">AP243</f>
        <v>44201</v>
      </c>
      <c r="AR243" s="293">
        <f t="shared" ref="AR243" si="5370">AQ243</f>
        <v>44201</v>
      </c>
      <c r="AS243" s="293">
        <f t="shared" ref="AS243" si="5371">AR243</f>
        <v>44201</v>
      </c>
      <c r="AT243" s="293">
        <f>ROUND(AS243*(1+取值表!$D$12),0)</f>
        <v>48312</v>
      </c>
      <c r="AU243" s="293">
        <f t="shared" ref="AU243" si="5372">AT243</f>
        <v>48312</v>
      </c>
      <c r="AV243" s="293">
        <f t="shared" ref="AV243" si="5373">AU243</f>
        <v>48312</v>
      </c>
      <c r="AW243" s="293">
        <f t="shared" ref="AW243" si="5374">AV243</f>
        <v>48312</v>
      </c>
      <c r="AX243" s="293">
        <f>ROUND(AW243*(1+取值表!$D$12),0)</f>
        <v>52805</v>
      </c>
      <c r="AY243" s="293">
        <f t="shared" ref="AY243" si="5375">AX243</f>
        <v>52805</v>
      </c>
      <c r="AZ243" s="293">
        <f t="shared" ref="AZ243" si="5376">AY243</f>
        <v>52805</v>
      </c>
      <c r="BA243" s="293">
        <f t="shared" ref="BA243" si="5377">AZ243</f>
        <v>52805</v>
      </c>
      <c r="BB243" s="293">
        <f>ROUND(BA243*(1+取值表!$D$12),0)</f>
        <v>57716</v>
      </c>
      <c r="BC243" s="293">
        <f>BB243</f>
        <v>57716</v>
      </c>
      <c r="BD243" s="293">
        <f t="shared" ref="BD243" si="5378">BC243</f>
        <v>57716</v>
      </c>
      <c r="BE243" s="293">
        <f>BD243</f>
        <v>57716</v>
      </c>
      <c r="BF243" s="293">
        <f>ROUND(BE243*(1+取值表!$D$12),0)</f>
        <v>63084</v>
      </c>
      <c r="BG243" s="293">
        <f>BF243</f>
        <v>63084</v>
      </c>
      <c r="BH243" s="293">
        <f t="shared" ref="BH243" si="5379">BG243</f>
        <v>63084</v>
      </c>
      <c r="BI243" s="293">
        <f t="shared" ref="BI243" si="5380">BH243</f>
        <v>63084</v>
      </c>
      <c r="BJ243" s="293">
        <f>ROUND(BI243*(1+取值表!$D$12),0)</f>
        <v>68951</v>
      </c>
      <c r="BK243" s="293">
        <f t="shared" ref="BK243" si="5381">BJ243</f>
        <v>68951</v>
      </c>
      <c r="BL243" s="293">
        <f t="shared" ref="BL243" si="5382">BK243</f>
        <v>68951</v>
      </c>
      <c r="BM243" s="293">
        <f t="shared" ref="BM243" si="5383">BL243</f>
        <v>68951</v>
      </c>
      <c r="BN243" s="293">
        <f>ROUND(BM243*(1+取值表!$D$12),0)</f>
        <v>75363</v>
      </c>
      <c r="BO243" s="293">
        <f t="shared" ref="BO243" si="5384">BN243</f>
        <v>75363</v>
      </c>
      <c r="BP243" s="293">
        <f t="shared" ref="BP243" si="5385">BO243</f>
        <v>75363</v>
      </c>
      <c r="BQ243" s="293">
        <f t="shared" ref="BQ243" si="5386">BP243</f>
        <v>75363</v>
      </c>
      <c r="BR243" s="293">
        <f>ROUND(BQ243*(1+取值表!$D$12),0)</f>
        <v>82372</v>
      </c>
      <c r="BS243" s="293">
        <f t="shared" ref="BS243" si="5387">BR243</f>
        <v>82372</v>
      </c>
      <c r="BT243" s="293">
        <f t="shared" ref="BT243" si="5388">BS243</f>
        <v>82372</v>
      </c>
      <c r="BU243" s="293">
        <f t="shared" ref="BU243" si="5389">BT243</f>
        <v>82372</v>
      </c>
      <c r="BV243" s="293">
        <f>ROUND(BU243*(1+取值表!$D$12),0)</f>
        <v>90033</v>
      </c>
      <c r="BW243" s="293">
        <f t="shared" ref="BW243" si="5390">BV243</f>
        <v>90033</v>
      </c>
      <c r="BX243" s="293">
        <f t="shared" ref="BX243" si="5391">BW243</f>
        <v>90033</v>
      </c>
      <c r="BY243" s="293">
        <f t="shared" ref="BY243" si="5392">BX243</f>
        <v>90033</v>
      </c>
      <c r="BZ243" s="293">
        <f>ROUND(BY243*(1+取值表!$D$12),0)</f>
        <v>98406</v>
      </c>
      <c r="CA243" s="293">
        <f t="shared" ref="CA243" si="5393">BZ243</f>
        <v>98406</v>
      </c>
      <c r="CB243" s="293">
        <f t="shared" ref="CB243" si="5394">CA243</f>
        <v>98406</v>
      </c>
      <c r="CC243" s="293">
        <f t="shared" ref="CC243" si="5395">CB243</f>
        <v>98406</v>
      </c>
      <c r="CD243" s="293">
        <f>ROUND(CC243*(1+取值表!$D$12),0)</f>
        <v>107558</v>
      </c>
      <c r="CE243" s="293">
        <f t="shared" ref="CE243" si="5396">CD243</f>
        <v>107558</v>
      </c>
      <c r="CF243" s="293">
        <f t="shared" ref="CF243" si="5397">CE243</f>
        <v>107558</v>
      </c>
      <c r="CG243" s="293">
        <f t="shared" ref="CG243" si="5398">CF243</f>
        <v>107558</v>
      </c>
      <c r="CH243" s="293">
        <f>ROUND(CG243*(1+取值表!$D$12),0)</f>
        <v>117561</v>
      </c>
      <c r="CI243" s="293">
        <f>CH243</f>
        <v>117561</v>
      </c>
      <c r="CJ243" s="293">
        <f t="shared" ref="CJ243" si="5399">CI243</f>
        <v>117561</v>
      </c>
      <c r="CK243" s="293">
        <f t="shared" ref="CK243" si="5400">CJ243</f>
        <v>117561</v>
      </c>
      <c r="CL243" s="293">
        <f>ROUND(CK243*(1+取值表!$D$12),0)</f>
        <v>128494</v>
      </c>
      <c r="CM243" s="293">
        <f>CL243</f>
        <v>128494</v>
      </c>
      <c r="CN243" s="293">
        <f t="shared" ref="CN243" si="5401">CM243</f>
        <v>128494</v>
      </c>
      <c r="CO243" s="293">
        <f t="shared" ref="CO243" si="5402">CN243</f>
        <v>128494</v>
      </c>
      <c r="CP243" s="293">
        <f t="shared" si="4294"/>
        <v>5112632</v>
      </c>
    </row>
    <row r="244" spans="1:212">
      <c r="A244" s="680"/>
      <c r="B244" s="645"/>
      <c r="C244" s="646"/>
      <c r="D244" s="647"/>
      <c r="E244" s="648"/>
      <c r="F244" s="642"/>
      <c r="G244" s="642"/>
      <c r="H244" s="643"/>
      <c r="I244" s="291"/>
      <c r="J244" s="295"/>
      <c r="K244" s="293"/>
      <c r="L244" s="293"/>
      <c r="M244" s="293"/>
      <c r="N244" s="293"/>
      <c r="O244" s="293"/>
      <c r="P244" s="293"/>
      <c r="Q244" s="293"/>
      <c r="R244" s="293"/>
      <c r="S244" s="293"/>
      <c r="T244" s="293"/>
      <c r="U244" s="293"/>
      <c r="V244" s="293"/>
      <c r="W244" s="293"/>
      <c r="X244" s="293"/>
      <c r="Y244" s="293"/>
      <c r="Z244" s="293"/>
      <c r="AA244" s="293"/>
      <c r="AB244" s="293"/>
      <c r="AC244" s="293"/>
      <c r="AD244" s="293"/>
      <c r="AE244" s="293"/>
      <c r="AF244" s="293"/>
      <c r="AG244" s="293"/>
      <c r="AH244" s="293"/>
      <c r="AI244" s="293"/>
      <c r="AJ244" s="293"/>
      <c r="AK244" s="293"/>
      <c r="AL244" s="293"/>
      <c r="AM244" s="293"/>
      <c r="AN244" s="293"/>
      <c r="AO244" s="293"/>
      <c r="AP244" s="293"/>
      <c r="AQ244" s="293"/>
      <c r="AR244" s="293"/>
      <c r="AS244" s="293"/>
      <c r="AT244" s="293"/>
      <c r="AU244" s="293"/>
      <c r="AV244" s="293"/>
      <c r="AW244" s="293"/>
      <c r="AX244" s="293"/>
      <c r="AY244" s="293"/>
      <c r="AZ244" s="293"/>
      <c r="BA244" s="293"/>
      <c r="BB244" s="293"/>
      <c r="BC244" s="293"/>
      <c r="BD244" s="293"/>
      <c r="BE244" s="293"/>
      <c r="BF244" s="293"/>
      <c r="BG244" s="293"/>
      <c r="BH244" s="293"/>
      <c r="BI244" s="293"/>
      <c r="BJ244" s="293"/>
      <c r="BK244" s="293"/>
      <c r="BL244" s="293"/>
      <c r="BM244" s="293"/>
      <c r="BN244" s="293"/>
      <c r="BO244" s="293"/>
      <c r="BP244" s="293"/>
      <c r="BQ244" s="293"/>
      <c r="BR244" s="293"/>
      <c r="BS244" s="293"/>
      <c r="BT244" s="293"/>
      <c r="BU244" s="293"/>
      <c r="BV244" s="293"/>
      <c r="BW244" s="293"/>
      <c r="BX244" s="293"/>
      <c r="BY244" s="293"/>
      <c r="BZ244" s="293"/>
      <c r="CA244" s="293"/>
      <c r="CB244" s="293"/>
      <c r="CC244" s="293"/>
      <c r="CD244" s="293"/>
      <c r="CE244" s="293"/>
      <c r="CF244" s="293"/>
      <c r="CG244" s="293"/>
      <c r="CH244" s="293"/>
      <c r="CI244" s="293"/>
      <c r="CJ244" s="293"/>
      <c r="CK244" s="293"/>
      <c r="CL244" s="293"/>
      <c r="CM244" s="293"/>
      <c r="CN244" s="293"/>
      <c r="CO244" s="293"/>
      <c r="CP244" s="293">
        <f t="shared" si="4294"/>
        <v>0</v>
      </c>
    </row>
    <row r="245" spans="1:212">
      <c r="A245" s="679">
        <v>123</v>
      </c>
      <c r="B245" s="645" t="s">
        <v>240</v>
      </c>
      <c r="C245" s="646" t="s">
        <v>13</v>
      </c>
      <c r="D245" s="647" t="s">
        <v>241</v>
      </c>
      <c r="E245" s="648" t="s">
        <v>486</v>
      </c>
      <c r="F245" s="642">
        <v>211</v>
      </c>
      <c r="G245" s="642">
        <v>12</v>
      </c>
      <c r="H245" s="643">
        <f>F245*G245*365</f>
        <v>924180</v>
      </c>
      <c r="I245" s="291">
        <v>256652.49</v>
      </c>
      <c r="J245" s="295">
        <f>ROUND(G245*F245*365/4,0)</f>
        <v>231045</v>
      </c>
      <c r="K245" s="292">
        <f>J245</f>
        <v>231045</v>
      </c>
      <c r="L245" s="293">
        <f>K245</f>
        <v>231045</v>
      </c>
      <c r="M245" s="293">
        <f>L245</f>
        <v>231045</v>
      </c>
      <c r="N245" s="293">
        <f>ROUND(M245*(1+取值表!$D$12)*取值表!$I$12,0)</f>
        <v>237633</v>
      </c>
      <c r="O245" s="293">
        <f>N245</f>
        <v>237633</v>
      </c>
      <c r="P245" s="293">
        <f>O245</f>
        <v>237633</v>
      </c>
      <c r="Q245" s="293">
        <f>P245</f>
        <v>237633</v>
      </c>
      <c r="R245" s="294">
        <f>ROUND(Q245*(1+取值表!$D$8),0)</f>
        <v>259733</v>
      </c>
      <c r="S245" s="293">
        <f t="shared" ref="S245:T245" si="5403">R245</f>
        <v>259733</v>
      </c>
      <c r="T245" s="293">
        <f t="shared" si="5403"/>
        <v>259733</v>
      </c>
      <c r="U245" s="293">
        <f>T245</f>
        <v>259733</v>
      </c>
      <c r="V245" s="293">
        <f>ROUND(U245*(1+取值表!$D$12),0)</f>
        <v>283888</v>
      </c>
      <c r="W245" s="293">
        <f t="shared" ref="W245:Y245" si="5404">V245</f>
        <v>283888</v>
      </c>
      <c r="X245" s="293">
        <f t="shared" si="5404"/>
        <v>283888</v>
      </c>
      <c r="Y245" s="293">
        <f t="shared" si="5404"/>
        <v>283888</v>
      </c>
      <c r="Z245" s="293">
        <f>ROUND(Y245*(1+取值表!$D$12),0)</f>
        <v>310290</v>
      </c>
      <c r="AA245" s="293">
        <f t="shared" ref="AA245" si="5405">Z245</f>
        <v>310290</v>
      </c>
      <c r="AB245" s="293">
        <f t="shared" ref="AB245" si="5406">AA245</f>
        <v>310290</v>
      </c>
      <c r="AC245" s="293">
        <f>AB245</f>
        <v>310290</v>
      </c>
      <c r="AD245" s="293">
        <f>ROUND(AC245*(1+取值表!$D$12),0)</f>
        <v>339147</v>
      </c>
      <c r="AE245" s="293">
        <f t="shared" ref="AE245" si="5407">AD245</f>
        <v>339147</v>
      </c>
      <c r="AF245" s="293">
        <f t="shared" ref="AF245" si="5408">AE245</f>
        <v>339147</v>
      </c>
      <c r="AG245" s="293">
        <f t="shared" ref="AG245" si="5409">AF245</f>
        <v>339147</v>
      </c>
      <c r="AH245" s="293">
        <f>ROUND(AG245*(1+取值表!$D$12),0)</f>
        <v>370688</v>
      </c>
      <c r="AI245" s="293">
        <f t="shared" ref="AI245" si="5410">AH245</f>
        <v>370688</v>
      </c>
      <c r="AJ245" s="293">
        <f t="shared" ref="AJ245" si="5411">AI245</f>
        <v>370688</v>
      </c>
      <c r="AK245" s="293">
        <f t="shared" ref="AK245" si="5412">AJ245</f>
        <v>370688</v>
      </c>
      <c r="AL245" s="293">
        <f>ROUND(AK245*(1+取值表!$D$12),0)</f>
        <v>405162</v>
      </c>
      <c r="AM245" s="293">
        <f t="shared" ref="AM245" si="5413">AL245</f>
        <v>405162</v>
      </c>
      <c r="AN245" s="293">
        <f t="shared" ref="AN245" si="5414">AM245</f>
        <v>405162</v>
      </c>
      <c r="AO245" s="293">
        <f t="shared" ref="AO245" si="5415">AN245</f>
        <v>405162</v>
      </c>
      <c r="AP245" s="293">
        <f>ROUND(AO245*(1+取值表!$D$12),0)</f>
        <v>442842</v>
      </c>
      <c r="AQ245" s="293">
        <f t="shared" ref="AQ245" si="5416">AP245</f>
        <v>442842</v>
      </c>
      <c r="AR245" s="293">
        <f t="shared" ref="AR245" si="5417">AQ245</f>
        <v>442842</v>
      </c>
      <c r="AS245" s="293">
        <f t="shared" ref="AS245" si="5418">AR245</f>
        <v>442842</v>
      </c>
      <c r="AT245" s="293">
        <f>ROUND(AS245*(1+取值表!$D$12),0)</f>
        <v>484026</v>
      </c>
      <c r="AU245" s="293">
        <f t="shared" ref="AU245" si="5419">AT245</f>
        <v>484026</v>
      </c>
      <c r="AV245" s="293">
        <f t="shared" ref="AV245" si="5420">AU245</f>
        <v>484026</v>
      </c>
      <c r="AW245" s="293">
        <f t="shared" ref="AW245" si="5421">AV245</f>
        <v>484026</v>
      </c>
      <c r="AX245" s="293">
        <f>ROUND(AW245*(1+取值表!$D$12),0)</f>
        <v>529040</v>
      </c>
      <c r="AY245" s="293">
        <f t="shared" ref="AY245" si="5422">AX245</f>
        <v>529040</v>
      </c>
      <c r="AZ245" s="293">
        <f t="shared" ref="AZ245" si="5423">AY245</f>
        <v>529040</v>
      </c>
      <c r="BA245" s="293">
        <f t="shared" ref="BA245" si="5424">AZ245</f>
        <v>529040</v>
      </c>
      <c r="BB245" s="293">
        <f>ROUND(BA245*(1+取值表!$D$12),0)</f>
        <v>578241</v>
      </c>
      <c r="BC245" s="293">
        <f>BB245</f>
        <v>578241</v>
      </c>
      <c r="BD245" s="293">
        <f t="shared" ref="BD245" si="5425">BC245</f>
        <v>578241</v>
      </c>
      <c r="BE245" s="293">
        <f>BD245</f>
        <v>578241</v>
      </c>
      <c r="BF245" s="293">
        <f>ROUND(BE245*(1+取值表!$D$12),0)</f>
        <v>632017</v>
      </c>
      <c r="BG245" s="293">
        <f>BF245</f>
        <v>632017</v>
      </c>
      <c r="BH245" s="293">
        <f t="shared" ref="BH245" si="5426">BG245</f>
        <v>632017</v>
      </c>
      <c r="BI245" s="293">
        <f t="shared" ref="BI245" si="5427">BH245</f>
        <v>632017</v>
      </c>
      <c r="BJ245" s="293">
        <f>ROUND(BI245*(1+取值表!$D$12),0)</f>
        <v>690795</v>
      </c>
      <c r="BK245" s="293">
        <f t="shared" ref="BK245" si="5428">BJ245</f>
        <v>690795</v>
      </c>
      <c r="BL245" s="293">
        <f t="shared" ref="BL245" si="5429">BK245</f>
        <v>690795</v>
      </c>
      <c r="BM245" s="293">
        <f t="shared" ref="BM245" si="5430">BL245</f>
        <v>690795</v>
      </c>
      <c r="BN245" s="293">
        <f>ROUND(BM245*(1+取值表!$D$12),0)</f>
        <v>755039</v>
      </c>
      <c r="BO245" s="293">
        <f t="shared" ref="BO245" si="5431">BN245</f>
        <v>755039</v>
      </c>
      <c r="BP245" s="293">
        <f t="shared" ref="BP245" si="5432">BO245</f>
        <v>755039</v>
      </c>
      <c r="BQ245" s="293">
        <f t="shared" ref="BQ245" si="5433">BP245</f>
        <v>755039</v>
      </c>
      <c r="BR245" s="293">
        <f>ROUND(BQ245*(1+取值表!$D$12),0)</f>
        <v>825258</v>
      </c>
      <c r="BS245" s="293">
        <f t="shared" ref="BS245" si="5434">BR245</f>
        <v>825258</v>
      </c>
      <c r="BT245" s="293">
        <f t="shared" ref="BT245" si="5435">BS245</f>
        <v>825258</v>
      </c>
      <c r="BU245" s="293">
        <f t="shared" ref="BU245" si="5436">BT245</f>
        <v>825258</v>
      </c>
      <c r="BV245" s="293">
        <f>ROUND(BU245*(1+取值表!$D$12),0)</f>
        <v>902007</v>
      </c>
      <c r="BW245" s="293">
        <f t="shared" ref="BW245" si="5437">BV245</f>
        <v>902007</v>
      </c>
      <c r="BX245" s="293">
        <f t="shared" ref="BX245" si="5438">BW245</f>
        <v>902007</v>
      </c>
      <c r="BY245" s="293">
        <f t="shared" ref="BY245" si="5439">BX245</f>
        <v>902007</v>
      </c>
      <c r="BZ245" s="293">
        <f>ROUND(BY245*(1+取值表!$D$12),0)</f>
        <v>985894</v>
      </c>
      <c r="CA245" s="293">
        <f t="shared" ref="CA245" si="5440">BZ245</f>
        <v>985894</v>
      </c>
      <c r="CB245" s="293">
        <f t="shared" ref="CB245" si="5441">CA245</f>
        <v>985894</v>
      </c>
      <c r="CC245" s="293">
        <f t="shared" ref="CC245" si="5442">CB245</f>
        <v>985894</v>
      </c>
      <c r="CD245" s="293">
        <f>ROUND(CC245*(1+取值表!$D$12),0)</f>
        <v>1077582</v>
      </c>
      <c r="CE245" s="293">
        <f t="shared" ref="CE245" si="5443">CD245</f>
        <v>1077582</v>
      </c>
      <c r="CF245" s="293">
        <f t="shared" ref="CF245" si="5444">CE245</f>
        <v>1077582</v>
      </c>
      <c r="CG245" s="293">
        <f t="shared" ref="CG245" si="5445">CF245</f>
        <v>1077582</v>
      </c>
      <c r="CH245" s="293">
        <f>ROUND(CG245*(1+取值表!$D$12),0)</f>
        <v>1177797</v>
      </c>
      <c r="CI245" s="293">
        <f>CH245</f>
        <v>1177797</v>
      </c>
      <c r="CJ245" s="293">
        <f t="shared" ref="CJ245" si="5446">CI245</f>
        <v>1177797</v>
      </c>
      <c r="CK245" s="293">
        <f t="shared" ref="CK245" si="5447">CJ245</f>
        <v>1177797</v>
      </c>
      <c r="CL245" s="293">
        <f>ROUND(CK245*(1+取值表!$D$12),0)</f>
        <v>1287332</v>
      </c>
      <c r="CM245" s="293">
        <f>CL245</f>
        <v>1287332</v>
      </c>
      <c r="CN245" s="293">
        <f t="shared" ref="CN245" si="5448">CM245</f>
        <v>1287332</v>
      </c>
      <c r="CO245" s="293">
        <f t="shared" ref="CO245" si="5449">CN245</f>
        <v>1287332</v>
      </c>
      <c r="CP245" s="293">
        <f t="shared" si="4294"/>
        <v>51221824</v>
      </c>
    </row>
    <row r="246" spans="1:212">
      <c r="A246" s="680"/>
      <c r="B246" s="645"/>
      <c r="C246" s="646"/>
      <c r="D246" s="647"/>
      <c r="E246" s="648"/>
      <c r="F246" s="642"/>
      <c r="G246" s="642"/>
      <c r="H246" s="643"/>
      <c r="I246" s="291"/>
      <c r="J246" s="295"/>
      <c r="K246" s="293"/>
      <c r="L246" s="293"/>
      <c r="M246" s="293"/>
      <c r="N246" s="293"/>
      <c r="O246" s="293"/>
      <c r="P246" s="293"/>
      <c r="Q246" s="293"/>
      <c r="R246" s="293"/>
      <c r="S246" s="293"/>
      <c r="T246" s="293"/>
      <c r="U246" s="293"/>
      <c r="V246" s="293"/>
      <c r="W246" s="293"/>
      <c r="X246" s="293"/>
      <c r="Y246" s="293"/>
      <c r="Z246" s="293"/>
      <c r="AA246" s="293"/>
      <c r="AB246" s="293"/>
      <c r="AC246" s="293"/>
      <c r="AD246" s="293"/>
      <c r="AE246" s="293"/>
      <c r="AF246" s="293"/>
      <c r="AG246" s="293"/>
      <c r="AH246" s="293"/>
      <c r="AI246" s="293"/>
      <c r="AJ246" s="293"/>
      <c r="AK246" s="293"/>
      <c r="AL246" s="293"/>
      <c r="AM246" s="293"/>
      <c r="AN246" s="293"/>
      <c r="AO246" s="293"/>
      <c r="AP246" s="293"/>
      <c r="AQ246" s="293"/>
      <c r="AR246" s="293"/>
      <c r="AS246" s="293"/>
      <c r="AT246" s="293"/>
      <c r="AU246" s="293"/>
      <c r="AV246" s="293"/>
      <c r="AW246" s="293"/>
      <c r="AX246" s="293"/>
      <c r="AY246" s="293"/>
      <c r="AZ246" s="293"/>
      <c r="BA246" s="293"/>
      <c r="BB246" s="293"/>
      <c r="BC246" s="293"/>
      <c r="BD246" s="293"/>
      <c r="BE246" s="293"/>
      <c r="BF246" s="293"/>
      <c r="BG246" s="293"/>
      <c r="BH246" s="293"/>
      <c r="BI246" s="293"/>
      <c r="BJ246" s="293"/>
      <c r="BK246" s="293"/>
      <c r="BL246" s="293"/>
      <c r="BM246" s="293"/>
      <c r="BN246" s="293"/>
      <c r="BO246" s="293"/>
      <c r="BP246" s="293"/>
      <c r="BQ246" s="293"/>
      <c r="BR246" s="293"/>
      <c r="BS246" s="293"/>
      <c r="BT246" s="293"/>
      <c r="BU246" s="293"/>
      <c r="BV246" s="293"/>
      <c r="BW246" s="293"/>
      <c r="BX246" s="293"/>
      <c r="BY246" s="293"/>
      <c r="BZ246" s="293"/>
      <c r="CA246" s="293"/>
      <c r="CB246" s="293"/>
      <c r="CC246" s="293"/>
      <c r="CD246" s="293"/>
      <c r="CE246" s="293"/>
      <c r="CF246" s="293"/>
      <c r="CG246" s="293"/>
      <c r="CH246" s="293"/>
      <c r="CI246" s="293"/>
      <c r="CJ246" s="293"/>
      <c r="CK246" s="293"/>
      <c r="CL246" s="293"/>
      <c r="CM246" s="293"/>
      <c r="CN246" s="293"/>
      <c r="CO246" s="293"/>
      <c r="CP246" s="293">
        <f t="shared" si="4294"/>
        <v>0</v>
      </c>
    </row>
    <row r="247" spans="1:212">
      <c r="A247" s="679">
        <v>124</v>
      </c>
      <c r="B247" s="645" t="s">
        <v>242</v>
      </c>
      <c r="C247" s="646" t="s">
        <v>243</v>
      </c>
      <c r="D247" s="647" t="s">
        <v>503</v>
      </c>
      <c r="E247" s="648" t="s">
        <v>486</v>
      </c>
      <c r="F247" s="642">
        <v>23.76</v>
      </c>
      <c r="G247" s="642">
        <v>22</v>
      </c>
      <c r="H247" s="643">
        <f>F247*G247*365</f>
        <v>190792.80000000002</v>
      </c>
      <c r="I247" s="291">
        <v>47698.2</v>
      </c>
      <c r="J247" s="295">
        <f>ROUND(G247*F247*365/4,0)</f>
        <v>47698</v>
      </c>
      <c r="K247" s="292">
        <f>J247</f>
        <v>47698</v>
      </c>
      <c r="L247" s="293">
        <f>K247</f>
        <v>47698</v>
      </c>
      <c r="M247" s="293">
        <f>L247</f>
        <v>47698</v>
      </c>
      <c r="N247" s="293">
        <f>ROUND(M247*(1+取值表!$D$12)*取值表!$I$12,0)</f>
        <v>49058</v>
      </c>
      <c r="O247" s="293">
        <f>N247</f>
        <v>49058</v>
      </c>
      <c r="P247" s="293">
        <f>O247</f>
        <v>49058</v>
      </c>
      <c r="Q247" s="293">
        <f>P247</f>
        <v>49058</v>
      </c>
      <c r="R247" s="294">
        <f>ROUND(Q247*(1+取值表!$D$8),0)</f>
        <v>53620</v>
      </c>
      <c r="S247" s="293">
        <f t="shared" ref="S247:T247" si="5450">R247</f>
        <v>53620</v>
      </c>
      <c r="T247" s="293">
        <f t="shared" si="5450"/>
        <v>53620</v>
      </c>
      <c r="U247" s="293">
        <f>T247</f>
        <v>53620</v>
      </c>
      <c r="V247" s="293">
        <f>ROUND(U247*(1+取值表!$D$12),0)</f>
        <v>58607</v>
      </c>
      <c r="W247" s="293">
        <f t="shared" ref="W247:Y247" si="5451">V247</f>
        <v>58607</v>
      </c>
      <c r="X247" s="293">
        <f t="shared" si="5451"/>
        <v>58607</v>
      </c>
      <c r="Y247" s="293">
        <f t="shared" si="5451"/>
        <v>58607</v>
      </c>
      <c r="Z247" s="293">
        <f>ROUND(Y247*(1+取值表!$D$12),0)</f>
        <v>64057</v>
      </c>
      <c r="AA247" s="293">
        <f t="shared" ref="AA247" si="5452">Z247</f>
        <v>64057</v>
      </c>
      <c r="AB247" s="293">
        <f t="shared" ref="AB247" si="5453">AA247</f>
        <v>64057</v>
      </c>
      <c r="AC247" s="293">
        <f>AB247</f>
        <v>64057</v>
      </c>
      <c r="AD247" s="293">
        <f>ROUND(AC247*(1+取值表!$D$12),0)</f>
        <v>70014</v>
      </c>
      <c r="AE247" s="293">
        <f t="shared" ref="AE247" si="5454">AD247</f>
        <v>70014</v>
      </c>
      <c r="AF247" s="293">
        <f t="shared" ref="AF247" si="5455">AE247</f>
        <v>70014</v>
      </c>
      <c r="AG247" s="293">
        <f t="shared" ref="AG247" si="5456">AF247</f>
        <v>70014</v>
      </c>
      <c r="AH247" s="293">
        <f>ROUND(AG247*(1+取值表!$D$12),0)</f>
        <v>76525</v>
      </c>
      <c r="AI247" s="293">
        <f t="shared" ref="AI247" si="5457">AH247</f>
        <v>76525</v>
      </c>
      <c r="AJ247" s="293">
        <f t="shared" ref="AJ247" si="5458">AI247</f>
        <v>76525</v>
      </c>
      <c r="AK247" s="293">
        <f t="shared" ref="AK247" si="5459">AJ247</f>
        <v>76525</v>
      </c>
      <c r="AL247" s="293">
        <f>ROUND(AK247*(1+取值表!$D$12),0)</f>
        <v>83642</v>
      </c>
      <c r="AM247" s="293">
        <f t="shared" ref="AM247" si="5460">AL247</f>
        <v>83642</v>
      </c>
      <c r="AN247" s="293">
        <f t="shared" ref="AN247" si="5461">AM247</f>
        <v>83642</v>
      </c>
      <c r="AO247" s="293">
        <f t="shared" ref="AO247" si="5462">AN247</f>
        <v>83642</v>
      </c>
      <c r="AP247" s="293">
        <f>ROUND(AO247*(1+取值表!$D$12),0)</f>
        <v>91421</v>
      </c>
      <c r="AQ247" s="293">
        <f t="shared" ref="AQ247" si="5463">AP247</f>
        <v>91421</v>
      </c>
      <c r="AR247" s="293">
        <f t="shared" ref="AR247" si="5464">AQ247</f>
        <v>91421</v>
      </c>
      <c r="AS247" s="293">
        <f t="shared" ref="AS247" si="5465">AR247</f>
        <v>91421</v>
      </c>
      <c r="AT247" s="293">
        <f>ROUND(AS247*(1+取值表!$D$12),0)</f>
        <v>99923</v>
      </c>
      <c r="AU247" s="293">
        <f t="shared" ref="AU247" si="5466">AT247</f>
        <v>99923</v>
      </c>
      <c r="AV247" s="293">
        <f t="shared" ref="AV247" si="5467">AU247</f>
        <v>99923</v>
      </c>
      <c r="AW247" s="293">
        <f t="shared" ref="AW247" si="5468">AV247</f>
        <v>99923</v>
      </c>
      <c r="AX247" s="293">
        <f>ROUND(AW247*(1+取值表!$D$12),0)</f>
        <v>109216</v>
      </c>
      <c r="AY247" s="293">
        <f t="shared" ref="AY247" si="5469">AX247</f>
        <v>109216</v>
      </c>
      <c r="AZ247" s="293">
        <f t="shared" ref="AZ247" si="5470">AY247</f>
        <v>109216</v>
      </c>
      <c r="BA247" s="293">
        <f t="shared" ref="BA247" si="5471">AZ247</f>
        <v>109216</v>
      </c>
      <c r="BB247" s="293">
        <f>ROUND(BA247*(1+取值表!$D$12),0)</f>
        <v>119373</v>
      </c>
      <c r="BC247" s="293">
        <f>BB247</f>
        <v>119373</v>
      </c>
      <c r="BD247" s="293">
        <f t="shared" ref="BD247" si="5472">BC247</f>
        <v>119373</v>
      </c>
      <c r="BE247" s="293">
        <f>BD247</f>
        <v>119373</v>
      </c>
      <c r="BF247" s="293">
        <f>ROUND(BE247*(1+取值表!$D$12),0)</f>
        <v>130475</v>
      </c>
      <c r="BG247" s="293">
        <f>BF247</f>
        <v>130475</v>
      </c>
      <c r="BH247" s="293">
        <f t="shared" ref="BH247" si="5473">BG247</f>
        <v>130475</v>
      </c>
      <c r="BI247" s="293">
        <f t="shared" ref="BI247" si="5474">BH247</f>
        <v>130475</v>
      </c>
      <c r="BJ247" s="293">
        <f>ROUND(BI247*(1+取值表!$D$12),0)</f>
        <v>142609</v>
      </c>
      <c r="BK247" s="293">
        <f t="shared" ref="BK247" si="5475">BJ247</f>
        <v>142609</v>
      </c>
      <c r="BL247" s="293">
        <f t="shared" ref="BL247" si="5476">BK247</f>
        <v>142609</v>
      </c>
      <c r="BM247" s="293">
        <f t="shared" ref="BM247" si="5477">BL247</f>
        <v>142609</v>
      </c>
      <c r="BN247" s="293">
        <f>ROUND(BM247*(1+取值表!$D$12),0)</f>
        <v>155872</v>
      </c>
      <c r="BO247" s="293">
        <f t="shared" ref="BO247" si="5478">BN247</f>
        <v>155872</v>
      </c>
      <c r="BP247" s="293">
        <f t="shared" ref="BP247" si="5479">BO247</f>
        <v>155872</v>
      </c>
      <c r="BQ247" s="293">
        <f t="shared" ref="BQ247" si="5480">BP247</f>
        <v>155872</v>
      </c>
      <c r="BR247" s="293">
        <f>ROUND(BQ247*(1+取值表!$D$12),0)</f>
        <v>170368</v>
      </c>
      <c r="BS247" s="293">
        <f t="shared" ref="BS247" si="5481">BR247</f>
        <v>170368</v>
      </c>
      <c r="BT247" s="293">
        <f t="shared" ref="BT247" si="5482">BS247</f>
        <v>170368</v>
      </c>
      <c r="BU247" s="293">
        <f t="shared" ref="BU247" si="5483">BT247</f>
        <v>170368</v>
      </c>
      <c r="BV247" s="293">
        <f>ROUND(BU247*(1+取值表!$D$12),0)</f>
        <v>186212</v>
      </c>
      <c r="BW247" s="293">
        <f t="shared" ref="BW247" si="5484">BV247</f>
        <v>186212</v>
      </c>
      <c r="BX247" s="293">
        <f t="shared" ref="BX247" si="5485">BW247</f>
        <v>186212</v>
      </c>
      <c r="BY247" s="293">
        <f t="shared" ref="BY247" si="5486">BX247</f>
        <v>186212</v>
      </c>
      <c r="BZ247" s="293">
        <f>ROUND(BY247*(1+取值表!$D$12),0)</f>
        <v>203530</v>
      </c>
      <c r="CA247" s="293">
        <f t="shared" ref="CA247" si="5487">BZ247</f>
        <v>203530</v>
      </c>
      <c r="CB247" s="293">
        <f t="shared" ref="CB247" si="5488">CA247</f>
        <v>203530</v>
      </c>
      <c r="CC247" s="293">
        <f t="shared" ref="CC247" si="5489">CB247</f>
        <v>203530</v>
      </c>
      <c r="CD247" s="293">
        <f>ROUND(CC247*(1+取值表!$D$12),0)</f>
        <v>222458</v>
      </c>
      <c r="CE247" s="293">
        <f t="shared" ref="CE247" si="5490">CD247</f>
        <v>222458</v>
      </c>
      <c r="CF247" s="293">
        <f t="shared" ref="CF247" si="5491">CE247</f>
        <v>222458</v>
      </c>
      <c r="CG247" s="293">
        <f t="shared" ref="CG247" si="5492">CF247</f>
        <v>222458</v>
      </c>
      <c r="CH247" s="293">
        <f>ROUND(CG247*(1+取值表!$D$12),0)</f>
        <v>243147</v>
      </c>
      <c r="CI247" s="293">
        <f>CH247</f>
        <v>243147</v>
      </c>
      <c r="CJ247" s="293">
        <f t="shared" ref="CJ247" si="5493">CI247</f>
        <v>243147</v>
      </c>
      <c r="CK247" s="293">
        <f t="shared" ref="CK247" si="5494">CJ247</f>
        <v>243147</v>
      </c>
      <c r="CL247" s="293">
        <f>ROUND(CK247*(1+取值表!$D$12),0)</f>
        <v>265760</v>
      </c>
      <c r="CM247" s="293">
        <f>CL247</f>
        <v>265760</v>
      </c>
      <c r="CN247" s="293">
        <f t="shared" ref="CN247" si="5495">CM247</f>
        <v>265760</v>
      </c>
      <c r="CO247" s="293">
        <f t="shared" ref="CO247" si="5496">CN247</f>
        <v>265760</v>
      </c>
      <c r="CP247" s="293">
        <f t="shared" si="4294"/>
        <v>10574340</v>
      </c>
    </row>
    <row r="248" spans="1:212">
      <c r="A248" s="680"/>
      <c r="B248" s="645"/>
      <c r="C248" s="646"/>
      <c r="D248" s="647"/>
      <c r="E248" s="648"/>
      <c r="F248" s="642"/>
      <c r="G248" s="642"/>
      <c r="H248" s="643"/>
      <c r="I248" s="291"/>
      <c r="J248" s="295"/>
      <c r="K248" s="293"/>
      <c r="L248" s="293"/>
      <c r="M248" s="293"/>
      <c r="N248" s="293"/>
      <c r="O248" s="293"/>
      <c r="P248" s="293"/>
      <c r="Q248" s="293"/>
      <c r="R248" s="293"/>
      <c r="S248" s="293"/>
      <c r="T248" s="293"/>
      <c r="U248" s="293"/>
      <c r="V248" s="293"/>
      <c r="W248" s="293"/>
      <c r="X248" s="293"/>
      <c r="Y248" s="293"/>
      <c r="Z248" s="293"/>
      <c r="AA248" s="293"/>
      <c r="AB248" s="293"/>
      <c r="AC248" s="293"/>
      <c r="AD248" s="293"/>
      <c r="AE248" s="293"/>
      <c r="AF248" s="293"/>
      <c r="AG248" s="293"/>
      <c r="AH248" s="293"/>
      <c r="AI248" s="293"/>
      <c r="AJ248" s="293"/>
      <c r="AK248" s="293"/>
      <c r="AL248" s="293"/>
      <c r="AM248" s="293"/>
      <c r="AN248" s="293"/>
      <c r="AO248" s="293"/>
      <c r="AP248" s="293"/>
      <c r="AQ248" s="293"/>
      <c r="AR248" s="293"/>
      <c r="AS248" s="293"/>
      <c r="AT248" s="293"/>
      <c r="AU248" s="293"/>
      <c r="AV248" s="293"/>
      <c r="AW248" s="293"/>
      <c r="AX248" s="293"/>
      <c r="AY248" s="293"/>
      <c r="AZ248" s="293"/>
      <c r="BA248" s="293"/>
      <c r="BB248" s="293"/>
      <c r="BC248" s="293"/>
      <c r="BD248" s="293"/>
      <c r="BE248" s="293"/>
      <c r="BF248" s="293"/>
      <c r="BG248" s="293"/>
      <c r="BH248" s="293"/>
      <c r="BI248" s="293"/>
      <c r="BJ248" s="293"/>
      <c r="BK248" s="293"/>
      <c r="BL248" s="293"/>
      <c r="BM248" s="293"/>
      <c r="BN248" s="293"/>
      <c r="BO248" s="293"/>
      <c r="BP248" s="293"/>
      <c r="BQ248" s="293"/>
      <c r="BR248" s="293"/>
      <c r="BS248" s="293"/>
      <c r="BT248" s="293"/>
      <c r="BU248" s="293"/>
      <c r="BV248" s="293"/>
      <c r="BW248" s="293"/>
      <c r="BX248" s="293"/>
      <c r="BY248" s="293"/>
      <c r="BZ248" s="293"/>
      <c r="CA248" s="293"/>
      <c r="CB248" s="293"/>
      <c r="CC248" s="293"/>
      <c r="CD248" s="293"/>
      <c r="CE248" s="293"/>
      <c r="CF248" s="293"/>
      <c r="CG248" s="293"/>
      <c r="CH248" s="293"/>
      <c r="CI248" s="293"/>
      <c r="CJ248" s="293"/>
      <c r="CK248" s="293"/>
      <c r="CL248" s="293"/>
      <c r="CM248" s="293"/>
      <c r="CN248" s="293"/>
      <c r="CO248" s="293"/>
      <c r="CP248" s="293">
        <f t="shared" si="4294"/>
        <v>0</v>
      </c>
    </row>
    <row r="249" spans="1:212">
      <c r="A249" s="679">
        <v>125</v>
      </c>
      <c r="B249" s="645" t="s">
        <v>244</v>
      </c>
      <c r="C249" s="646" t="s">
        <v>245</v>
      </c>
      <c r="D249" s="647" t="s">
        <v>400</v>
      </c>
      <c r="E249" s="648" t="s">
        <v>486</v>
      </c>
      <c r="F249" s="642">
        <v>25.92</v>
      </c>
      <c r="G249" s="642">
        <v>25</v>
      </c>
      <c r="H249" s="643">
        <f>F249*G249*365</f>
        <v>236520</v>
      </c>
      <c r="I249" s="291">
        <v>59130</v>
      </c>
      <c r="J249" s="295">
        <f>ROUND(G249*F249*365/4,0)</f>
        <v>59130</v>
      </c>
      <c r="K249" s="292">
        <f>J249</f>
        <v>59130</v>
      </c>
      <c r="L249" s="293">
        <f>K249</f>
        <v>59130</v>
      </c>
      <c r="M249" s="293">
        <f>L249</f>
        <v>59130</v>
      </c>
      <c r="N249" s="293">
        <f>ROUND(M249*(1+取值表!$D$12)*取值表!$I$12,0)</f>
        <v>60816</v>
      </c>
      <c r="O249" s="293">
        <f>N249</f>
        <v>60816</v>
      </c>
      <c r="P249" s="293">
        <f>O249</f>
        <v>60816</v>
      </c>
      <c r="Q249" s="293">
        <f>P249</f>
        <v>60816</v>
      </c>
      <c r="R249" s="294">
        <f>ROUND(Q249*(1+取值表!$D$8),0)</f>
        <v>66472</v>
      </c>
      <c r="S249" s="293">
        <f t="shared" ref="S249:T249" si="5497">R249</f>
        <v>66472</v>
      </c>
      <c r="T249" s="293">
        <f t="shared" si="5497"/>
        <v>66472</v>
      </c>
      <c r="U249" s="293">
        <f>T249</f>
        <v>66472</v>
      </c>
      <c r="V249" s="293">
        <f>ROUND(U249*(1+取值表!$D$12),0)</f>
        <v>72654</v>
      </c>
      <c r="W249" s="293">
        <f t="shared" ref="W249:Y249" si="5498">V249</f>
        <v>72654</v>
      </c>
      <c r="X249" s="293">
        <f t="shared" si="5498"/>
        <v>72654</v>
      </c>
      <c r="Y249" s="293">
        <f t="shared" si="5498"/>
        <v>72654</v>
      </c>
      <c r="Z249" s="293">
        <f>ROUND(Y249*(1+取值表!$D$12),0)</f>
        <v>79411</v>
      </c>
      <c r="AA249" s="293">
        <f t="shared" ref="AA249" si="5499">Z249</f>
        <v>79411</v>
      </c>
      <c r="AB249" s="293">
        <f t="shared" ref="AB249" si="5500">AA249</f>
        <v>79411</v>
      </c>
      <c r="AC249" s="293">
        <f>AB249</f>
        <v>79411</v>
      </c>
      <c r="AD249" s="293">
        <f>ROUND(AC249*(1+取值表!$D$12),0)</f>
        <v>86796</v>
      </c>
      <c r="AE249" s="293">
        <f t="shared" ref="AE249" si="5501">AD249</f>
        <v>86796</v>
      </c>
      <c r="AF249" s="293">
        <f t="shared" ref="AF249" si="5502">AE249</f>
        <v>86796</v>
      </c>
      <c r="AG249" s="293">
        <f t="shared" ref="AG249" si="5503">AF249</f>
        <v>86796</v>
      </c>
      <c r="AH249" s="293">
        <f>ROUND(AG249*(1+取值表!$D$12),0)</f>
        <v>94868</v>
      </c>
      <c r="AI249" s="293">
        <f t="shared" ref="AI249" si="5504">AH249</f>
        <v>94868</v>
      </c>
      <c r="AJ249" s="293">
        <f t="shared" ref="AJ249" si="5505">AI249</f>
        <v>94868</v>
      </c>
      <c r="AK249" s="293">
        <f t="shared" ref="AK249" si="5506">AJ249</f>
        <v>94868</v>
      </c>
      <c r="AL249" s="293">
        <f>ROUND(AK249*(1+取值表!$D$12),0)</f>
        <v>103691</v>
      </c>
      <c r="AM249" s="293">
        <f t="shared" ref="AM249" si="5507">AL249</f>
        <v>103691</v>
      </c>
      <c r="AN249" s="293">
        <f t="shared" ref="AN249" si="5508">AM249</f>
        <v>103691</v>
      </c>
      <c r="AO249" s="293">
        <f t="shared" ref="AO249" si="5509">AN249</f>
        <v>103691</v>
      </c>
      <c r="AP249" s="293">
        <f>ROUND(AO249*(1+取值表!$D$12),0)</f>
        <v>113334</v>
      </c>
      <c r="AQ249" s="293">
        <f t="shared" ref="AQ249" si="5510">AP249</f>
        <v>113334</v>
      </c>
      <c r="AR249" s="293">
        <f t="shared" ref="AR249" si="5511">AQ249</f>
        <v>113334</v>
      </c>
      <c r="AS249" s="293">
        <f t="shared" ref="AS249" si="5512">AR249</f>
        <v>113334</v>
      </c>
      <c r="AT249" s="293">
        <f>ROUND(AS249*(1+取值表!$D$12),0)</f>
        <v>123874</v>
      </c>
      <c r="AU249" s="293">
        <f t="shared" ref="AU249" si="5513">AT249</f>
        <v>123874</v>
      </c>
      <c r="AV249" s="293">
        <f t="shared" ref="AV249" si="5514">AU249</f>
        <v>123874</v>
      </c>
      <c r="AW249" s="293">
        <f t="shared" ref="AW249" si="5515">AV249</f>
        <v>123874</v>
      </c>
      <c r="AX249" s="293">
        <f>ROUND(AW249*(1+取值表!$D$12),0)</f>
        <v>135394</v>
      </c>
      <c r="AY249" s="293">
        <f t="shared" ref="AY249" si="5516">AX249</f>
        <v>135394</v>
      </c>
      <c r="AZ249" s="293">
        <f t="shared" ref="AZ249" si="5517">AY249</f>
        <v>135394</v>
      </c>
      <c r="BA249" s="293">
        <f t="shared" ref="BA249" si="5518">AZ249</f>
        <v>135394</v>
      </c>
      <c r="BB249" s="293">
        <f>ROUND(BA249*(1+取值表!$D$12),0)</f>
        <v>147986</v>
      </c>
      <c r="BC249" s="293">
        <f>BB249</f>
        <v>147986</v>
      </c>
      <c r="BD249" s="293">
        <f t="shared" ref="BD249" si="5519">BC249</f>
        <v>147986</v>
      </c>
      <c r="BE249" s="293">
        <f>BD249</f>
        <v>147986</v>
      </c>
      <c r="BF249" s="293">
        <f>ROUND(BE249*(1+取值表!$D$12),0)</f>
        <v>161749</v>
      </c>
      <c r="BG249" s="293">
        <f>BF249</f>
        <v>161749</v>
      </c>
      <c r="BH249" s="293">
        <f t="shared" ref="BH249" si="5520">BG249</f>
        <v>161749</v>
      </c>
      <c r="BI249" s="293">
        <f t="shared" ref="BI249" si="5521">BH249</f>
        <v>161749</v>
      </c>
      <c r="BJ249" s="293">
        <f>ROUND(BI249*(1+取值表!$D$12),0)</f>
        <v>176792</v>
      </c>
      <c r="BK249" s="293">
        <f t="shared" ref="BK249" si="5522">BJ249</f>
        <v>176792</v>
      </c>
      <c r="BL249" s="293">
        <f t="shared" ref="BL249" si="5523">BK249</f>
        <v>176792</v>
      </c>
      <c r="BM249" s="293">
        <f t="shared" ref="BM249" si="5524">BL249</f>
        <v>176792</v>
      </c>
      <c r="BN249" s="293">
        <f>ROUND(BM249*(1+取值表!$D$12),0)</f>
        <v>193234</v>
      </c>
      <c r="BO249" s="293">
        <f t="shared" ref="BO249" si="5525">BN249</f>
        <v>193234</v>
      </c>
      <c r="BP249" s="293">
        <f t="shared" ref="BP249" si="5526">BO249</f>
        <v>193234</v>
      </c>
      <c r="BQ249" s="293">
        <f t="shared" ref="BQ249" si="5527">BP249</f>
        <v>193234</v>
      </c>
      <c r="BR249" s="293">
        <f>ROUND(BQ249*(1+取值表!$D$12),0)</f>
        <v>211205</v>
      </c>
      <c r="BS249" s="293">
        <f t="shared" ref="BS249" si="5528">BR249</f>
        <v>211205</v>
      </c>
      <c r="BT249" s="293">
        <f t="shared" ref="BT249" si="5529">BS249</f>
        <v>211205</v>
      </c>
      <c r="BU249" s="293">
        <f t="shared" ref="BU249" si="5530">BT249</f>
        <v>211205</v>
      </c>
      <c r="BV249" s="293">
        <f>ROUND(BU249*(1+取值表!$D$12),0)</f>
        <v>230847</v>
      </c>
      <c r="BW249" s="293">
        <f t="shared" ref="BW249" si="5531">BV249</f>
        <v>230847</v>
      </c>
      <c r="BX249" s="293">
        <f t="shared" ref="BX249" si="5532">BW249</f>
        <v>230847</v>
      </c>
      <c r="BY249" s="293">
        <f t="shared" ref="BY249" si="5533">BX249</f>
        <v>230847</v>
      </c>
      <c r="BZ249" s="293">
        <f>ROUND(BY249*(1+取值表!$D$12),0)</f>
        <v>252316</v>
      </c>
      <c r="CA249" s="293">
        <f t="shared" ref="CA249" si="5534">BZ249</f>
        <v>252316</v>
      </c>
      <c r="CB249" s="293">
        <f t="shared" ref="CB249" si="5535">CA249</f>
        <v>252316</v>
      </c>
      <c r="CC249" s="293">
        <f t="shared" ref="CC249" si="5536">CB249</f>
        <v>252316</v>
      </c>
      <c r="CD249" s="293">
        <f>ROUND(CC249*(1+取值表!$D$12),0)</f>
        <v>275781</v>
      </c>
      <c r="CE249" s="293">
        <f t="shared" ref="CE249" si="5537">CD249</f>
        <v>275781</v>
      </c>
      <c r="CF249" s="293">
        <f t="shared" ref="CF249" si="5538">CE249</f>
        <v>275781</v>
      </c>
      <c r="CG249" s="293">
        <f t="shared" ref="CG249" si="5539">CF249</f>
        <v>275781</v>
      </c>
      <c r="CH249" s="293">
        <f>ROUND(CG249*(1+取值表!$D$12),0)</f>
        <v>301429</v>
      </c>
      <c r="CI249" s="293">
        <f>CH249</f>
        <v>301429</v>
      </c>
      <c r="CJ249" s="293">
        <f t="shared" ref="CJ249" si="5540">CI249</f>
        <v>301429</v>
      </c>
      <c r="CK249" s="293">
        <f t="shared" ref="CK249" si="5541">CJ249</f>
        <v>301429</v>
      </c>
      <c r="CL249" s="293">
        <f>ROUND(CK249*(1+取值表!$D$12),0)</f>
        <v>329462</v>
      </c>
      <c r="CM249" s="293">
        <f>CL249</f>
        <v>329462</v>
      </c>
      <c r="CN249" s="293">
        <f t="shared" ref="CN249" si="5542">CM249</f>
        <v>329462</v>
      </c>
      <c r="CO249" s="293">
        <f t="shared" ref="CO249" si="5543">CN249</f>
        <v>329462</v>
      </c>
      <c r="CP249" s="293">
        <f t="shared" si="4294"/>
        <v>13108964</v>
      </c>
    </row>
    <row r="250" spans="1:212">
      <c r="A250" s="680"/>
      <c r="B250" s="645"/>
      <c r="C250" s="646"/>
      <c r="D250" s="647"/>
      <c r="E250" s="648"/>
      <c r="F250" s="642"/>
      <c r="G250" s="642"/>
      <c r="H250" s="643"/>
      <c r="I250" s="291"/>
      <c r="J250" s="295"/>
      <c r="K250" s="293"/>
      <c r="L250" s="293"/>
      <c r="M250" s="293"/>
      <c r="N250" s="293"/>
      <c r="O250" s="293"/>
      <c r="P250" s="293"/>
      <c r="Q250" s="293"/>
      <c r="R250" s="293"/>
      <c r="S250" s="293"/>
      <c r="T250" s="293"/>
      <c r="U250" s="293"/>
      <c r="V250" s="293"/>
      <c r="W250" s="293"/>
      <c r="X250" s="293"/>
      <c r="Y250" s="293"/>
      <c r="Z250" s="293"/>
      <c r="AA250" s="293"/>
      <c r="AB250" s="293"/>
      <c r="AC250" s="293"/>
      <c r="AD250" s="293"/>
      <c r="AE250" s="293"/>
      <c r="AF250" s="293"/>
      <c r="AG250" s="293"/>
      <c r="AH250" s="293"/>
      <c r="AI250" s="293"/>
      <c r="AJ250" s="293"/>
      <c r="AK250" s="293"/>
      <c r="AL250" s="293"/>
      <c r="AM250" s="293"/>
      <c r="AN250" s="293"/>
      <c r="AO250" s="293"/>
      <c r="AP250" s="293"/>
      <c r="AQ250" s="293"/>
      <c r="AR250" s="293"/>
      <c r="AS250" s="293"/>
      <c r="AT250" s="293"/>
      <c r="AU250" s="293"/>
      <c r="AV250" s="293"/>
      <c r="AW250" s="293"/>
      <c r="AX250" s="293"/>
      <c r="AY250" s="293"/>
      <c r="AZ250" s="293"/>
      <c r="BA250" s="293"/>
      <c r="BB250" s="293"/>
      <c r="BC250" s="293"/>
      <c r="BD250" s="293"/>
      <c r="BE250" s="293"/>
      <c r="BF250" s="293"/>
      <c r="BG250" s="293"/>
      <c r="BH250" s="293"/>
      <c r="BI250" s="293"/>
      <c r="BJ250" s="293"/>
      <c r="BK250" s="293"/>
      <c r="BL250" s="293"/>
      <c r="BM250" s="293"/>
      <c r="BN250" s="293"/>
      <c r="BO250" s="293"/>
      <c r="BP250" s="293"/>
      <c r="BQ250" s="293"/>
      <c r="BR250" s="293"/>
      <c r="BS250" s="293"/>
      <c r="BT250" s="293"/>
      <c r="BU250" s="293"/>
      <c r="BV250" s="293"/>
      <c r="BW250" s="293"/>
      <c r="BX250" s="293"/>
      <c r="BY250" s="293"/>
      <c r="BZ250" s="293"/>
      <c r="CA250" s="293"/>
      <c r="CB250" s="293"/>
      <c r="CC250" s="293"/>
      <c r="CD250" s="293"/>
      <c r="CE250" s="293"/>
      <c r="CF250" s="293"/>
      <c r="CG250" s="293"/>
      <c r="CH250" s="293"/>
      <c r="CI250" s="293"/>
      <c r="CJ250" s="293"/>
      <c r="CK250" s="293"/>
      <c r="CL250" s="293"/>
      <c r="CM250" s="293"/>
      <c r="CN250" s="293"/>
      <c r="CO250" s="293"/>
      <c r="CP250" s="293">
        <f t="shared" si="4294"/>
        <v>0</v>
      </c>
    </row>
    <row r="251" spans="1:212" ht="16.5" customHeight="1">
      <c r="A251" s="290">
        <v>126</v>
      </c>
      <c r="B251" s="301" t="s">
        <v>356</v>
      </c>
      <c r="C251" s="328" t="s">
        <v>357</v>
      </c>
      <c r="D251" s="329" t="s">
        <v>1171</v>
      </c>
      <c r="E251" s="319" t="s">
        <v>1172</v>
      </c>
      <c r="F251" s="291">
        <v>28.8</v>
      </c>
      <c r="G251" s="303">
        <v>27</v>
      </c>
      <c r="H251" s="320">
        <f>G251*F251*365</f>
        <v>283824</v>
      </c>
      <c r="I251" s="291">
        <v>70956</v>
      </c>
      <c r="J251" s="304">
        <f>ROUND(G251*F251*365/4,0)</f>
        <v>70956</v>
      </c>
      <c r="K251" s="322">
        <f t="shared" ref="K251:M252" si="5544">J251</f>
        <v>70956</v>
      </c>
      <c r="L251" s="323">
        <f t="shared" si="5544"/>
        <v>70956</v>
      </c>
      <c r="M251" s="303">
        <f t="shared" si="5544"/>
        <v>70956</v>
      </c>
      <c r="N251" s="293">
        <f>ROUND(M251*(1+取值表!$D$12)*取值表!$I$12,0)</f>
        <v>72979</v>
      </c>
      <c r="O251" s="303">
        <f>N251</f>
        <v>72979</v>
      </c>
      <c r="P251" s="303">
        <f t="shared" ref="P251:P252" si="5545">O251</f>
        <v>72979</v>
      </c>
      <c r="Q251" s="303">
        <f>P251</f>
        <v>72979</v>
      </c>
      <c r="R251" s="294">
        <f>ROUND(Q251*(1+取值表!$D$8),0)</f>
        <v>79766</v>
      </c>
      <c r="S251" s="303">
        <f t="shared" ref="S251:T251" si="5546">R251</f>
        <v>79766</v>
      </c>
      <c r="T251" s="303">
        <f t="shared" si="5546"/>
        <v>79766</v>
      </c>
      <c r="U251" s="303">
        <f>T251</f>
        <v>79766</v>
      </c>
      <c r="V251" s="293">
        <f>ROUND(U251*(1+取值表!$D$12),0)</f>
        <v>87184</v>
      </c>
      <c r="W251" s="303">
        <f t="shared" ref="W251:Y251" si="5547">V251</f>
        <v>87184</v>
      </c>
      <c r="X251" s="303">
        <f t="shared" si="5547"/>
        <v>87184</v>
      </c>
      <c r="Y251" s="303">
        <f t="shared" si="5547"/>
        <v>87184</v>
      </c>
      <c r="Z251" s="293">
        <f>ROUND(Y251*(1+取值表!$D$12),0)</f>
        <v>95292</v>
      </c>
      <c r="AA251" s="303">
        <f t="shared" ref="AA251:AA252" si="5548">Z251</f>
        <v>95292</v>
      </c>
      <c r="AB251" s="303">
        <f t="shared" ref="AB251:AB252" si="5549">AA251</f>
        <v>95292</v>
      </c>
      <c r="AC251" s="303">
        <f>AB251</f>
        <v>95292</v>
      </c>
      <c r="AD251" s="293">
        <f>ROUND(AC251*(1+取值表!$D$12),0)</f>
        <v>104154</v>
      </c>
      <c r="AE251" s="303">
        <f t="shared" ref="AE251:AE252" si="5550">AD251</f>
        <v>104154</v>
      </c>
      <c r="AF251" s="303">
        <f t="shared" ref="AF251:AF252" si="5551">AE251</f>
        <v>104154</v>
      </c>
      <c r="AG251" s="303">
        <f t="shared" ref="AG251:AG252" si="5552">AF251</f>
        <v>104154</v>
      </c>
      <c r="AH251" s="293">
        <f>ROUND(AG251*(1+取值表!$D$12),0)</f>
        <v>113840</v>
      </c>
      <c r="AI251" s="303">
        <f t="shared" ref="AI251:AI252" si="5553">AH251</f>
        <v>113840</v>
      </c>
      <c r="AJ251" s="303">
        <f t="shared" ref="AJ251:AJ252" si="5554">AI251</f>
        <v>113840</v>
      </c>
      <c r="AK251" s="303">
        <f t="shared" ref="AK251:AK252" si="5555">AJ251</f>
        <v>113840</v>
      </c>
      <c r="AL251" s="293">
        <f>ROUND(AK251*(1+取值表!$D$12),0)</f>
        <v>124427</v>
      </c>
      <c r="AM251" s="303">
        <f t="shared" ref="AM251:AM252" si="5556">AL251</f>
        <v>124427</v>
      </c>
      <c r="AN251" s="303">
        <f t="shared" ref="AN251:AN252" si="5557">AM251</f>
        <v>124427</v>
      </c>
      <c r="AO251" s="303">
        <f t="shared" ref="AO251:AO252" si="5558">AN251</f>
        <v>124427</v>
      </c>
      <c r="AP251" s="293">
        <f>ROUND(AO251*(1+取值表!$D$12),0)</f>
        <v>135999</v>
      </c>
      <c r="AQ251" s="303">
        <f t="shared" ref="AQ251:AQ252" si="5559">AP251</f>
        <v>135999</v>
      </c>
      <c r="AR251" s="303">
        <f t="shared" ref="AR251:AR252" si="5560">AQ251</f>
        <v>135999</v>
      </c>
      <c r="AS251" s="303">
        <f t="shared" ref="AS251:AS252" si="5561">AR251</f>
        <v>135999</v>
      </c>
      <c r="AT251" s="293">
        <f>ROUND(AS251*(1+取值表!$D$12),0)</f>
        <v>148647</v>
      </c>
      <c r="AU251" s="303">
        <f t="shared" ref="AU251:AU252" si="5562">AT251</f>
        <v>148647</v>
      </c>
      <c r="AV251" s="303">
        <f t="shared" ref="AV251:AV252" si="5563">AU251</f>
        <v>148647</v>
      </c>
      <c r="AW251" s="303">
        <f t="shared" ref="AW251:AW252" si="5564">AV251</f>
        <v>148647</v>
      </c>
      <c r="AX251" s="293">
        <f>ROUND(AW251*(1+取值表!$D$12),0)</f>
        <v>162471</v>
      </c>
      <c r="AY251" s="303">
        <f t="shared" ref="AY251:AY252" si="5565">AX251</f>
        <v>162471</v>
      </c>
      <c r="AZ251" s="303">
        <f t="shared" ref="AZ251:AZ252" si="5566">AY251</f>
        <v>162471</v>
      </c>
      <c r="BA251" s="303">
        <f t="shared" ref="BA251:BA252" si="5567">AZ251</f>
        <v>162471</v>
      </c>
      <c r="BB251" s="293">
        <f>ROUND(BA251*(1+取值表!$D$12),0)</f>
        <v>177581</v>
      </c>
      <c r="BC251" s="303">
        <f>BB251</f>
        <v>177581</v>
      </c>
      <c r="BD251" s="303">
        <f t="shared" ref="BD251:BD252" si="5568">BC251</f>
        <v>177581</v>
      </c>
      <c r="BE251" s="303">
        <f>BD251</f>
        <v>177581</v>
      </c>
      <c r="BF251" s="293">
        <f>ROUND(BE251*(1+取值表!$D$12),0)</f>
        <v>194096</v>
      </c>
      <c r="BG251" s="303">
        <f>BF251</f>
        <v>194096</v>
      </c>
      <c r="BH251" s="303">
        <f t="shared" ref="BH251:BH252" si="5569">BG251</f>
        <v>194096</v>
      </c>
      <c r="BI251" s="303">
        <f t="shared" ref="BI251:BI252" si="5570">BH251</f>
        <v>194096</v>
      </c>
      <c r="BJ251" s="293">
        <f>ROUND(BI251*(1+取值表!$D$12),0)</f>
        <v>212147</v>
      </c>
      <c r="BK251" s="303">
        <f t="shared" ref="BK251:BK252" si="5571">BJ251</f>
        <v>212147</v>
      </c>
      <c r="BL251" s="303">
        <f t="shared" ref="BL251:BL252" si="5572">BK251</f>
        <v>212147</v>
      </c>
      <c r="BM251" s="303">
        <f t="shared" ref="BM251:BM252" si="5573">BL251</f>
        <v>212147</v>
      </c>
      <c r="BN251" s="293">
        <f>ROUND(BM251*(1+取值表!$D$12),0)</f>
        <v>231877</v>
      </c>
      <c r="BO251" s="303">
        <f t="shared" ref="BO251:BO252" si="5574">BN251</f>
        <v>231877</v>
      </c>
      <c r="BP251" s="303">
        <f t="shared" ref="BP251:BP252" si="5575">BO251</f>
        <v>231877</v>
      </c>
      <c r="BQ251" s="303">
        <f t="shared" ref="BQ251:BQ252" si="5576">BP251</f>
        <v>231877</v>
      </c>
      <c r="BR251" s="293">
        <f>ROUND(BQ251*(1+取值表!$D$12),0)</f>
        <v>253442</v>
      </c>
      <c r="BS251" s="303">
        <f t="shared" ref="BS251:BS252" si="5577">BR251</f>
        <v>253442</v>
      </c>
      <c r="BT251" s="303">
        <f t="shared" ref="BT251:BT252" si="5578">BS251</f>
        <v>253442</v>
      </c>
      <c r="BU251" s="303">
        <f t="shared" ref="BU251:BU252" si="5579">BT251</f>
        <v>253442</v>
      </c>
      <c r="BV251" s="293">
        <f>ROUND(BU251*(1+取值表!$D$12),0)</f>
        <v>277012</v>
      </c>
      <c r="BW251" s="303">
        <f t="shared" ref="BW251:BW252" si="5580">BV251</f>
        <v>277012</v>
      </c>
      <c r="BX251" s="303">
        <f t="shared" ref="BX251:BX252" si="5581">BW251</f>
        <v>277012</v>
      </c>
      <c r="BY251" s="303">
        <f t="shared" ref="BY251:BY252" si="5582">BX251</f>
        <v>277012</v>
      </c>
      <c r="BZ251" s="293">
        <f>ROUND(BY251*(1+取值表!$D$12),0)</f>
        <v>302774</v>
      </c>
      <c r="CA251" s="303">
        <f t="shared" ref="CA251:CA252" si="5583">BZ251</f>
        <v>302774</v>
      </c>
      <c r="CB251" s="303">
        <f t="shared" ref="CB251:CB252" si="5584">CA251</f>
        <v>302774</v>
      </c>
      <c r="CC251" s="303">
        <f t="shared" ref="CC251:CC252" si="5585">CB251</f>
        <v>302774</v>
      </c>
      <c r="CD251" s="293">
        <f>ROUND(CC251*(1+取值表!$D$12),0)</f>
        <v>330932</v>
      </c>
      <c r="CE251" s="303">
        <f t="shared" ref="CE251:CE252" si="5586">CD251</f>
        <v>330932</v>
      </c>
      <c r="CF251" s="303">
        <f t="shared" ref="CF251:CF252" si="5587">CE251</f>
        <v>330932</v>
      </c>
      <c r="CG251" s="303">
        <f t="shared" ref="CG251:CG252" si="5588">CF251</f>
        <v>330932</v>
      </c>
      <c r="CH251" s="293">
        <f>ROUND(CG251*(1+取值表!$D$12),0)</f>
        <v>361709</v>
      </c>
      <c r="CI251" s="303">
        <f>CH251</f>
        <v>361709</v>
      </c>
      <c r="CJ251" s="303">
        <f t="shared" ref="CJ251:CJ252" si="5589">CI251</f>
        <v>361709</v>
      </c>
      <c r="CK251" s="303">
        <f t="shared" ref="CK251:CK252" si="5590">CJ251</f>
        <v>361709</v>
      </c>
      <c r="CL251" s="293">
        <f>ROUND(CK251*(1+取值表!$D$12),0)</f>
        <v>395348</v>
      </c>
      <c r="CM251" s="303">
        <f>CL251</f>
        <v>395348</v>
      </c>
      <c r="CN251" s="303">
        <f t="shared" ref="CN251:CN252" si="5591">CM251</f>
        <v>395348</v>
      </c>
      <c r="CO251" s="303">
        <f t="shared" ref="CO251:CO252" si="5592">CN251</f>
        <v>395348</v>
      </c>
      <c r="CP251" s="293">
        <f t="shared" si="4294"/>
        <v>15730532</v>
      </c>
    </row>
    <row r="252" spans="1:212" s="299" customFormat="1">
      <c r="A252" s="669">
        <v>127</v>
      </c>
      <c r="B252" s="683" t="s">
        <v>559</v>
      </c>
      <c r="C252" s="685" t="s">
        <v>560</v>
      </c>
      <c r="D252" s="675" t="s">
        <v>561</v>
      </c>
      <c r="E252" s="687" t="s">
        <v>486</v>
      </c>
      <c r="F252" s="654">
        <v>19.97</v>
      </c>
      <c r="G252" s="654">
        <v>22.5</v>
      </c>
      <c r="H252" s="656">
        <f>F252*G252*365</f>
        <v>164003.625</v>
      </c>
      <c r="I252" s="307">
        <v>41000.910000000003</v>
      </c>
      <c r="J252" s="292">
        <f>ROUND(G252*F252*365/4,0)</f>
        <v>41001</v>
      </c>
      <c r="K252" s="295">
        <f t="shared" si="5544"/>
        <v>41001</v>
      </c>
      <c r="L252" s="295">
        <f t="shared" si="5544"/>
        <v>41001</v>
      </c>
      <c r="M252" s="295">
        <f t="shared" si="5544"/>
        <v>41001</v>
      </c>
      <c r="N252" s="293">
        <f>ROUND(M252*(1+取值表!$D$12)*取值表!$I$12,0)</f>
        <v>42170</v>
      </c>
      <c r="O252" s="295">
        <f>N252</f>
        <v>42170</v>
      </c>
      <c r="P252" s="295">
        <f t="shared" si="5545"/>
        <v>42170</v>
      </c>
      <c r="Q252" s="295">
        <f>P252</f>
        <v>42170</v>
      </c>
      <c r="R252" s="294">
        <f>ROUND(Q252*(1+取值表!$D$8),0)</f>
        <v>46092</v>
      </c>
      <c r="S252" s="295">
        <f t="shared" ref="S252:T252" si="5593">R252</f>
        <v>46092</v>
      </c>
      <c r="T252" s="295">
        <f t="shared" si="5593"/>
        <v>46092</v>
      </c>
      <c r="U252" s="295">
        <f>T252</f>
        <v>46092</v>
      </c>
      <c r="V252" s="293">
        <f>ROUND(U252*(1+取值表!$D$12),0)</f>
        <v>50379</v>
      </c>
      <c r="W252" s="295">
        <f t="shared" ref="W252:Y252" si="5594">V252</f>
        <v>50379</v>
      </c>
      <c r="X252" s="295">
        <f t="shared" si="5594"/>
        <v>50379</v>
      </c>
      <c r="Y252" s="295">
        <f t="shared" si="5594"/>
        <v>50379</v>
      </c>
      <c r="Z252" s="293">
        <f>ROUND(Y252*(1+取值表!$D$12),0)</f>
        <v>55064</v>
      </c>
      <c r="AA252" s="295">
        <f t="shared" si="5548"/>
        <v>55064</v>
      </c>
      <c r="AB252" s="295">
        <f t="shared" si="5549"/>
        <v>55064</v>
      </c>
      <c r="AC252" s="295">
        <f>AB252</f>
        <v>55064</v>
      </c>
      <c r="AD252" s="293">
        <f>ROUND(AC252*(1+取值表!$D$12),0)</f>
        <v>60185</v>
      </c>
      <c r="AE252" s="295">
        <f t="shared" si="5550"/>
        <v>60185</v>
      </c>
      <c r="AF252" s="295">
        <f t="shared" si="5551"/>
        <v>60185</v>
      </c>
      <c r="AG252" s="295">
        <f t="shared" si="5552"/>
        <v>60185</v>
      </c>
      <c r="AH252" s="293">
        <f>ROUND(AG252*(1+取值表!$D$12),0)</f>
        <v>65782</v>
      </c>
      <c r="AI252" s="295">
        <f t="shared" si="5553"/>
        <v>65782</v>
      </c>
      <c r="AJ252" s="295">
        <f t="shared" si="5554"/>
        <v>65782</v>
      </c>
      <c r="AK252" s="295">
        <f t="shared" si="5555"/>
        <v>65782</v>
      </c>
      <c r="AL252" s="293">
        <f>ROUND(AK252*(1+取值表!$D$12),0)</f>
        <v>71900</v>
      </c>
      <c r="AM252" s="295">
        <f t="shared" si="5556"/>
        <v>71900</v>
      </c>
      <c r="AN252" s="295">
        <f t="shared" si="5557"/>
        <v>71900</v>
      </c>
      <c r="AO252" s="295">
        <f t="shared" si="5558"/>
        <v>71900</v>
      </c>
      <c r="AP252" s="293">
        <f>ROUND(AO252*(1+取值表!$D$12),0)</f>
        <v>78587</v>
      </c>
      <c r="AQ252" s="295">
        <f t="shared" si="5559"/>
        <v>78587</v>
      </c>
      <c r="AR252" s="295">
        <f t="shared" si="5560"/>
        <v>78587</v>
      </c>
      <c r="AS252" s="295">
        <f t="shared" si="5561"/>
        <v>78587</v>
      </c>
      <c r="AT252" s="293">
        <f>ROUND(AS252*(1+取值表!$D$12),0)</f>
        <v>85896</v>
      </c>
      <c r="AU252" s="295">
        <f t="shared" si="5562"/>
        <v>85896</v>
      </c>
      <c r="AV252" s="295">
        <f t="shared" si="5563"/>
        <v>85896</v>
      </c>
      <c r="AW252" s="295">
        <f t="shared" si="5564"/>
        <v>85896</v>
      </c>
      <c r="AX252" s="293">
        <f>ROUND(AW252*(1+取值表!$D$12),0)</f>
        <v>93884</v>
      </c>
      <c r="AY252" s="295">
        <f t="shared" si="5565"/>
        <v>93884</v>
      </c>
      <c r="AZ252" s="295">
        <f t="shared" si="5566"/>
        <v>93884</v>
      </c>
      <c r="BA252" s="295">
        <f t="shared" si="5567"/>
        <v>93884</v>
      </c>
      <c r="BB252" s="293">
        <f>ROUND(BA252*(1+取值表!$D$12),0)</f>
        <v>102615</v>
      </c>
      <c r="BC252" s="295">
        <f>BB252</f>
        <v>102615</v>
      </c>
      <c r="BD252" s="295">
        <f t="shared" si="5568"/>
        <v>102615</v>
      </c>
      <c r="BE252" s="295">
        <f>BD252</f>
        <v>102615</v>
      </c>
      <c r="BF252" s="293">
        <f>ROUND(BE252*(1+取值表!$D$12),0)</f>
        <v>112158</v>
      </c>
      <c r="BG252" s="295">
        <f>BF252</f>
        <v>112158</v>
      </c>
      <c r="BH252" s="295">
        <f t="shared" si="5569"/>
        <v>112158</v>
      </c>
      <c r="BI252" s="295">
        <f t="shared" si="5570"/>
        <v>112158</v>
      </c>
      <c r="BJ252" s="293">
        <f>ROUND(BI252*(1+取值表!$D$12),0)</f>
        <v>122589</v>
      </c>
      <c r="BK252" s="295">
        <f t="shared" si="5571"/>
        <v>122589</v>
      </c>
      <c r="BL252" s="295">
        <f t="shared" si="5572"/>
        <v>122589</v>
      </c>
      <c r="BM252" s="295">
        <f t="shared" si="5573"/>
        <v>122589</v>
      </c>
      <c r="BN252" s="293">
        <f>ROUND(BM252*(1+取值表!$D$12),0)</f>
        <v>133990</v>
      </c>
      <c r="BO252" s="295">
        <f t="shared" si="5574"/>
        <v>133990</v>
      </c>
      <c r="BP252" s="295">
        <f t="shared" si="5575"/>
        <v>133990</v>
      </c>
      <c r="BQ252" s="295">
        <f t="shared" si="5576"/>
        <v>133990</v>
      </c>
      <c r="BR252" s="293">
        <f>ROUND(BQ252*(1+取值表!$D$12),0)</f>
        <v>146451</v>
      </c>
      <c r="BS252" s="295">
        <f t="shared" si="5577"/>
        <v>146451</v>
      </c>
      <c r="BT252" s="295">
        <f t="shared" si="5578"/>
        <v>146451</v>
      </c>
      <c r="BU252" s="295">
        <f t="shared" si="5579"/>
        <v>146451</v>
      </c>
      <c r="BV252" s="293">
        <f>ROUND(BU252*(1+取值表!$D$12),0)</f>
        <v>160071</v>
      </c>
      <c r="BW252" s="295">
        <f t="shared" si="5580"/>
        <v>160071</v>
      </c>
      <c r="BX252" s="295">
        <f t="shared" si="5581"/>
        <v>160071</v>
      </c>
      <c r="BY252" s="295">
        <f t="shared" si="5582"/>
        <v>160071</v>
      </c>
      <c r="BZ252" s="293">
        <f>ROUND(BY252*(1+取值表!$D$12),0)</f>
        <v>174958</v>
      </c>
      <c r="CA252" s="295">
        <f t="shared" si="5583"/>
        <v>174958</v>
      </c>
      <c r="CB252" s="295">
        <f t="shared" si="5584"/>
        <v>174958</v>
      </c>
      <c r="CC252" s="295">
        <f t="shared" si="5585"/>
        <v>174958</v>
      </c>
      <c r="CD252" s="293">
        <f>ROUND(CC252*(1+取值表!$D$12),0)</f>
        <v>191229</v>
      </c>
      <c r="CE252" s="295">
        <f t="shared" si="5586"/>
        <v>191229</v>
      </c>
      <c r="CF252" s="295">
        <f t="shared" si="5587"/>
        <v>191229</v>
      </c>
      <c r="CG252" s="295">
        <f t="shared" si="5588"/>
        <v>191229</v>
      </c>
      <c r="CH252" s="293">
        <f>ROUND(CG252*(1+取值表!$D$12),0)</f>
        <v>209013</v>
      </c>
      <c r="CI252" s="295">
        <f>CH252</f>
        <v>209013</v>
      </c>
      <c r="CJ252" s="295">
        <f t="shared" si="5589"/>
        <v>209013</v>
      </c>
      <c r="CK252" s="295">
        <f t="shared" si="5590"/>
        <v>209013</v>
      </c>
      <c r="CL252" s="293">
        <f>ROUND(CK252*(1+取值表!$D$12),0)</f>
        <v>228451</v>
      </c>
      <c r="CM252" s="295">
        <f>CL252</f>
        <v>228451</v>
      </c>
      <c r="CN252" s="295">
        <f t="shared" si="5591"/>
        <v>228451</v>
      </c>
      <c r="CO252" s="295">
        <f t="shared" si="5592"/>
        <v>228451</v>
      </c>
      <c r="CP252" s="293">
        <f t="shared" si="4294"/>
        <v>9089860</v>
      </c>
      <c r="CQ252" s="316"/>
      <c r="CR252" s="316"/>
      <c r="CS252" s="316"/>
      <c r="CT252" s="316"/>
      <c r="CU252" s="316"/>
      <c r="CV252" s="316"/>
      <c r="CW252" s="316"/>
      <c r="CX252" s="316"/>
      <c r="CY252" s="316"/>
      <c r="CZ252" s="316"/>
      <c r="DA252" s="316"/>
      <c r="DB252" s="316"/>
      <c r="DC252" s="316"/>
      <c r="DD252" s="316"/>
      <c r="DE252" s="316"/>
      <c r="DF252" s="316"/>
      <c r="DG252" s="316"/>
      <c r="DH252" s="316"/>
      <c r="DI252" s="316"/>
      <c r="DJ252" s="316"/>
      <c r="DK252" s="316"/>
      <c r="DL252" s="316"/>
      <c r="DM252" s="316"/>
      <c r="DN252" s="316"/>
      <c r="DO252" s="316"/>
      <c r="DP252" s="316"/>
      <c r="DQ252" s="316"/>
      <c r="DR252" s="316"/>
      <c r="DS252" s="316"/>
      <c r="DT252" s="316"/>
      <c r="DU252" s="316"/>
      <c r="DV252" s="316"/>
      <c r="DW252" s="316"/>
      <c r="DX252" s="316"/>
      <c r="DY252" s="316"/>
      <c r="DZ252" s="316"/>
      <c r="EA252" s="316"/>
      <c r="EB252" s="316"/>
      <c r="EC252" s="316"/>
      <c r="ED252" s="316"/>
      <c r="EE252" s="316"/>
      <c r="EF252" s="316"/>
      <c r="EG252" s="316"/>
      <c r="EH252" s="316"/>
      <c r="EI252" s="316"/>
      <c r="EJ252" s="316"/>
      <c r="EK252" s="316"/>
      <c r="EL252" s="316"/>
      <c r="EM252" s="316"/>
      <c r="EN252" s="316"/>
      <c r="EO252" s="316"/>
      <c r="EP252" s="316"/>
      <c r="EQ252" s="316"/>
      <c r="ER252" s="316"/>
      <c r="ES252" s="316"/>
      <c r="ET252" s="316"/>
      <c r="EU252" s="316"/>
      <c r="EV252" s="316"/>
      <c r="EW252" s="316"/>
      <c r="EX252" s="316"/>
      <c r="EY252" s="316"/>
      <c r="EZ252" s="316"/>
      <c r="FA252" s="316"/>
      <c r="FB252" s="316"/>
      <c r="FC252" s="316"/>
      <c r="FD252" s="316"/>
      <c r="FE252" s="316"/>
      <c r="FF252" s="316"/>
      <c r="FG252" s="316"/>
      <c r="FH252" s="316"/>
      <c r="FI252" s="316"/>
      <c r="FJ252" s="316"/>
      <c r="FK252" s="316"/>
      <c r="FL252" s="316"/>
      <c r="FM252" s="316"/>
      <c r="FN252" s="316"/>
      <c r="FO252" s="316"/>
      <c r="FP252" s="316"/>
      <c r="FQ252" s="316"/>
      <c r="FR252" s="316"/>
      <c r="FS252" s="316"/>
      <c r="FT252" s="316"/>
      <c r="FU252" s="316"/>
      <c r="FV252" s="316"/>
      <c r="FW252" s="316"/>
      <c r="FX252" s="316"/>
      <c r="FY252" s="316"/>
      <c r="FZ252" s="316"/>
      <c r="GA252" s="316"/>
      <c r="GB252" s="316"/>
      <c r="GC252" s="316"/>
      <c r="GD252" s="316"/>
      <c r="GE252" s="316"/>
      <c r="GF252" s="316"/>
      <c r="GG252" s="316"/>
      <c r="GH252" s="316"/>
      <c r="GI252" s="316"/>
      <c r="GJ252" s="316"/>
      <c r="GK252" s="316"/>
      <c r="GL252" s="316"/>
      <c r="GM252" s="316"/>
      <c r="GN252" s="316"/>
      <c r="GO252" s="316"/>
      <c r="GP252" s="316"/>
      <c r="GQ252" s="316"/>
      <c r="GR252" s="316"/>
      <c r="GS252" s="316"/>
      <c r="GT252" s="316"/>
      <c r="GU252" s="316"/>
      <c r="GV252" s="316"/>
      <c r="GW252" s="316"/>
      <c r="GX252" s="316"/>
      <c r="GY252" s="316"/>
      <c r="GZ252" s="316"/>
      <c r="HA252" s="380">
        <f>SUM(J252:GZ252)</f>
        <v>18179720</v>
      </c>
      <c r="HB252" s="312"/>
      <c r="HC252" s="381"/>
      <c r="HD252" s="360">
        <v>293201.86800000002</v>
      </c>
    </row>
    <row r="253" spans="1:212" s="299" customFormat="1">
      <c r="A253" s="670"/>
      <c r="B253" s="684"/>
      <c r="C253" s="686"/>
      <c r="D253" s="676"/>
      <c r="E253" s="688"/>
      <c r="F253" s="655"/>
      <c r="G253" s="655"/>
      <c r="H253" s="657"/>
      <c r="I253" s="330"/>
      <c r="J253" s="295"/>
      <c r="K253" s="295"/>
      <c r="L253" s="295"/>
      <c r="M253" s="295"/>
      <c r="N253" s="295"/>
      <c r="O253" s="295"/>
      <c r="P253" s="295"/>
      <c r="Q253" s="295"/>
      <c r="R253" s="295"/>
      <c r="S253" s="295"/>
      <c r="T253" s="295"/>
      <c r="U253" s="295"/>
      <c r="V253" s="295"/>
      <c r="W253" s="295"/>
      <c r="X253" s="295"/>
      <c r="Y253" s="295"/>
      <c r="Z253" s="295"/>
      <c r="AA253" s="295"/>
      <c r="AB253" s="295"/>
      <c r="AC253" s="295"/>
      <c r="AD253" s="295"/>
      <c r="AE253" s="295"/>
      <c r="AF253" s="295"/>
      <c r="AG253" s="295"/>
      <c r="AH253" s="295"/>
      <c r="AI253" s="295"/>
      <c r="AJ253" s="295"/>
      <c r="AK253" s="295"/>
      <c r="AL253" s="295"/>
      <c r="AM253" s="295"/>
      <c r="AN253" s="295"/>
      <c r="AO253" s="295"/>
      <c r="AP253" s="295"/>
      <c r="AQ253" s="295"/>
      <c r="AR253" s="295"/>
      <c r="AS253" s="295"/>
      <c r="AT253" s="295"/>
      <c r="AU253" s="295"/>
      <c r="AV253" s="295"/>
      <c r="AW253" s="295"/>
      <c r="AX253" s="295"/>
      <c r="AY253" s="295"/>
      <c r="AZ253" s="295"/>
      <c r="BA253" s="295"/>
      <c r="BB253" s="295"/>
      <c r="BC253" s="295"/>
      <c r="BD253" s="295"/>
      <c r="BE253" s="295"/>
      <c r="BF253" s="295"/>
      <c r="BG253" s="295"/>
      <c r="BH253" s="295"/>
      <c r="BI253" s="295"/>
      <c r="BJ253" s="295"/>
      <c r="BK253" s="295"/>
      <c r="BL253" s="295"/>
      <c r="BM253" s="295"/>
      <c r="BN253" s="295"/>
      <c r="BO253" s="295"/>
      <c r="BP253" s="295"/>
      <c r="BQ253" s="295"/>
      <c r="BR253" s="295"/>
      <c r="BS253" s="295"/>
      <c r="BT253" s="295"/>
      <c r="BU253" s="295"/>
      <c r="BV253" s="295"/>
      <c r="BW253" s="295"/>
      <c r="BX253" s="295"/>
      <c r="BY253" s="295"/>
      <c r="BZ253" s="295"/>
      <c r="CA253" s="295"/>
      <c r="CB253" s="295"/>
      <c r="CC253" s="295"/>
      <c r="CD253" s="295"/>
      <c r="CE253" s="295"/>
      <c r="CF253" s="295"/>
      <c r="CG253" s="295"/>
      <c r="CH253" s="295"/>
      <c r="CI253" s="295"/>
      <c r="CJ253" s="295"/>
      <c r="CK253" s="295"/>
      <c r="CL253" s="295"/>
      <c r="CM253" s="295"/>
      <c r="CN253" s="295"/>
      <c r="CO253" s="295"/>
      <c r="CP253" s="293">
        <f t="shared" si="4294"/>
        <v>0</v>
      </c>
      <c r="CQ253" s="331"/>
      <c r="CR253" s="331"/>
      <c r="CS253" s="331"/>
      <c r="CT253" s="331"/>
      <c r="CU253" s="331"/>
      <c r="CV253" s="331"/>
      <c r="CW253" s="331"/>
      <c r="CX253" s="331"/>
      <c r="CY253" s="331"/>
      <c r="CZ253" s="331"/>
      <c r="DA253" s="331"/>
      <c r="DB253" s="331"/>
      <c r="DC253" s="331"/>
      <c r="DD253" s="331"/>
      <c r="DE253" s="331"/>
      <c r="DF253" s="331"/>
      <c r="DG253" s="331"/>
      <c r="DH253" s="331"/>
      <c r="DI253" s="331"/>
      <c r="DJ253" s="331"/>
      <c r="DK253" s="331"/>
      <c r="DL253" s="331"/>
      <c r="DM253" s="331"/>
      <c r="DN253" s="331"/>
      <c r="DO253" s="331"/>
      <c r="DP253" s="331"/>
      <c r="DQ253" s="331"/>
      <c r="DR253" s="331"/>
      <c r="DS253" s="331"/>
      <c r="DT253" s="331"/>
      <c r="DU253" s="331"/>
      <c r="DV253" s="331"/>
      <c r="DW253" s="331"/>
      <c r="DX253" s="331"/>
      <c r="DY253" s="331"/>
      <c r="DZ253" s="331"/>
      <c r="EA253" s="331"/>
      <c r="EB253" s="331"/>
      <c r="EC253" s="331"/>
      <c r="ED253" s="331"/>
      <c r="EE253" s="331"/>
      <c r="EF253" s="331"/>
      <c r="EG253" s="331"/>
      <c r="EH253" s="331"/>
      <c r="EI253" s="331"/>
      <c r="EJ253" s="331"/>
      <c r="EK253" s="331"/>
      <c r="EL253" s="331"/>
      <c r="EM253" s="331"/>
      <c r="EN253" s="331"/>
      <c r="EO253" s="331"/>
      <c r="EP253" s="331"/>
      <c r="EQ253" s="331"/>
      <c r="ER253" s="331"/>
      <c r="ES253" s="331"/>
      <c r="ET253" s="331"/>
      <c r="EU253" s="331"/>
      <c r="EV253" s="331"/>
      <c r="EW253" s="331"/>
      <c r="EX253" s="331"/>
      <c r="EY253" s="331"/>
      <c r="EZ253" s="331"/>
      <c r="FA253" s="331"/>
      <c r="FB253" s="331"/>
      <c r="FC253" s="331"/>
      <c r="FD253" s="331"/>
      <c r="FE253" s="331"/>
      <c r="FF253" s="331"/>
      <c r="FG253" s="331"/>
      <c r="FH253" s="331"/>
      <c r="FI253" s="331"/>
      <c r="FJ253" s="331"/>
      <c r="FK253" s="331"/>
      <c r="FL253" s="331"/>
      <c r="FM253" s="331"/>
      <c r="FN253" s="331"/>
      <c r="FO253" s="331"/>
      <c r="FP253" s="331"/>
      <c r="FQ253" s="331"/>
      <c r="FR253" s="331"/>
      <c r="FS253" s="331"/>
      <c r="FT253" s="331"/>
      <c r="FU253" s="331"/>
      <c r="FV253" s="331"/>
      <c r="FW253" s="331"/>
      <c r="FX253" s="331"/>
      <c r="FY253" s="331"/>
      <c r="FZ253" s="331"/>
      <c r="GA253" s="331"/>
      <c r="GB253" s="331"/>
      <c r="GC253" s="331"/>
      <c r="GD253" s="331"/>
      <c r="GE253" s="331"/>
      <c r="GF253" s="331"/>
      <c r="GG253" s="331"/>
      <c r="GH253" s="331"/>
      <c r="GI253" s="331"/>
      <c r="GJ253" s="331"/>
      <c r="GK253" s="331"/>
      <c r="GL253" s="331"/>
      <c r="GM253" s="331"/>
      <c r="GN253" s="331"/>
      <c r="GO253" s="331"/>
      <c r="GP253" s="331"/>
      <c r="GQ253" s="331"/>
      <c r="GR253" s="331"/>
      <c r="GS253" s="331"/>
      <c r="GT253" s="331"/>
      <c r="GU253" s="331"/>
      <c r="GV253" s="331"/>
      <c r="GW253" s="331"/>
      <c r="GX253" s="331"/>
      <c r="GY253" s="331"/>
      <c r="GZ253" s="331"/>
      <c r="HA253" s="381">
        <f>SUM(J253:GZ253)</f>
        <v>0</v>
      </c>
      <c r="HB253" s="312"/>
      <c r="HC253" s="381"/>
      <c r="HD253" s="360">
        <v>166493.864</v>
      </c>
    </row>
    <row r="254" spans="1:212" s="299" customFormat="1">
      <c r="A254" s="669">
        <v>128</v>
      </c>
      <c r="B254" s="683" t="s">
        <v>562</v>
      </c>
      <c r="C254" s="685" t="s">
        <v>563</v>
      </c>
      <c r="D254" s="675" t="s">
        <v>641</v>
      </c>
      <c r="E254" s="687" t="s">
        <v>486</v>
      </c>
      <c r="F254" s="654">
        <v>17.559999999999999</v>
      </c>
      <c r="G254" s="654">
        <v>20</v>
      </c>
      <c r="H254" s="656">
        <f>F254*G254*365</f>
        <v>128188</v>
      </c>
      <c r="I254" s="307">
        <v>32047</v>
      </c>
      <c r="J254" s="292">
        <f>ROUND(G254*F254*365/4,0)</f>
        <v>32047</v>
      </c>
      <c r="K254" s="295">
        <f>J254</f>
        <v>32047</v>
      </c>
      <c r="L254" s="295">
        <f>K254</f>
        <v>32047</v>
      </c>
      <c r="M254" s="295">
        <f>L254</f>
        <v>32047</v>
      </c>
      <c r="N254" s="293">
        <f>ROUND(M254*(1+取值表!$D$12)*取值表!$I$12,0)</f>
        <v>32961</v>
      </c>
      <c r="O254" s="295">
        <f>N254</f>
        <v>32961</v>
      </c>
      <c r="P254" s="295">
        <f>O254</f>
        <v>32961</v>
      </c>
      <c r="Q254" s="295">
        <f>P254</f>
        <v>32961</v>
      </c>
      <c r="R254" s="294">
        <f>ROUND(Q254*(1+取值表!$D$8),0)</f>
        <v>36026</v>
      </c>
      <c r="S254" s="295">
        <f t="shared" ref="S254:T254" si="5595">R254</f>
        <v>36026</v>
      </c>
      <c r="T254" s="295">
        <f t="shared" si="5595"/>
        <v>36026</v>
      </c>
      <c r="U254" s="295">
        <f>T254</f>
        <v>36026</v>
      </c>
      <c r="V254" s="293">
        <f>ROUND(U254*(1+取值表!$D$12),0)</f>
        <v>39376</v>
      </c>
      <c r="W254" s="295">
        <f t="shared" ref="W254:Y254" si="5596">V254</f>
        <v>39376</v>
      </c>
      <c r="X254" s="295">
        <f t="shared" si="5596"/>
        <v>39376</v>
      </c>
      <c r="Y254" s="295">
        <f t="shared" si="5596"/>
        <v>39376</v>
      </c>
      <c r="Z254" s="293">
        <f>ROUND(Y254*(1+取值表!$D$12),0)</f>
        <v>43038</v>
      </c>
      <c r="AA254" s="295">
        <f t="shared" ref="AA254" si="5597">Z254</f>
        <v>43038</v>
      </c>
      <c r="AB254" s="295">
        <f t="shared" ref="AB254" si="5598">AA254</f>
        <v>43038</v>
      </c>
      <c r="AC254" s="295">
        <f>AB254</f>
        <v>43038</v>
      </c>
      <c r="AD254" s="293">
        <f>ROUND(AC254*(1+取值表!$D$12),0)</f>
        <v>47041</v>
      </c>
      <c r="AE254" s="295">
        <f t="shared" ref="AE254" si="5599">AD254</f>
        <v>47041</v>
      </c>
      <c r="AF254" s="295">
        <f t="shared" ref="AF254" si="5600">AE254</f>
        <v>47041</v>
      </c>
      <c r="AG254" s="295">
        <f t="shared" ref="AG254" si="5601">AF254</f>
        <v>47041</v>
      </c>
      <c r="AH254" s="293">
        <f>ROUND(AG254*(1+取值表!$D$12),0)</f>
        <v>51416</v>
      </c>
      <c r="AI254" s="295">
        <f t="shared" ref="AI254" si="5602">AH254</f>
        <v>51416</v>
      </c>
      <c r="AJ254" s="295">
        <f t="shared" ref="AJ254" si="5603">AI254</f>
        <v>51416</v>
      </c>
      <c r="AK254" s="295">
        <f t="shared" ref="AK254" si="5604">AJ254</f>
        <v>51416</v>
      </c>
      <c r="AL254" s="293">
        <f>ROUND(AK254*(1+取值表!$D$12),0)</f>
        <v>56198</v>
      </c>
      <c r="AM254" s="295">
        <f t="shared" ref="AM254" si="5605">AL254</f>
        <v>56198</v>
      </c>
      <c r="AN254" s="295">
        <f t="shared" ref="AN254" si="5606">AM254</f>
        <v>56198</v>
      </c>
      <c r="AO254" s="295">
        <f t="shared" ref="AO254" si="5607">AN254</f>
        <v>56198</v>
      </c>
      <c r="AP254" s="293">
        <f>ROUND(AO254*(1+取值表!$D$12),0)</f>
        <v>61424</v>
      </c>
      <c r="AQ254" s="295">
        <f t="shared" ref="AQ254" si="5608">AP254</f>
        <v>61424</v>
      </c>
      <c r="AR254" s="295">
        <f t="shared" ref="AR254" si="5609">AQ254</f>
        <v>61424</v>
      </c>
      <c r="AS254" s="295">
        <f t="shared" ref="AS254" si="5610">AR254</f>
        <v>61424</v>
      </c>
      <c r="AT254" s="293">
        <f>ROUND(AS254*(1+取值表!$D$12),0)</f>
        <v>67136</v>
      </c>
      <c r="AU254" s="295">
        <f t="shared" ref="AU254" si="5611">AT254</f>
        <v>67136</v>
      </c>
      <c r="AV254" s="295">
        <f t="shared" ref="AV254" si="5612">AU254</f>
        <v>67136</v>
      </c>
      <c r="AW254" s="295">
        <f t="shared" ref="AW254" si="5613">AV254</f>
        <v>67136</v>
      </c>
      <c r="AX254" s="293">
        <f>ROUND(AW254*(1+取值表!$D$12),0)</f>
        <v>73380</v>
      </c>
      <c r="AY254" s="295">
        <f t="shared" ref="AY254" si="5614">AX254</f>
        <v>73380</v>
      </c>
      <c r="AZ254" s="295">
        <f t="shared" ref="AZ254" si="5615">AY254</f>
        <v>73380</v>
      </c>
      <c r="BA254" s="295">
        <f t="shared" ref="BA254" si="5616">AZ254</f>
        <v>73380</v>
      </c>
      <c r="BB254" s="293">
        <f>ROUND(BA254*(1+取值表!$D$12),0)</f>
        <v>80204</v>
      </c>
      <c r="BC254" s="295">
        <f>BB254</f>
        <v>80204</v>
      </c>
      <c r="BD254" s="295">
        <f t="shared" ref="BD254" si="5617">BC254</f>
        <v>80204</v>
      </c>
      <c r="BE254" s="295">
        <f>BD254</f>
        <v>80204</v>
      </c>
      <c r="BF254" s="293">
        <f>ROUND(BE254*(1+取值表!$D$12),0)</f>
        <v>87663</v>
      </c>
      <c r="BG254" s="295">
        <f>BF254</f>
        <v>87663</v>
      </c>
      <c r="BH254" s="295">
        <f t="shared" ref="BH254" si="5618">BG254</f>
        <v>87663</v>
      </c>
      <c r="BI254" s="295">
        <f t="shared" ref="BI254" si="5619">BH254</f>
        <v>87663</v>
      </c>
      <c r="BJ254" s="293">
        <f>ROUND(BI254*(1+取值表!$D$12),0)</f>
        <v>95816</v>
      </c>
      <c r="BK254" s="295">
        <f t="shared" ref="BK254" si="5620">BJ254</f>
        <v>95816</v>
      </c>
      <c r="BL254" s="295">
        <f t="shared" ref="BL254" si="5621">BK254</f>
        <v>95816</v>
      </c>
      <c r="BM254" s="295">
        <f t="shared" ref="BM254" si="5622">BL254</f>
        <v>95816</v>
      </c>
      <c r="BN254" s="293">
        <f>ROUND(BM254*(1+取值表!$D$12),0)</f>
        <v>104727</v>
      </c>
      <c r="BO254" s="295">
        <f t="shared" ref="BO254" si="5623">BN254</f>
        <v>104727</v>
      </c>
      <c r="BP254" s="295">
        <f t="shared" ref="BP254" si="5624">BO254</f>
        <v>104727</v>
      </c>
      <c r="BQ254" s="295">
        <f t="shared" ref="BQ254" si="5625">BP254</f>
        <v>104727</v>
      </c>
      <c r="BR254" s="293">
        <f>ROUND(BQ254*(1+取值表!$D$12),0)</f>
        <v>114467</v>
      </c>
      <c r="BS254" s="295">
        <f t="shared" ref="BS254" si="5626">BR254</f>
        <v>114467</v>
      </c>
      <c r="BT254" s="295">
        <f t="shared" ref="BT254" si="5627">BS254</f>
        <v>114467</v>
      </c>
      <c r="BU254" s="295">
        <f t="shared" ref="BU254" si="5628">BT254</f>
        <v>114467</v>
      </c>
      <c r="BV254" s="293">
        <f>ROUND(BU254*(1+取值表!$D$12),0)</f>
        <v>125112</v>
      </c>
      <c r="BW254" s="295">
        <f t="shared" ref="BW254" si="5629">BV254</f>
        <v>125112</v>
      </c>
      <c r="BX254" s="295">
        <f t="shared" ref="BX254" si="5630">BW254</f>
        <v>125112</v>
      </c>
      <c r="BY254" s="295">
        <f t="shared" ref="BY254" si="5631">BX254</f>
        <v>125112</v>
      </c>
      <c r="BZ254" s="293">
        <f>ROUND(BY254*(1+取值表!$D$12),0)</f>
        <v>136747</v>
      </c>
      <c r="CA254" s="295">
        <f t="shared" ref="CA254" si="5632">BZ254</f>
        <v>136747</v>
      </c>
      <c r="CB254" s="295">
        <f t="shared" ref="CB254" si="5633">CA254</f>
        <v>136747</v>
      </c>
      <c r="CC254" s="295">
        <f t="shared" ref="CC254" si="5634">CB254</f>
        <v>136747</v>
      </c>
      <c r="CD254" s="293">
        <f>ROUND(CC254*(1+取值表!$D$12),0)</f>
        <v>149464</v>
      </c>
      <c r="CE254" s="295">
        <f t="shared" ref="CE254" si="5635">CD254</f>
        <v>149464</v>
      </c>
      <c r="CF254" s="295">
        <f t="shared" ref="CF254" si="5636">CE254</f>
        <v>149464</v>
      </c>
      <c r="CG254" s="295">
        <f t="shared" ref="CG254" si="5637">CF254</f>
        <v>149464</v>
      </c>
      <c r="CH254" s="293">
        <f>ROUND(CG254*(1+取值表!$D$12),0)</f>
        <v>163364</v>
      </c>
      <c r="CI254" s="295">
        <f>CH254</f>
        <v>163364</v>
      </c>
      <c r="CJ254" s="295">
        <f t="shared" ref="CJ254" si="5638">CI254</f>
        <v>163364</v>
      </c>
      <c r="CK254" s="295">
        <f t="shared" ref="CK254" si="5639">CJ254</f>
        <v>163364</v>
      </c>
      <c r="CL254" s="293">
        <f>ROUND(CK254*(1+取值表!$D$12),0)</f>
        <v>178557</v>
      </c>
      <c r="CM254" s="295">
        <f>CL254</f>
        <v>178557</v>
      </c>
      <c r="CN254" s="295">
        <f t="shared" ref="CN254" si="5640">CM254</f>
        <v>178557</v>
      </c>
      <c r="CO254" s="295">
        <f t="shared" ref="CO254" si="5641">CN254</f>
        <v>178557</v>
      </c>
      <c r="CP254" s="293">
        <f t="shared" si="4294"/>
        <v>7104656</v>
      </c>
      <c r="CQ254" s="308"/>
      <c r="CR254" s="308"/>
      <c r="CS254" s="308"/>
      <c r="CT254" s="308"/>
      <c r="CU254" s="308"/>
      <c r="CV254" s="308"/>
      <c r="CW254" s="308"/>
      <c r="CX254" s="308"/>
      <c r="CY254" s="308"/>
      <c r="CZ254" s="308"/>
      <c r="DA254" s="308"/>
      <c r="DB254" s="308"/>
      <c r="DC254" s="308"/>
      <c r="DD254" s="308"/>
      <c r="DE254" s="308"/>
      <c r="DF254" s="308"/>
      <c r="DG254" s="308"/>
      <c r="DH254" s="308"/>
      <c r="DI254" s="308"/>
      <c r="DJ254" s="308"/>
      <c r="DK254" s="308"/>
      <c r="DL254" s="308"/>
      <c r="DM254" s="308"/>
      <c r="DN254" s="308"/>
      <c r="DO254" s="308"/>
      <c r="DP254" s="308"/>
      <c r="DQ254" s="308"/>
      <c r="DR254" s="308"/>
      <c r="DS254" s="308"/>
      <c r="DT254" s="308"/>
      <c r="DU254" s="308"/>
      <c r="DV254" s="308"/>
      <c r="DW254" s="308"/>
      <c r="DX254" s="308"/>
      <c r="DY254" s="308"/>
      <c r="DZ254" s="308"/>
      <c r="EA254" s="308"/>
      <c r="EB254" s="308"/>
      <c r="EC254" s="308"/>
      <c r="ED254" s="308"/>
      <c r="EE254" s="308"/>
      <c r="EF254" s="308"/>
      <c r="EG254" s="308"/>
      <c r="EH254" s="308"/>
      <c r="EI254" s="308"/>
      <c r="EJ254" s="308"/>
      <c r="EK254" s="308"/>
      <c r="EL254" s="308"/>
      <c r="EM254" s="308"/>
      <c r="EN254" s="308"/>
      <c r="EO254" s="308"/>
      <c r="EP254" s="308"/>
      <c r="EQ254" s="308"/>
      <c r="ER254" s="308"/>
      <c r="ES254" s="308"/>
      <c r="ET254" s="308"/>
      <c r="EU254" s="308"/>
      <c r="EV254" s="308"/>
      <c r="EW254" s="308"/>
      <c r="EX254" s="308"/>
      <c r="EY254" s="308"/>
      <c r="EZ254" s="308"/>
      <c r="FA254" s="308"/>
      <c r="FB254" s="308"/>
      <c r="FC254" s="308"/>
      <c r="FD254" s="308"/>
      <c r="FE254" s="308"/>
      <c r="FF254" s="308"/>
      <c r="FG254" s="308"/>
      <c r="FH254" s="308"/>
      <c r="FI254" s="308"/>
      <c r="FJ254" s="308"/>
      <c r="FK254" s="308"/>
      <c r="FL254" s="308"/>
      <c r="FM254" s="308"/>
      <c r="FN254" s="308"/>
      <c r="FO254" s="308"/>
      <c r="FP254" s="308"/>
      <c r="FQ254" s="308"/>
      <c r="FR254" s="308"/>
      <c r="FS254" s="308"/>
      <c r="FT254" s="308"/>
      <c r="FU254" s="308"/>
      <c r="FV254" s="308"/>
      <c r="FW254" s="308"/>
      <c r="FX254" s="308"/>
      <c r="FY254" s="308"/>
      <c r="FZ254" s="308"/>
      <c r="GA254" s="308"/>
      <c r="GB254" s="308"/>
      <c r="GC254" s="308"/>
      <c r="GD254" s="308"/>
      <c r="GE254" s="308"/>
      <c r="GF254" s="308"/>
      <c r="GG254" s="308"/>
      <c r="GH254" s="308"/>
      <c r="GI254" s="308"/>
      <c r="GJ254" s="308"/>
      <c r="GK254" s="308"/>
      <c r="GL254" s="308"/>
      <c r="GM254" s="308"/>
      <c r="GN254" s="308"/>
      <c r="GO254" s="308"/>
      <c r="GP254" s="308"/>
      <c r="GQ254" s="308"/>
      <c r="GR254" s="308"/>
      <c r="GS254" s="308"/>
      <c r="GT254" s="308"/>
      <c r="GU254" s="308"/>
      <c r="GV254" s="308"/>
      <c r="GW254" s="308"/>
      <c r="GX254" s="308"/>
      <c r="GY254" s="308"/>
      <c r="GZ254" s="308"/>
      <c r="HA254" s="380">
        <f>SUM(J254:GZ254)</f>
        <v>14209312</v>
      </c>
      <c r="HB254" s="312"/>
      <c r="HC254" s="381"/>
      <c r="HD254" s="360">
        <v>419997.07500000001</v>
      </c>
    </row>
    <row r="255" spans="1:212" s="299" customFormat="1">
      <c r="A255" s="670"/>
      <c r="B255" s="684"/>
      <c r="C255" s="686"/>
      <c r="D255" s="676"/>
      <c r="E255" s="688"/>
      <c r="F255" s="655"/>
      <c r="G255" s="655"/>
      <c r="H255" s="657"/>
      <c r="I255" s="313"/>
      <c r="J255" s="295"/>
      <c r="K255" s="295"/>
      <c r="L255" s="295"/>
      <c r="M255" s="295"/>
      <c r="N255" s="295"/>
      <c r="O255" s="295"/>
      <c r="P255" s="295"/>
      <c r="Q255" s="295"/>
      <c r="R255" s="295"/>
      <c r="S255" s="295"/>
      <c r="T255" s="295"/>
      <c r="U255" s="295"/>
      <c r="V255" s="295"/>
      <c r="W255" s="295"/>
      <c r="X255" s="295"/>
      <c r="Y255" s="295"/>
      <c r="Z255" s="295"/>
      <c r="AA255" s="295"/>
      <c r="AB255" s="295"/>
      <c r="AC255" s="295"/>
      <c r="AD255" s="295"/>
      <c r="AE255" s="295"/>
      <c r="AF255" s="295"/>
      <c r="AG255" s="295"/>
      <c r="AH255" s="295"/>
      <c r="AI255" s="295"/>
      <c r="AJ255" s="295"/>
      <c r="AK255" s="295"/>
      <c r="AL255" s="295"/>
      <c r="AM255" s="295"/>
      <c r="AN255" s="295"/>
      <c r="AO255" s="295"/>
      <c r="AP255" s="295"/>
      <c r="AQ255" s="295"/>
      <c r="AR255" s="295"/>
      <c r="AS255" s="295"/>
      <c r="AT255" s="295"/>
      <c r="AU255" s="295"/>
      <c r="AV255" s="295"/>
      <c r="AW255" s="295"/>
      <c r="AX255" s="295"/>
      <c r="AY255" s="295"/>
      <c r="AZ255" s="295"/>
      <c r="BA255" s="295"/>
      <c r="BB255" s="295"/>
      <c r="BC255" s="295"/>
      <c r="BD255" s="295"/>
      <c r="BE255" s="295"/>
      <c r="BF255" s="295"/>
      <c r="BG255" s="295"/>
      <c r="BH255" s="295"/>
      <c r="BI255" s="295"/>
      <c r="BJ255" s="295"/>
      <c r="BK255" s="295"/>
      <c r="BL255" s="295"/>
      <c r="BM255" s="295"/>
      <c r="BN255" s="295"/>
      <c r="BO255" s="295"/>
      <c r="BP255" s="295"/>
      <c r="BQ255" s="295"/>
      <c r="BR255" s="295"/>
      <c r="BS255" s="295"/>
      <c r="BT255" s="295"/>
      <c r="BU255" s="295"/>
      <c r="BV255" s="295"/>
      <c r="BW255" s="295"/>
      <c r="BX255" s="295"/>
      <c r="BY255" s="295"/>
      <c r="BZ255" s="295"/>
      <c r="CA255" s="295"/>
      <c r="CB255" s="295"/>
      <c r="CC255" s="295"/>
      <c r="CD255" s="295"/>
      <c r="CE255" s="295"/>
      <c r="CF255" s="295"/>
      <c r="CG255" s="295"/>
      <c r="CH255" s="295"/>
      <c r="CI255" s="295"/>
      <c r="CJ255" s="295"/>
      <c r="CK255" s="295"/>
      <c r="CL255" s="295"/>
      <c r="CM255" s="295"/>
      <c r="CN255" s="295"/>
      <c r="CO255" s="295"/>
      <c r="CP255" s="293">
        <f t="shared" si="4294"/>
        <v>0</v>
      </c>
      <c r="CQ255" s="312"/>
      <c r="CR255" s="312"/>
      <c r="CS255" s="312"/>
      <c r="CT255" s="312"/>
      <c r="CU255" s="312"/>
      <c r="CV255" s="312"/>
      <c r="CW255" s="312"/>
      <c r="CX255" s="312"/>
      <c r="CY255" s="312"/>
      <c r="CZ255" s="312"/>
      <c r="DA255" s="312"/>
      <c r="DB255" s="312"/>
      <c r="DC255" s="312"/>
      <c r="DD255" s="312"/>
      <c r="DE255" s="312"/>
      <c r="DF255" s="312"/>
      <c r="DG255" s="312"/>
      <c r="DH255" s="312"/>
      <c r="DI255" s="312"/>
      <c r="DJ255" s="312"/>
      <c r="DK255" s="312"/>
      <c r="DL255" s="312"/>
      <c r="DM255" s="312"/>
      <c r="DN255" s="312"/>
      <c r="DO255" s="312"/>
      <c r="DP255" s="312"/>
      <c r="DQ255" s="312"/>
      <c r="DR255" s="312"/>
      <c r="DS255" s="312"/>
      <c r="DT255" s="312"/>
      <c r="DU255" s="312"/>
      <c r="DV255" s="312"/>
      <c r="DW255" s="312"/>
      <c r="DX255" s="312"/>
      <c r="DY255" s="312"/>
      <c r="DZ255" s="312"/>
      <c r="EA255" s="312"/>
      <c r="EB255" s="312"/>
      <c r="EC255" s="312"/>
      <c r="ED255" s="312"/>
      <c r="EE255" s="312"/>
      <c r="EF255" s="312"/>
      <c r="EG255" s="312"/>
      <c r="EH255" s="312"/>
      <c r="EI255" s="312"/>
      <c r="EJ255" s="312"/>
      <c r="EK255" s="312"/>
      <c r="EL255" s="312"/>
      <c r="EM255" s="312"/>
      <c r="EN255" s="312"/>
      <c r="EO255" s="312"/>
      <c r="EP255" s="312"/>
      <c r="EQ255" s="312"/>
      <c r="ER255" s="312"/>
      <c r="ES255" s="312"/>
      <c r="ET255" s="312"/>
      <c r="EU255" s="312"/>
      <c r="EV255" s="312"/>
      <c r="EW255" s="312"/>
      <c r="EX255" s="312"/>
      <c r="EY255" s="312"/>
      <c r="EZ255" s="312"/>
      <c r="FA255" s="312"/>
      <c r="FB255" s="312"/>
      <c r="FC255" s="312"/>
      <c r="FD255" s="312"/>
      <c r="FE255" s="312"/>
      <c r="FF255" s="312"/>
      <c r="FG255" s="312"/>
      <c r="FH255" s="312"/>
      <c r="FI255" s="312"/>
      <c r="FJ255" s="312"/>
      <c r="FK255" s="312"/>
      <c r="FL255" s="312"/>
      <c r="FM255" s="312"/>
      <c r="FN255" s="312"/>
      <c r="FO255" s="312"/>
      <c r="FP255" s="312"/>
      <c r="FQ255" s="312"/>
      <c r="FR255" s="312"/>
      <c r="FS255" s="312"/>
      <c r="FT255" s="312"/>
      <c r="FU255" s="312"/>
      <c r="FV255" s="312"/>
      <c r="FW255" s="312"/>
      <c r="FX255" s="312"/>
      <c r="FY255" s="312"/>
      <c r="FZ255" s="312"/>
      <c r="GA255" s="312"/>
      <c r="GB255" s="312"/>
      <c r="GC255" s="312"/>
      <c r="GD255" s="312"/>
      <c r="GE255" s="312"/>
      <c r="GF255" s="312"/>
      <c r="GG255" s="312"/>
      <c r="GH255" s="312"/>
      <c r="GI255" s="312"/>
      <c r="GJ255" s="312"/>
      <c r="GK255" s="312"/>
      <c r="GL255" s="312"/>
      <c r="GM255" s="312"/>
      <c r="GN255" s="312"/>
      <c r="GO255" s="312"/>
      <c r="GP255" s="312"/>
      <c r="GQ255" s="312"/>
      <c r="GR255" s="312"/>
      <c r="GS255" s="312"/>
      <c r="GT255" s="312"/>
      <c r="GU255" s="312"/>
      <c r="GV255" s="312"/>
      <c r="GW255" s="312"/>
      <c r="GX255" s="312"/>
      <c r="GY255" s="312"/>
      <c r="GZ255" s="312"/>
      <c r="HA255" s="381">
        <f>SUM(J255:GZ255)</f>
        <v>0</v>
      </c>
      <c r="HB255" s="312"/>
      <c r="HC255" s="381"/>
      <c r="HD255" s="360">
        <v>343692</v>
      </c>
    </row>
    <row r="256" spans="1:212" s="299" customFormat="1" ht="15" customHeight="1">
      <c r="A256" s="290">
        <v>129</v>
      </c>
      <c r="B256" s="301" t="s">
        <v>1158</v>
      </c>
      <c r="C256" s="301" t="s">
        <v>1161</v>
      </c>
      <c r="D256" s="332" t="s">
        <v>339</v>
      </c>
      <c r="E256" s="333" t="s">
        <v>486</v>
      </c>
      <c r="F256" s="334">
        <f>H256/G256/365</f>
        <v>15.790005479452054</v>
      </c>
      <c r="G256" s="335">
        <v>30</v>
      </c>
      <c r="H256" s="320">
        <f>14408.38*12</f>
        <v>172900.56</v>
      </c>
      <c r="I256" s="298">
        <v>43225.13</v>
      </c>
      <c r="J256" s="295">
        <f>ROUND(14408.38*3,0)</f>
        <v>43225</v>
      </c>
      <c r="K256" s="295">
        <f t="shared" ref="K256:M257" si="5642">J256</f>
        <v>43225</v>
      </c>
      <c r="L256" s="292">
        <f t="shared" si="5642"/>
        <v>43225</v>
      </c>
      <c r="M256" s="295">
        <f t="shared" si="5642"/>
        <v>43225</v>
      </c>
      <c r="N256" s="293">
        <f>ROUND(M256*(1+取值表!$D$12)*取值表!$I$12,0)</f>
        <v>44457</v>
      </c>
      <c r="O256" s="295">
        <f>N256</f>
        <v>44457</v>
      </c>
      <c r="P256" s="295">
        <f t="shared" ref="P256:P257" si="5643">O256</f>
        <v>44457</v>
      </c>
      <c r="Q256" s="295">
        <f>P256</f>
        <v>44457</v>
      </c>
      <c r="R256" s="294">
        <f>ROUND(Q256*(1+取值表!$D$8),0)</f>
        <v>48592</v>
      </c>
      <c r="S256" s="295">
        <f t="shared" ref="S256:T256" si="5644">R256</f>
        <v>48592</v>
      </c>
      <c r="T256" s="295">
        <f t="shared" si="5644"/>
        <v>48592</v>
      </c>
      <c r="U256" s="295">
        <f>T256</f>
        <v>48592</v>
      </c>
      <c r="V256" s="293">
        <f>ROUND(U256*(1+取值表!$D$12),0)</f>
        <v>53111</v>
      </c>
      <c r="W256" s="295">
        <f t="shared" ref="W256:Y256" si="5645">V256</f>
        <v>53111</v>
      </c>
      <c r="X256" s="295">
        <f t="shared" si="5645"/>
        <v>53111</v>
      </c>
      <c r="Y256" s="295">
        <f t="shared" si="5645"/>
        <v>53111</v>
      </c>
      <c r="Z256" s="293">
        <f>ROUND(Y256*(1+取值表!$D$12),0)</f>
        <v>58050</v>
      </c>
      <c r="AA256" s="295">
        <f t="shared" ref="AA256" si="5646">Z256</f>
        <v>58050</v>
      </c>
      <c r="AB256" s="295">
        <f t="shared" ref="AB256" si="5647">AA256</f>
        <v>58050</v>
      </c>
      <c r="AC256" s="295">
        <f>AB256</f>
        <v>58050</v>
      </c>
      <c r="AD256" s="293">
        <f>ROUND(AC256*(1+取值表!$D$12),0)</f>
        <v>63449</v>
      </c>
      <c r="AE256" s="295">
        <f t="shared" ref="AE256:AE257" si="5648">AD256</f>
        <v>63449</v>
      </c>
      <c r="AF256" s="295">
        <f t="shared" ref="AF256:AF257" si="5649">AE256</f>
        <v>63449</v>
      </c>
      <c r="AG256" s="295">
        <f t="shared" ref="AG256:AG257" si="5650">AF256</f>
        <v>63449</v>
      </c>
      <c r="AH256" s="293">
        <f>ROUND(AG256*(1+取值表!$D$12),0)</f>
        <v>69350</v>
      </c>
      <c r="AI256" s="295">
        <f t="shared" ref="AI256:AI257" si="5651">AH256</f>
        <v>69350</v>
      </c>
      <c r="AJ256" s="295">
        <f t="shared" ref="AJ256:AJ257" si="5652">AI256</f>
        <v>69350</v>
      </c>
      <c r="AK256" s="295">
        <f t="shared" ref="AK256:AK257" si="5653">AJ256</f>
        <v>69350</v>
      </c>
      <c r="AL256" s="293">
        <f>ROUND(AK256*(1+取值表!$D$12),0)</f>
        <v>75800</v>
      </c>
      <c r="AM256" s="295">
        <f t="shared" ref="AM256:AM257" si="5654">AL256</f>
        <v>75800</v>
      </c>
      <c r="AN256" s="295">
        <f t="shared" ref="AN256:AN257" si="5655">AM256</f>
        <v>75800</v>
      </c>
      <c r="AO256" s="295">
        <f t="shared" ref="AO256:AO257" si="5656">AN256</f>
        <v>75800</v>
      </c>
      <c r="AP256" s="293">
        <f>ROUND(AO256*(1+取值表!$D$12),0)</f>
        <v>82849</v>
      </c>
      <c r="AQ256" s="295">
        <f t="shared" ref="AQ256:AQ257" si="5657">AP256</f>
        <v>82849</v>
      </c>
      <c r="AR256" s="295">
        <f t="shared" ref="AR256:AR257" si="5658">AQ256</f>
        <v>82849</v>
      </c>
      <c r="AS256" s="295">
        <f t="shared" ref="AS256:AS257" si="5659">AR256</f>
        <v>82849</v>
      </c>
      <c r="AT256" s="293">
        <f>ROUND(AS256*(1+取值表!$D$12),0)</f>
        <v>90554</v>
      </c>
      <c r="AU256" s="295">
        <f t="shared" ref="AU256:AU257" si="5660">AT256</f>
        <v>90554</v>
      </c>
      <c r="AV256" s="295">
        <f t="shared" ref="AV256:AV257" si="5661">AU256</f>
        <v>90554</v>
      </c>
      <c r="AW256" s="295">
        <f t="shared" ref="AW256:AW257" si="5662">AV256</f>
        <v>90554</v>
      </c>
      <c r="AX256" s="293">
        <f>ROUND(AW256*(1+取值表!$D$12),0)</f>
        <v>98976</v>
      </c>
      <c r="AY256" s="295">
        <f t="shared" ref="AY256:AY257" si="5663">AX256</f>
        <v>98976</v>
      </c>
      <c r="AZ256" s="295">
        <f t="shared" ref="AZ256:AZ257" si="5664">AY256</f>
        <v>98976</v>
      </c>
      <c r="BA256" s="295">
        <f t="shared" ref="BA256:BA257" si="5665">AZ256</f>
        <v>98976</v>
      </c>
      <c r="BB256" s="293">
        <f>ROUND(BA256*(1+取值表!$D$12),0)</f>
        <v>108181</v>
      </c>
      <c r="BC256" s="295">
        <f>BB256</f>
        <v>108181</v>
      </c>
      <c r="BD256" s="295">
        <f t="shared" ref="BD256:BD257" si="5666">BC256</f>
        <v>108181</v>
      </c>
      <c r="BE256" s="295">
        <f>BD256</f>
        <v>108181</v>
      </c>
      <c r="BF256" s="293">
        <f>ROUND(BE256*(1+取值表!$D$12),0)</f>
        <v>118242</v>
      </c>
      <c r="BG256" s="295">
        <f>BF256</f>
        <v>118242</v>
      </c>
      <c r="BH256" s="295">
        <f t="shared" ref="BH256:BH257" si="5667">BG256</f>
        <v>118242</v>
      </c>
      <c r="BI256" s="295">
        <f t="shared" ref="BI256:BI257" si="5668">BH256</f>
        <v>118242</v>
      </c>
      <c r="BJ256" s="293">
        <f>ROUND(BI256*(1+取值表!$D$12),0)</f>
        <v>129239</v>
      </c>
      <c r="BK256" s="295">
        <f t="shared" ref="BK256:BK257" si="5669">BJ256</f>
        <v>129239</v>
      </c>
      <c r="BL256" s="295">
        <f t="shared" ref="BL256:BL257" si="5670">BK256</f>
        <v>129239</v>
      </c>
      <c r="BM256" s="295">
        <f t="shared" ref="BM256:BM257" si="5671">BL256</f>
        <v>129239</v>
      </c>
      <c r="BN256" s="293">
        <f>ROUND(BM256*(1+取值表!$D$12),0)</f>
        <v>141258</v>
      </c>
      <c r="BO256" s="295">
        <f t="shared" ref="BO256:BO257" si="5672">BN256</f>
        <v>141258</v>
      </c>
      <c r="BP256" s="295">
        <f t="shared" ref="BP256:BP257" si="5673">BO256</f>
        <v>141258</v>
      </c>
      <c r="BQ256" s="295">
        <f t="shared" ref="BQ256:BQ257" si="5674">BP256</f>
        <v>141258</v>
      </c>
      <c r="BR256" s="293">
        <f>ROUND(BQ256*(1+取值表!$D$12),0)</f>
        <v>154395</v>
      </c>
      <c r="BS256" s="295">
        <f t="shared" ref="BS256:BS257" si="5675">BR256</f>
        <v>154395</v>
      </c>
      <c r="BT256" s="295">
        <f t="shared" ref="BT256:BT257" si="5676">BS256</f>
        <v>154395</v>
      </c>
      <c r="BU256" s="295">
        <f t="shared" ref="BU256:BU257" si="5677">BT256</f>
        <v>154395</v>
      </c>
      <c r="BV256" s="293">
        <f>ROUND(BU256*(1+取值表!$D$12),0)</f>
        <v>168754</v>
      </c>
      <c r="BW256" s="295">
        <f t="shared" ref="BW256:BW257" si="5678">BV256</f>
        <v>168754</v>
      </c>
      <c r="BX256" s="295">
        <f t="shared" ref="BX256:BX257" si="5679">BW256</f>
        <v>168754</v>
      </c>
      <c r="BY256" s="295">
        <f t="shared" ref="BY256:BY257" si="5680">BX256</f>
        <v>168754</v>
      </c>
      <c r="BZ256" s="293">
        <f>ROUND(BY256*(1+取值表!$D$12),0)</f>
        <v>184448</v>
      </c>
      <c r="CA256" s="295">
        <f t="shared" ref="CA256:CA257" si="5681">BZ256</f>
        <v>184448</v>
      </c>
      <c r="CB256" s="295">
        <f t="shared" ref="CB256:CB257" si="5682">CA256</f>
        <v>184448</v>
      </c>
      <c r="CC256" s="295">
        <f t="shared" ref="CC256:CC257" si="5683">CB256</f>
        <v>184448</v>
      </c>
      <c r="CD256" s="293">
        <f>ROUND(CC256*(1+取值表!$D$12),0)</f>
        <v>201602</v>
      </c>
      <c r="CE256" s="295">
        <f t="shared" ref="CE256:CE257" si="5684">CD256</f>
        <v>201602</v>
      </c>
      <c r="CF256" s="295">
        <f t="shared" ref="CF256:CF257" si="5685">CE256</f>
        <v>201602</v>
      </c>
      <c r="CG256" s="295">
        <f t="shared" ref="CG256:CG257" si="5686">CF256</f>
        <v>201602</v>
      </c>
      <c r="CH256" s="293">
        <f>ROUND(CG256*(1+取值表!$D$12),0)</f>
        <v>220351</v>
      </c>
      <c r="CI256" s="295">
        <f>CH256</f>
        <v>220351</v>
      </c>
      <c r="CJ256" s="295">
        <f t="shared" ref="CJ256:CJ257" si="5687">CI256</f>
        <v>220351</v>
      </c>
      <c r="CK256" s="295">
        <f t="shared" ref="CK256:CK257" si="5688">CJ256</f>
        <v>220351</v>
      </c>
      <c r="CL256" s="293">
        <f>ROUND(CK256*(1+取值表!$D$12),0)</f>
        <v>240844</v>
      </c>
      <c r="CM256" s="295">
        <f>CL256</f>
        <v>240844</v>
      </c>
      <c r="CN256" s="295">
        <f t="shared" ref="CN256:CN257" si="5689">CM256</f>
        <v>240844</v>
      </c>
      <c r="CO256" s="295">
        <f t="shared" ref="CO256:CO257" si="5690">CN256</f>
        <v>240844</v>
      </c>
      <c r="CP256" s="293">
        <f t="shared" si="4294"/>
        <v>9582908</v>
      </c>
    </row>
    <row r="257" spans="1:95" ht="12" customHeight="1">
      <c r="A257" s="679">
        <v>130</v>
      </c>
      <c r="B257" s="671" t="s">
        <v>246</v>
      </c>
      <c r="C257" s="673" t="s">
        <v>742</v>
      </c>
      <c r="D257" s="675" t="s">
        <v>504</v>
      </c>
      <c r="E257" s="677" t="s">
        <v>505</v>
      </c>
      <c r="F257" s="665">
        <v>71.430000000000007</v>
      </c>
      <c r="G257" s="665">
        <v>9.5</v>
      </c>
      <c r="H257" s="667">
        <f>F257*G257*365</f>
        <v>247683.52500000002</v>
      </c>
      <c r="I257" s="291">
        <v>58661.89</v>
      </c>
      <c r="J257" s="292">
        <f>ROUND(G257*F257*365/4,0)</f>
        <v>61921</v>
      </c>
      <c r="K257" s="293">
        <f t="shared" si="5642"/>
        <v>61921</v>
      </c>
      <c r="L257" s="293">
        <f t="shared" si="5642"/>
        <v>61921</v>
      </c>
      <c r="M257" s="293">
        <f t="shared" si="5642"/>
        <v>61921</v>
      </c>
      <c r="N257" s="293">
        <f>ROUND(M257*(1+取值表!$D$14)*取值表!$I$14,0)</f>
        <v>61939</v>
      </c>
      <c r="O257" s="293">
        <f>N257</f>
        <v>61939</v>
      </c>
      <c r="P257" s="293">
        <f t="shared" si="5643"/>
        <v>61939</v>
      </c>
      <c r="Q257" s="293">
        <f>P257</f>
        <v>61939</v>
      </c>
      <c r="R257" s="294">
        <f>ROUND(Q257*(1+取值表!$D$14),0)</f>
        <v>65841</v>
      </c>
      <c r="S257" s="293">
        <f t="shared" ref="S257:T257" si="5691">R257</f>
        <v>65841</v>
      </c>
      <c r="T257" s="293">
        <f t="shared" si="5691"/>
        <v>65841</v>
      </c>
      <c r="U257" s="293">
        <f>T257</f>
        <v>65841</v>
      </c>
      <c r="V257" s="293">
        <f>ROUND(U257*(1+取值表!$D$14),0)</f>
        <v>69989</v>
      </c>
      <c r="W257" s="293">
        <f t="shared" ref="W257:Y257" si="5692">V257</f>
        <v>69989</v>
      </c>
      <c r="X257" s="293">
        <f t="shared" si="5692"/>
        <v>69989</v>
      </c>
      <c r="Y257" s="293">
        <f t="shared" si="5692"/>
        <v>69989</v>
      </c>
      <c r="Z257" s="293">
        <f>ROUND(Y257*(1+取值表!$D$14),0)</f>
        <v>74398</v>
      </c>
      <c r="AA257" s="293">
        <f t="shared" ref="AA257:AB257" si="5693">Z257</f>
        <v>74398</v>
      </c>
      <c r="AB257" s="293">
        <f t="shared" si="5693"/>
        <v>74398</v>
      </c>
      <c r="AC257" s="293">
        <f>AB257</f>
        <v>74398</v>
      </c>
      <c r="AD257" s="293">
        <f>ROUND(AC257*(1+取值表!$D$14),0)</f>
        <v>79085</v>
      </c>
      <c r="AE257" s="293">
        <f t="shared" si="5648"/>
        <v>79085</v>
      </c>
      <c r="AF257" s="293">
        <f t="shared" si="5649"/>
        <v>79085</v>
      </c>
      <c r="AG257" s="293">
        <f t="shared" si="5650"/>
        <v>79085</v>
      </c>
      <c r="AH257" s="293">
        <f>ROUND(AG257*(1+取值表!$D$14),0)</f>
        <v>84067</v>
      </c>
      <c r="AI257" s="293">
        <f t="shared" si="5651"/>
        <v>84067</v>
      </c>
      <c r="AJ257" s="293">
        <f t="shared" si="5652"/>
        <v>84067</v>
      </c>
      <c r="AK257" s="293">
        <f t="shared" si="5653"/>
        <v>84067</v>
      </c>
      <c r="AL257" s="293">
        <f>ROUND(AK257*(1+取值表!$D$14),0)</f>
        <v>89363</v>
      </c>
      <c r="AM257" s="293">
        <f t="shared" si="5654"/>
        <v>89363</v>
      </c>
      <c r="AN257" s="293">
        <f t="shared" si="5655"/>
        <v>89363</v>
      </c>
      <c r="AO257" s="293">
        <f t="shared" si="5656"/>
        <v>89363</v>
      </c>
      <c r="AP257" s="293">
        <f>ROUND(AO257*(1+取值表!$D$14),0)</f>
        <v>94993</v>
      </c>
      <c r="AQ257" s="293">
        <f t="shared" si="5657"/>
        <v>94993</v>
      </c>
      <c r="AR257" s="293">
        <f t="shared" si="5658"/>
        <v>94993</v>
      </c>
      <c r="AS257" s="293">
        <f t="shared" si="5659"/>
        <v>94993</v>
      </c>
      <c r="AT257" s="293">
        <f>ROUND(AS257*(1+取值表!$D$14),0)</f>
        <v>100978</v>
      </c>
      <c r="AU257" s="293">
        <f t="shared" si="5660"/>
        <v>100978</v>
      </c>
      <c r="AV257" s="293">
        <f t="shared" si="5661"/>
        <v>100978</v>
      </c>
      <c r="AW257" s="293">
        <f t="shared" si="5662"/>
        <v>100978</v>
      </c>
      <c r="AX257" s="293">
        <f>ROUND(AW257*(1+取值表!$D$14),0)</f>
        <v>107340</v>
      </c>
      <c r="AY257" s="293">
        <f t="shared" si="5663"/>
        <v>107340</v>
      </c>
      <c r="AZ257" s="293">
        <f t="shared" si="5664"/>
        <v>107340</v>
      </c>
      <c r="BA257" s="293">
        <f t="shared" si="5665"/>
        <v>107340</v>
      </c>
      <c r="BB257" s="293">
        <f>ROUND(BA257*(1+取值表!$D$14),0)</f>
        <v>114102</v>
      </c>
      <c r="BC257" s="293">
        <f>BB257</f>
        <v>114102</v>
      </c>
      <c r="BD257" s="293">
        <f t="shared" si="5666"/>
        <v>114102</v>
      </c>
      <c r="BE257" s="293">
        <f>BD257</f>
        <v>114102</v>
      </c>
      <c r="BF257" s="293">
        <f>ROUND(BE257*(1+取值表!$D$14),0)</f>
        <v>121290</v>
      </c>
      <c r="BG257" s="293">
        <f>BF257</f>
        <v>121290</v>
      </c>
      <c r="BH257" s="293">
        <f t="shared" si="5667"/>
        <v>121290</v>
      </c>
      <c r="BI257" s="293">
        <f t="shared" si="5668"/>
        <v>121290</v>
      </c>
      <c r="BJ257" s="293">
        <f>ROUND(BI257*(1+取值表!$D$14),0)</f>
        <v>128931</v>
      </c>
      <c r="BK257" s="293">
        <f t="shared" si="5669"/>
        <v>128931</v>
      </c>
      <c r="BL257" s="293">
        <f t="shared" si="5670"/>
        <v>128931</v>
      </c>
      <c r="BM257" s="293">
        <f t="shared" si="5671"/>
        <v>128931</v>
      </c>
      <c r="BN257" s="293">
        <f>ROUND(BM257*(1+取值表!$D$14),0)</f>
        <v>137054</v>
      </c>
      <c r="BO257" s="293">
        <f t="shared" si="5672"/>
        <v>137054</v>
      </c>
      <c r="BP257" s="293">
        <f t="shared" si="5673"/>
        <v>137054</v>
      </c>
      <c r="BQ257" s="293">
        <f t="shared" si="5674"/>
        <v>137054</v>
      </c>
      <c r="BR257" s="293">
        <f>ROUND(BQ257*(1+取值表!$D$14),0)</f>
        <v>145688</v>
      </c>
      <c r="BS257" s="293">
        <f t="shared" si="5675"/>
        <v>145688</v>
      </c>
      <c r="BT257" s="293">
        <f t="shared" si="5676"/>
        <v>145688</v>
      </c>
      <c r="BU257" s="293">
        <f t="shared" si="5677"/>
        <v>145688</v>
      </c>
      <c r="BV257" s="293">
        <f>ROUND(BU257*(1+取值表!$D$14),0)</f>
        <v>154866</v>
      </c>
      <c r="BW257" s="293">
        <f t="shared" si="5678"/>
        <v>154866</v>
      </c>
      <c r="BX257" s="293">
        <f t="shared" si="5679"/>
        <v>154866</v>
      </c>
      <c r="BY257" s="293">
        <f t="shared" si="5680"/>
        <v>154866</v>
      </c>
      <c r="BZ257" s="293">
        <f>ROUND(BY257*(1+取值表!$D$14),0)</f>
        <v>164623</v>
      </c>
      <c r="CA257" s="293">
        <f t="shared" si="5681"/>
        <v>164623</v>
      </c>
      <c r="CB257" s="293">
        <f t="shared" si="5682"/>
        <v>164623</v>
      </c>
      <c r="CC257" s="293">
        <f t="shared" si="5683"/>
        <v>164623</v>
      </c>
      <c r="CD257" s="293">
        <f>ROUND(CC257*(1+取值表!$D$14),0)</f>
        <v>174994</v>
      </c>
      <c r="CE257" s="293">
        <f t="shared" si="5684"/>
        <v>174994</v>
      </c>
      <c r="CF257" s="293">
        <f t="shared" si="5685"/>
        <v>174994</v>
      </c>
      <c r="CG257" s="293">
        <f t="shared" si="5686"/>
        <v>174994</v>
      </c>
      <c r="CH257" s="293">
        <f>ROUND(CG257*(1+取值表!$D$14),0)</f>
        <v>186019</v>
      </c>
      <c r="CI257" s="293">
        <f>CH257</f>
        <v>186019</v>
      </c>
      <c r="CJ257" s="293">
        <f t="shared" si="5687"/>
        <v>186019</v>
      </c>
      <c r="CK257" s="293">
        <f t="shared" si="5688"/>
        <v>186019</v>
      </c>
      <c r="CL257" s="293">
        <f>ROUND(CK257*(1+取值表!$D$14),0)</f>
        <v>197738</v>
      </c>
      <c r="CM257" s="293">
        <f>CL257</f>
        <v>197738</v>
      </c>
      <c r="CN257" s="293">
        <f t="shared" si="5689"/>
        <v>197738</v>
      </c>
      <c r="CO257" s="293">
        <f t="shared" si="5690"/>
        <v>197738</v>
      </c>
      <c r="CP257" s="293">
        <f t="shared" si="4294"/>
        <v>9660876</v>
      </c>
    </row>
    <row r="258" spans="1:95">
      <c r="A258" s="680"/>
      <c r="B258" s="672"/>
      <c r="C258" s="674"/>
      <c r="D258" s="676"/>
      <c r="E258" s="678"/>
      <c r="F258" s="666"/>
      <c r="G258" s="666"/>
      <c r="H258" s="668"/>
      <c r="I258" s="291"/>
      <c r="J258" s="295"/>
      <c r="K258" s="293"/>
      <c r="L258" s="293"/>
      <c r="M258" s="293"/>
      <c r="N258" s="293"/>
      <c r="O258" s="293"/>
      <c r="P258" s="293"/>
      <c r="Q258" s="293"/>
      <c r="R258" s="293"/>
      <c r="S258" s="293"/>
      <c r="T258" s="293"/>
      <c r="U258" s="293"/>
      <c r="V258" s="293"/>
      <c r="W258" s="293"/>
      <c r="X258" s="293"/>
      <c r="Y258" s="293"/>
      <c r="Z258" s="293"/>
      <c r="AA258" s="293"/>
      <c r="AB258" s="293"/>
      <c r="AC258" s="293"/>
      <c r="AD258" s="293"/>
      <c r="AE258" s="293"/>
      <c r="AF258" s="293"/>
      <c r="AG258" s="293"/>
      <c r="AH258" s="293"/>
      <c r="AI258" s="293"/>
      <c r="AJ258" s="293"/>
      <c r="AK258" s="293"/>
      <c r="AL258" s="293"/>
      <c r="AM258" s="293"/>
      <c r="AN258" s="293"/>
      <c r="AO258" s="293"/>
      <c r="AP258" s="293"/>
      <c r="AQ258" s="293"/>
      <c r="AR258" s="293"/>
      <c r="AS258" s="293"/>
      <c r="AT258" s="293"/>
      <c r="AU258" s="293"/>
      <c r="AV258" s="293"/>
      <c r="AW258" s="293"/>
      <c r="AX258" s="293"/>
      <c r="AY258" s="293"/>
      <c r="AZ258" s="293"/>
      <c r="BA258" s="293"/>
      <c r="BB258" s="293"/>
      <c r="BC258" s="293"/>
      <c r="BD258" s="293"/>
      <c r="BE258" s="293"/>
      <c r="BF258" s="293"/>
      <c r="BG258" s="293"/>
      <c r="BH258" s="293"/>
      <c r="BI258" s="293"/>
      <c r="BJ258" s="293"/>
      <c r="BK258" s="293"/>
      <c r="BL258" s="293"/>
      <c r="BM258" s="293"/>
      <c r="BN258" s="293"/>
      <c r="BO258" s="293"/>
      <c r="BP258" s="293"/>
      <c r="BQ258" s="293"/>
      <c r="BR258" s="293"/>
      <c r="BS258" s="293"/>
      <c r="BT258" s="293"/>
      <c r="BU258" s="293"/>
      <c r="BV258" s="293"/>
      <c r="BW258" s="293"/>
      <c r="BX258" s="293"/>
      <c r="BY258" s="293"/>
      <c r="BZ258" s="293"/>
      <c r="CA258" s="293"/>
      <c r="CB258" s="293"/>
      <c r="CC258" s="293"/>
      <c r="CD258" s="293"/>
      <c r="CE258" s="293"/>
      <c r="CF258" s="293"/>
      <c r="CG258" s="293"/>
      <c r="CH258" s="293"/>
      <c r="CI258" s="293"/>
      <c r="CJ258" s="293"/>
      <c r="CK258" s="293"/>
      <c r="CL258" s="293"/>
      <c r="CM258" s="293"/>
      <c r="CN258" s="293"/>
      <c r="CO258" s="293"/>
      <c r="CP258" s="293">
        <f t="shared" si="4294"/>
        <v>0</v>
      </c>
    </row>
    <row r="259" spans="1:95" ht="12" customHeight="1">
      <c r="A259" s="679">
        <v>131</v>
      </c>
      <c r="B259" s="671" t="s">
        <v>247</v>
      </c>
      <c r="C259" s="673" t="s">
        <v>727</v>
      </c>
      <c r="D259" s="675" t="s">
        <v>506</v>
      </c>
      <c r="E259" s="677" t="s">
        <v>505</v>
      </c>
      <c r="F259" s="665">
        <v>84.27</v>
      </c>
      <c r="G259" s="665">
        <v>15</v>
      </c>
      <c r="H259" s="667">
        <f>F259*G259*365</f>
        <v>461378.25</v>
      </c>
      <c r="I259" s="291">
        <v>113422.15</v>
      </c>
      <c r="J259" s="295">
        <f>ROUND(G259*F259*365/4,0)</f>
        <v>115345</v>
      </c>
      <c r="K259" s="293">
        <f t="shared" ref="K259:N259" si="5694">J259</f>
        <v>115345</v>
      </c>
      <c r="L259" s="293">
        <f t="shared" si="5694"/>
        <v>115345</v>
      </c>
      <c r="M259" s="293">
        <f t="shared" si="5694"/>
        <v>115345</v>
      </c>
      <c r="N259" s="293">
        <f t="shared" si="5694"/>
        <v>115345</v>
      </c>
      <c r="O259" s="293">
        <f>N259</f>
        <v>115345</v>
      </c>
      <c r="P259" s="292">
        <f>O259</f>
        <v>115345</v>
      </c>
      <c r="Q259" s="293">
        <f>P259</f>
        <v>115345</v>
      </c>
      <c r="R259" s="293">
        <f>ROUND(Q259*(1+取值表!$D$14)*取值表!$I$14,0)</f>
        <v>115378</v>
      </c>
      <c r="S259" s="293">
        <f>R259</f>
        <v>115378</v>
      </c>
      <c r="T259" s="293">
        <f>S259</f>
        <v>115378</v>
      </c>
      <c r="U259" s="293">
        <f>T259</f>
        <v>115378</v>
      </c>
      <c r="V259" s="294">
        <f>ROUND(U259*(1+取值表!$D$14),0)</f>
        <v>122647</v>
      </c>
      <c r="W259" s="293">
        <f t="shared" ref="W259:Y259" si="5695">V259</f>
        <v>122647</v>
      </c>
      <c r="X259" s="293">
        <f t="shared" si="5695"/>
        <v>122647</v>
      </c>
      <c r="Y259" s="293">
        <f t="shared" si="5695"/>
        <v>122647</v>
      </c>
      <c r="Z259" s="293">
        <f>ROUND(Y259*(1+取值表!$D$14),0)</f>
        <v>130374</v>
      </c>
      <c r="AA259" s="293">
        <f t="shared" ref="AA259:AB259" si="5696">Z259</f>
        <v>130374</v>
      </c>
      <c r="AB259" s="293">
        <f t="shared" si="5696"/>
        <v>130374</v>
      </c>
      <c r="AC259" s="293">
        <f>AB259</f>
        <v>130374</v>
      </c>
      <c r="AD259" s="293">
        <f>ROUND(AC259*(1+取值表!$D$14),0)</f>
        <v>138588</v>
      </c>
      <c r="AE259" s="293">
        <f t="shared" ref="AE259" si="5697">AD259</f>
        <v>138588</v>
      </c>
      <c r="AF259" s="293">
        <f t="shared" ref="AF259" si="5698">AE259</f>
        <v>138588</v>
      </c>
      <c r="AG259" s="293">
        <f t="shared" ref="AG259" si="5699">AF259</f>
        <v>138588</v>
      </c>
      <c r="AH259" s="293">
        <f>ROUND(AG259*(1+取值表!$D$14),0)</f>
        <v>147319</v>
      </c>
      <c r="AI259" s="293">
        <f t="shared" ref="AI259" si="5700">AH259</f>
        <v>147319</v>
      </c>
      <c r="AJ259" s="293">
        <f t="shared" ref="AJ259" si="5701">AI259</f>
        <v>147319</v>
      </c>
      <c r="AK259" s="293">
        <f t="shared" ref="AK259" si="5702">AJ259</f>
        <v>147319</v>
      </c>
      <c r="AL259" s="293">
        <f>ROUND(AK259*(1+取值表!$D$14),0)</f>
        <v>156600</v>
      </c>
      <c r="AM259" s="293">
        <f t="shared" ref="AM259" si="5703">AL259</f>
        <v>156600</v>
      </c>
      <c r="AN259" s="293">
        <f t="shared" ref="AN259" si="5704">AM259</f>
        <v>156600</v>
      </c>
      <c r="AO259" s="293">
        <f t="shared" ref="AO259" si="5705">AN259</f>
        <v>156600</v>
      </c>
      <c r="AP259" s="293">
        <f>ROUND(AO259*(1+取值表!$D$14),0)</f>
        <v>166466</v>
      </c>
      <c r="AQ259" s="293">
        <f t="shared" ref="AQ259" si="5706">AP259</f>
        <v>166466</v>
      </c>
      <c r="AR259" s="293">
        <f t="shared" ref="AR259" si="5707">AQ259</f>
        <v>166466</v>
      </c>
      <c r="AS259" s="293">
        <f t="shared" ref="AS259" si="5708">AR259</f>
        <v>166466</v>
      </c>
      <c r="AT259" s="293">
        <f>ROUND(AS259*(1+取值表!$D$14),0)</f>
        <v>176953</v>
      </c>
      <c r="AU259" s="293">
        <f t="shared" ref="AU259" si="5709">AT259</f>
        <v>176953</v>
      </c>
      <c r="AV259" s="293">
        <f t="shared" ref="AV259" si="5710">AU259</f>
        <v>176953</v>
      </c>
      <c r="AW259" s="293">
        <f t="shared" ref="AW259" si="5711">AV259</f>
        <v>176953</v>
      </c>
      <c r="AX259" s="293">
        <f>ROUND(AW259*(1+取值表!$D$14),0)</f>
        <v>188101</v>
      </c>
      <c r="AY259" s="293">
        <f t="shared" ref="AY259" si="5712">AX259</f>
        <v>188101</v>
      </c>
      <c r="AZ259" s="293">
        <f t="shared" ref="AZ259" si="5713">AY259</f>
        <v>188101</v>
      </c>
      <c r="BA259" s="293">
        <f t="shared" ref="BA259" si="5714">AZ259</f>
        <v>188101</v>
      </c>
      <c r="BB259" s="293">
        <f>ROUND(BA259*(1+取值表!$D$14),0)</f>
        <v>199951</v>
      </c>
      <c r="BC259" s="293">
        <f>BB259</f>
        <v>199951</v>
      </c>
      <c r="BD259" s="293">
        <f t="shared" ref="BD259" si="5715">BC259</f>
        <v>199951</v>
      </c>
      <c r="BE259" s="293">
        <f>BD259</f>
        <v>199951</v>
      </c>
      <c r="BF259" s="293">
        <f>ROUND(BE259*(1+取值表!$D$14),0)</f>
        <v>212548</v>
      </c>
      <c r="BG259" s="293">
        <f>BF259</f>
        <v>212548</v>
      </c>
      <c r="BH259" s="293">
        <f t="shared" ref="BH259" si="5716">BG259</f>
        <v>212548</v>
      </c>
      <c r="BI259" s="293">
        <f t="shared" ref="BI259" si="5717">BH259</f>
        <v>212548</v>
      </c>
      <c r="BJ259" s="293">
        <f>ROUND(BI259*(1+取值表!$D$14),0)</f>
        <v>225939</v>
      </c>
      <c r="BK259" s="293">
        <f t="shared" ref="BK259" si="5718">BJ259</f>
        <v>225939</v>
      </c>
      <c r="BL259" s="293">
        <f t="shared" ref="BL259" si="5719">BK259</f>
        <v>225939</v>
      </c>
      <c r="BM259" s="293">
        <f t="shared" ref="BM259" si="5720">BL259</f>
        <v>225939</v>
      </c>
      <c r="BN259" s="293">
        <f>ROUND(BM259*(1+取值表!$D$14),0)</f>
        <v>240173</v>
      </c>
      <c r="BO259" s="293">
        <f t="shared" ref="BO259" si="5721">BN259</f>
        <v>240173</v>
      </c>
      <c r="BP259" s="293">
        <f t="shared" ref="BP259" si="5722">BO259</f>
        <v>240173</v>
      </c>
      <c r="BQ259" s="293">
        <f t="shared" ref="BQ259" si="5723">BP259</f>
        <v>240173</v>
      </c>
      <c r="BR259" s="293">
        <f>ROUND(BQ259*(1+取值表!$D$14),0)</f>
        <v>255304</v>
      </c>
      <c r="BS259" s="293">
        <f t="shared" ref="BS259" si="5724">BR259</f>
        <v>255304</v>
      </c>
      <c r="BT259" s="293">
        <f t="shared" ref="BT259" si="5725">BS259</f>
        <v>255304</v>
      </c>
      <c r="BU259" s="293">
        <f t="shared" ref="BU259" si="5726">BT259</f>
        <v>255304</v>
      </c>
      <c r="BV259" s="293">
        <f>ROUND(BU259*(1+取值表!$D$14),0)</f>
        <v>271388</v>
      </c>
      <c r="BW259" s="293">
        <f t="shared" ref="BW259" si="5727">BV259</f>
        <v>271388</v>
      </c>
      <c r="BX259" s="293">
        <f t="shared" ref="BX259" si="5728">BW259</f>
        <v>271388</v>
      </c>
      <c r="BY259" s="293">
        <f t="shared" ref="BY259" si="5729">BX259</f>
        <v>271388</v>
      </c>
      <c r="BZ259" s="293">
        <f>ROUND(BY259*(1+取值表!$D$14),0)</f>
        <v>288485</v>
      </c>
      <c r="CA259" s="293">
        <f t="shared" ref="CA259" si="5730">BZ259</f>
        <v>288485</v>
      </c>
      <c r="CB259" s="293">
        <f t="shared" ref="CB259" si="5731">CA259</f>
        <v>288485</v>
      </c>
      <c r="CC259" s="293">
        <f t="shared" ref="CC259" si="5732">CB259</f>
        <v>288485</v>
      </c>
      <c r="CD259" s="293">
        <f>ROUND(CC259*(1+取值表!$D$14),0)</f>
        <v>306660</v>
      </c>
      <c r="CE259" s="293">
        <f t="shared" ref="CE259" si="5733">CD259</f>
        <v>306660</v>
      </c>
      <c r="CF259" s="293">
        <f t="shared" ref="CF259" si="5734">CE259</f>
        <v>306660</v>
      </c>
      <c r="CG259" s="293">
        <f t="shared" ref="CG259" si="5735">CF259</f>
        <v>306660</v>
      </c>
      <c r="CH259" s="293">
        <f>ROUND(CG259*(1+取值表!$D$14),0)</f>
        <v>325980</v>
      </c>
      <c r="CI259" s="293">
        <f>CH259</f>
        <v>325980</v>
      </c>
      <c r="CJ259" s="293">
        <f t="shared" ref="CJ259" si="5736">CI259</f>
        <v>325980</v>
      </c>
      <c r="CK259" s="293">
        <f t="shared" ref="CK259" si="5737">CJ259</f>
        <v>325980</v>
      </c>
      <c r="CL259" s="293">
        <f>ROUND(CK259*(1+取值表!$D$14),0)</f>
        <v>346517</v>
      </c>
      <c r="CM259" s="293">
        <f>CL259</f>
        <v>346517</v>
      </c>
      <c r="CN259" s="293">
        <f t="shared" ref="CN259" si="5738">CM259</f>
        <v>346517</v>
      </c>
      <c r="CO259" s="293">
        <f t="shared" ref="CO259" si="5739">CN259</f>
        <v>346517</v>
      </c>
      <c r="CP259" s="293">
        <f t="shared" ref="CP259:CP322" si="5740">SUM(J259:CO259)</f>
        <v>16984244</v>
      </c>
    </row>
    <row r="260" spans="1:95">
      <c r="A260" s="680"/>
      <c r="B260" s="672"/>
      <c r="C260" s="674"/>
      <c r="D260" s="676"/>
      <c r="E260" s="678"/>
      <c r="F260" s="666"/>
      <c r="G260" s="666"/>
      <c r="H260" s="668"/>
      <c r="I260" s="291"/>
      <c r="J260" s="295"/>
      <c r="K260" s="293"/>
      <c r="L260" s="293"/>
      <c r="M260" s="293"/>
      <c r="N260" s="293"/>
      <c r="O260" s="293"/>
      <c r="P260" s="293"/>
      <c r="Q260" s="293"/>
      <c r="R260" s="293"/>
      <c r="S260" s="293"/>
      <c r="T260" s="293"/>
      <c r="U260" s="293"/>
      <c r="V260" s="293"/>
      <c r="W260" s="293"/>
      <c r="X260" s="293"/>
      <c r="Y260" s="293"/>
      <c r="Z260" s="293"/>
      <c r="AA260" s="293"/>
      <c r="AB260" s="293"/>
      <c r="AC260" s="293"/>
      <c r="AD260" s="293"/>
      <c r="AE260" s="293"/>
      <c r="AF260" s="293"/>
      <c r="AG260" s="293"/>
      <c r="AH260" s="293"/>
      <c r="AI260" s="293"/>
      <c r="AJ260" s="293"/>
      <c r="AK260" s="293"/>
      <c r="AL260" s="293"/>
      <c r="AM260" s="293"/>
      <c r="AN260" s="293"/>
      <c r="AO260" s="293"/>
      <c r="AP260" s="293"/>
      <c r="AQ260" s="293"/>
      <c r="AR260" s="293"/>
      <c r="AS260" s="293"/>
      <c r="AT260" s="293"/>
      <c r="AU260" s="293"/>
      <c r="AV260" s="293"/>
      <c r="AW260" s="293"/>
      <c r="AX260" s="293"/>
      <c r="AY260" s="293"/>
      <c r="AZ260" s="293"/>
      <c r="BA260" s="293"/>
      <c r="BB260" s="293"/>
      <c r="BC260" s="293"/>
      <c r="BD260" s="293"/>
      <c r="BE260" s="293"/>
      <c r="BF260" s="293"/>
      <c r="BG260" s="293"/>
      <c r="BH260" s="293"/>
      <c r="BI260" s="293"/>
      <c r="BJ260" s="293"/>
      <c r="BK260" s="293"/>
      <c r="BL260" s="293"/>
      <c r="BM260" s="293"/>
      <c r="BN260" s="293"/>
      <c r="BO260" s="293"/>
      <c r="BP260" s="293"/>
      <c r="BQ260" s="293"/>
      <c r="BR260" s="293"/>
      <c r="BS260" s="293"/>
      <c r="BT260" s="293"/>
      <c r="BU260" s="293"/>
      <c r="BV260" s="293"/>
      <c r="BW260" s="293"/>
      <c r="BX260" s="293"/>
      <c r="BY260" s="293"/>
      <c r="BZ260" s="293"/>
      <c r="CA260" s="293"/>
      <c r="CB260" s="293"/>
      <c r="CC260" s="293"/>
      <c r="CD260" s="293"/>
      <c r="CE260" s="293"/>
      <c r="CF260" s="293"/>
      <c r="CG260" s="293"/>
      <c r="CH260" s="293"/>
      <c r="CI260" s="293"/>
      <c r="CJ260" s="293"/>
      <c r="CK260" s="293"/>
      <c r="CL260" s="293"/>
      <c r="CM260" s="293"/>
      <c r="CN260" s="293"/>
      <c r="CO260" s="293"/>
      <c r="CP260" s="293">
        <f t="shared" si="5740"/>
        <v>0</v>
      </c>
    </row>
    <row r="261" spans="1:95" ht="12" customHeight="1">
      <c r="A261" s="679">
        <v>132</v>
      </c>
      <c r="B261" s="671" t="s">
        <v>248</v>
      </c>
      <c r="C261" s="673" t="s">
        <v>249</v>
      </c>
      <c r="D261" s="675" t="s">
        <v>250</v>
      </c>
      <c r="E261" s="677" t="s">
        <v>505</v>
      </c>
      <c r="F261" s="665">
        <v>84.95</v>
      </c>
      <c r="G261" s="665">
        <v>15.5</v>
      </c>
      <c r="H261" s="667">
        <f>F261*G261*365</f>
        <v>480604.62500000006</v>
      </c>
      <c r="I261" s="291">
        <v>120151.16</v>
      </c>
      <c r="J261" s="295">
        <f>ROUND(G261*F261*365/4,0)</f>
        <v>120151</v>
      </c>
      <c r="K261" s="293">
        <f>J261</f>
        <v>120151</v>
      </c>
      <c r="L261" s="293">
        <f>K261</f>
        <v>120151</v>
      </c>
      <c r="M261" s="292">
        <f>L261</f>
        <v>120151</v>
      </c>
      <c r="N261" s="293">
        <f>ROUND(M261*(1+取值表!$D$14)*取值表!$I$14,0)</f>
        <v>120185</v>
      </c>
      <c r="O261" s="293">
        <f>N261</f>
        <v>120185</v>
      </c>
      <c r="P261" s="293">
        <f>O261</f>
        <v>120185</v>
      </c>
      <c r="Q261" s="293">
        <f>P261</f>
        <v>120185</v>
      </c>
      <c r="R261" s="294">
        <f>ROUND(Q261*(1+取值表!$D$14),0)</f>
        <v>127757</v>
      </c>
      <c r="S261" s="293">
        <f t="shared" ref="S261:T261" si="5741">R261</f>
        <v>127757</v>
      </c>
      <c r="T261" s="293">
        <f t="shared" si="5741"/>
        <v>127757</v>
      </c>
      <c r="U261" s="293">
        <f>T261</f>
        <v>127757</v>
      </c>
      <c r="V261" s="293">
        <f>ROUND(U261*(1+取值表!$D$14),0)</f>
        <v>135806</v>
      </c>
      <c r="W261" s="293">
        <f t="shared" ref="W261:Y261" si="5742">V261</f>
        <v>135806</v>
      </c>
      <c r="X261" s="293">
        <f t="shared" si="5742"/>
        <v>135806</v>
      </c>
      <c r="Y261" s="293">
        <f t="shared" si="5742"/>
        <v>135806</v>
      </c>
      <c r="Z261" s="293">
        <f>ROUND(Y261*(1+取值表!$D$14),0)</f>
        <v>144362</v>
      </c>
      <c r="AA261" s="293">
        <f t="shared" ref="AA261" si="5743">Z261</f>
        <v>144362</v>
      </c>
      <c r="AB261" s="293">
        <f t="shared" ref="AB261" si="5744">AA261</f>
        <v>144362</v>
      </c>
      <c r="AC261" s="293">
        <f>AB261</f>
        <v>144362</v>
      </c>
      <c r="AD261" s="293">
        <f>ROUND(AC261*(1+取值表!$D$14),0)</f>
        <v>153457</v>
      </c>
      <c r="AE261" s="293">
        <f t="shared" ref="AE261" si="5745">AD261</f>
        <v>153457</v>
      </c>
      <c r="AF261" s="293">
        <f t="shared" ref="AF261" si="5746">AE261</f>
        <v>153457</v>
      </c>
      <c r="AG261" s="293">
        <f t="shared" ref="AG261" si="5747">AF261</f>
        <v>153457</v>
      </c>
      <c r="AH261" s="293">
        <f>ROUND(AG261*(1+取值表!$D$14),0)</f>
        <v>163125</v>
      </c>
      <c r="AI261" s="293">
        <f t="shared" ref="AI261" si="5748">AH261</f>
        <v>163125</v>
      </c>
      <c r="AJ261" s="293">
        <f t="shared" ref="AJ261" si="5749">AI261</f>
        <v>163125</v>
      </c>
      <c r="AK261" s="293">
        <f t="shared" ref="AK261" si="5750">AJ261</f>
        <v>163125</v>
      </c>
      <c r="AL261" s="293">
        <f>ROUND(AK261*(1+取值表!$D$14),0)</f>
        <v>173402</v>
      </c>
      <c r="AM261" s="293">
        <f t="shared" ref="AM261" si="5751">AL261</f>
        <v>173402</v>
      </c>
      <c r="AN261" s="293">
        <f t="shared" ref="AN261" si="5752">AM261</f>
        <v>173402</v>
      </c>
      <c r="AO261" s="293">
        <f t="shared" ref="AO261" si="5753">AN261</f>
        <v>173402</v>
      </c>
      <c r="AP261" s="293">
        <f>ROUND(AO261*(1+取值表!$D$14),0)</f>
        <v>184326</v>
      </c>
      <c r="AQ261" s="293">
        <f t="shared" ref="AQ261" si="5754">AP261</f>
        <v>184326</v>
      </c>
      <c r="AR261" s="293">
        <f t="shared" ref="AR261" si="5755">AQ261</f>
        <v>184326</v>
      </c>
      <c r="AS261" s="293">
        <f t="shared" ref="AS261" si="5756">AR261</f>
        <v>184326</v>
      </c>
      <c r="AT261" s="293">
        <f>ROUND(AS261*(1+取值表!$D$14),0)</f>
        <v>195939</v>
      </c>
      <c r="AU261" s="293">
        <f t="shared" ref="AU261" si="5757">AT261</f>
        <v>195939</v>
      </c>
      <c r="AV261" s="293">
        <f t="shared" ref="AV261" si="5758">AU261</f>
        <v>195939</v>
      </c>
      <c r="AW261" s="293">
        <f t="shared" ref="AW261" si="5759">AV261</f>
        <v>195939</v>
      </c>
      <c r="AX261" s="293">
        <f>ROUND(AW261*(1+取值表!$D$14),0)</f>
        <v>208283</v>
      </c>
      <c r="AY261" s="293">
        <f t="shared" ref="AY261" si="5760">AX261</f>
        <v>208283</v>
      </c>
      <c r="AZ261" s="293">
        <f t="shared" ref="AZ261" si="5761">AY261</f>
        <v>208283</v>
      </c>
      <c r="BA261" s="293">
        <f t="shared" ref="BA261" si="5762">AZ261</f>
        <v>208283</v>
      </c>
      <c r="BB261" s="293">
        <f>ROUND(BA261*(1+取值表!$D$14),0)</f>
        <v>221405</v>
      </c>
      <c r="BC261" s="293">
        <f>BB261</f>
        <v>221405</v>
      </c>
      <c r="BD261" s="293">
        <f t="shared" ref="BD261" si="5763">BC261</f>
        <v>221405</v>
      </c>
      <c r="BE261" s="293">
        <f>BD261</f>
        <v>221405</v>
      </c>
      <c r="BF261" s="293">
        <f>ROUND(BE261*(1+取值表!$D$14),0)</f>
        <v>235354</v>
      </c>
      <c r="BG261" s="293">
        <f>BF261</f>
        <v>235354</v>
      </c>
      <c r="BH261" s="293">
        <f t="shared" ref="BH261" si="5764">BG261</f>
        <v>235354</v>
      </c>
      <c r="BI261" s="293">
        <f t="shared" ref="BI261" si="5765">BH261</f>
        <v>235354</v>
      </c>
      <c r="BJ261" s="293">
        <f>ROUND(BI261*(1+取值表!$D$14),0)</f>
        <v>250181</v>
      </c>
      <c r="BK261" s="293">
        <f t="shared" ref="BK261" si="5766">BJ261</f>
        <v>250181</v>
      </c>
      <c r="BL261" s="293">
        <f t="shared" ref="BL261" si="5767">BK261</f>
        <v>250181</v>
      </c>
      <c r="BM261" s="293">
        <f t="shared" ref="BM261" si="5768">BL261</f>
        <v>250181</v>
      </c>
      <c r="BN261" s="293">
        <f>ROUND(BM261*(1+取值表!$D$14),0)</f>
        <v>265942</v>
      </c>
      <c r="BO261" s="293">
        <f t="shared" ref="BO261" si="5769">BN261</f>
        <v>265942</v>
      </c>
      <c r="BP261" s="293">
        <f t="shared" ref="BP261" si="5770">BO261</f>
        <v>265942</v>
      </c>
      <c r="BQ261" s="293">
        <f t="shared" ref="BQ261" si="5771">BP261</f>
        <v>265942</v>
      </c>
      <c r="BR261" s="293">
        <f>ROUND(BQ261*(1+取值表!$D$14),0)</f>
        <v>282696</v>
      </c>
      <c r="BS261" s="293">
        <f t="shared" ref="BS261" si="5772">BR261</f>
        <v>282696</v>
      </c>
      <c r="BT261" s="293">
        <f t="shared" ref="BT261" si="5773">BS261</f>
        <v>282696</v>
      </c>
      <c r="BU261" s="293">
        <f t="shared" ref="BU261" si="5774">BT261</f>
        <v>282696</v>
      </c>
      <c r="BV261" s="293">
        <f>ROUND(BU261*(1+取值表!$D$14),0)</f>
        <v>300506</v>
      </c>
      <c r="BW261" s="293">
        <f t="shared" ref="BW261" si="5775">BV261</f>
        <v>300506</v>
      </c>
      <c r="BX261" s="293">
        <f t="shared" ref="BX261" si="5776">BW261</f>
        <v>300506</v>
      </c>
      <c r="BY261" s="293">
        <f t="shared" ref="BY261" si="5777">BX261</f>
        <v>300506</v>
      </c>
      <c r="BZ261" s="293">
        <f>ROUND(BY261*(1+取值表!$D$14),0)</f>
        <v>319438</v>
      </c>
      <c r="CA261" s="293">
        <f t="shared" ref="CA261" si="5778">BZ261</f>
        <v>319438</v>
      </c>
      <c r="CB261" s="293">
        <f t="shared" ref="CB261" si="5779">CA261</f>
        <v>319438</v>
      </c>
      <c r="CC261" s="293">
        <f t="shared" ref="CC261" si="5780">CB261</f>
        <v>319438</v>
      </c>
      <c r="CD261" s="293">
        <f>ROUND(CC261*(1+取值表!$D$14),0)</f>
        <v>339563</v>
      </c>
      <c r="CE261" s="293">
        <f t="shared" ref="CE261" si="5781">CD261</f>
        <v>339563</v>
      </c>
      <c r="CF261" s="293">
        <f t="shared" ref="CF261" si="5782">CE261</f>
        <v>339563</v>
      </c>
      <c r="CG261" s="293">
        <f t="shared" ref="CG261" si="5783">CF261</f>
        <v>339563</v>
      </c>
      <c r="CH261" s="293">
        <f>ROUND(CG261*(1+取值表!$D$14),0)</f>
        <v>360955</v>
      </c>
      <c r="CI261" s="293">
        <f>CH261</f>
        <v>360955</v>
      </c>
      <c r="CJ261" s="293">
        <f t="shared" ref="CJ261" si="5784">CI261</f>
        <v>360955</v>
      </c>
      <c r="CK261" s="293">
        <f t="shared" ref="CK261" si="5785">CJ261</f>
        <v>360955</v>
      </c>
      <c r="CL261" s="293">
        <f>ROUND(CK261*(1+取值表!$D$14),0)</f>
        <v>383695</v>
      </c>
      <c r="CM261" s="293">
        <f>CL261</f>
        <v>383695</v>
      </c>
      <c r="CN261" s="293">
        <f t="shared" ref="CN261" si="5786">CM261</f>
        <v>383695</v>
      </c>
      <c r="CO261" s="293">
        <f t="shared" ref="CO261" si="5787">CN261</f>
        <v>383695</v>
      </c>
      <c r="CP261" s="293">
        <f t="shared" si="5740"/>
        <v>18746112</v>
      </c>
    </row>
    <row r="262" spans="1:95">
      <c r="A262" s="680"/>
      <c r="B262" s="672"/>
      <c r="C262" s="674"/>
      <c r="D262" s="676"/>
      <c r="E262" s="678"/>
      <c r="F262" s="666"/>
      <c r="G262" s="666"/>
      <c r="H262" s="668"/>
      <c r="I262" s="291"/>
      <c r="J262" s="295"/>
      <c r="K262" s="293"/>
      <c r="L262" s="293"/>
      <c r="M262" s="293"/>
      <c r="N262" s="293"/>
      <c r="O262" s="293"/>
      <c r="P262" s="293"/>
      <c r="Q262" s="293"/>
      <c r="R262" s="293"/>
      <c r="S262" s="293"/>
      <c r="T262" s="293"/>
      <c r="U262" s="293"/>
      <c r="V262" s="293"/>
      <c r="W262" s="293"/>
      <c r="X262" s="293"/>
      <c r="Y262" s="293"/>
      <c r="Z262" s="293"/>
      <c r="AA262" s="293"/>
      <c r="AB262" s="293"/>
      <c r="AC262" s="293"/>
      <c r="AD262" s="293"/>
      <c r="AE262" s="293"/>
      <c r="AF262" s="293"/>
      <c r="AG262" s="293"/>
      <c r="AH262" s="293"/>
      <c r="AI262" s="293"/>
      <c r="AJ262" s="293"/>
      <c r="AK262" s="293"/>
      <c r="AL262" s="293"/>
      <c r="AM262" s="293"/>
      <c r="AN262" s="293"/>
      <c r="AO262" s="293"/>
      <c r="AP262" s="293"/>
      <c r="AQ262" s="293"/>
      <c r="AR262" s="293"/>
      <c r="AS262" s="293"/>
      <c r="AT262" s="293"/>
      <c r="AU262" s="293"/>
      <c r="AV262" s="293"/>
      <c r="AW262" s="293"/>
      <c r="AX262" s="293"/>
      <c r="AY262" s="293"/>
      <c r="AZ262" s="293"/>
      <c r="BA262" s="293"/>
      <c r="BB262" s="293"/>
      <c r="BC262" s="293"/>
      <c r="BD262" s="293"/>
      <c r="BE262" s="293"/>
      <c r="BF262" s="293"/>
      <c r="BG262" s="293"/>
      <c r="BH262" s="293"/>
      <c r="BI262" s="293"/>
      <c r="BJ262" s="293"/>
      <c r="BK262" s="293"/>
      <c r="BL262" s="293"/>
      <c r="BM262" s="293"/>
      <c r="BN262" s="293"/>
      <c r="BO262" s="293"/>
      <c r="BP262" s="293"/>
      <c r="BQ262" s="293"/>
      <c r="BR262" s="293"/>
      <c r="BS262" s="293"/>
      <c r="BT262" s="293"/>
      <c r="BU262" s="293"/>
      <c r="BV262" s="293"/>
      <c r="BW262" s="293"/>
      <c r="BX262" s="293"/>
      <c r="BY262" s="293"/>
      <c r="BZ262" s="293"/>
      <c r="CA262" s="293"/>
      <c r="CB262" s="293"/>
      <c r="CC262" s="293"/>
      <c r="CD262" s="293"/>
      <c r="CE262" s="293"/>
      <c r="CF262" s="293"/>
      <c r="CG262" s="293"/>
      <c r="CH262" s="293"/>
      <c r="CI262" s="293"/>
      <c r="CJ262" s="293"/>
      <c r="CK262" s="293"/>
      <c r="CL262" s="293"/>
      <c r="CM262" s="293"/>
      <c r="CN262" s="293"/>
      <c r="CO262" s="293"/>
      <c r="CP262" s="293">
        <f t="shared" si="5740"/>
        <v>0</v>
      </c>
    </row>
    <row r="263" spans="1:95">
      <c r="A263" s="679">
        <v>133</v>
      </c>
      <c r="B263" s="645" t="s">
        <v>251</v>
      </c>
      <c r="C263" s="646" t="s">
        <v>103</v>
      </c>
      <c r="D263" s="647" t="s">
        <v>252</v>
      </c>
      <c r="E263" s="648" t="s">
        <v>505</v>
      </c>
      <c r="F263" s="642">
        <f>749.57+55.8</f>
        <v>805.37</v>
      </c>
      <c r="G263" s="642">
        <v>6.5</v>
      </c>
      <c r="H263" s="643">
        <f>F263*G263*365</f>
        <v>1910740.325</v>
      </c>
      <c r="I263" s="291">
        <v>440940.08</v>
      </c>
      <c r="J263" s="292">
        <f>ROUND(G263*F263*365/4,0)</f>
        <v>477685</v>
      </c>
      <c r="K263" s="293">
        <f>J263</f>
        <v>477685</v>
      </c>
      <c r="L263" s="293">
        <f>K263</f>
        <v>477685</v>
      </c>
      <c r="M263" s="293">
        <f>L263</f>
        <v>477685</v>
      </c>
      <c r="N263" s="293">
        <f>ROUND(M263*(1+取值表!$D$14)*取值表!$I$14,0)</f>
        <v>477820</v>
      </c>
      <c r="O263" s="293">
        <f>N263</f>
        <v>477820</v>
      </c>
      <c r="P263" s="293">
        <f>O263</f>
        <v>477820</v>
      </c>
      <c r="Q263" s="293">
        <f>P263</f>
        <v>477820</v>
      </c>
      <c r="R263" s="294">
        <f>ROUND(Q263*(1+取值表!$D$14),0)</f>
        <v>507923</v>
      </c>
      <c r="S263" s="293">
        <f t="shared" ref="S263:T263" si="5788">R263</f>
        <v>507923</v>
      </c>
      <c r="T263" s="293">
        <f t="shared" si="5788"/>
        <v>507923</v>
      </c>
      <c r="U263" s="293">
        <f>T263</f>
        <v>507923</v>
      </c>
      <c r="V263" s="293">
        <f>ROUND(U263*(1+取值表!$D$14),0)</f>
        <v>539922</v>
      </c>
      <c r="W263" s="293">
        <f t="shared" ref="W263:Y263" si="5789">V263</f>
        <v>539922</v>
      </c>
      <c r="X263" s="293">
        <f t="shared" si="5789"/>
        <v>539922</v>
      </c>
      <c r="Y263" s="293">
        <f t="shared" si="5789"/>
        <v>539922</v>
      </c>
      <c r="Z263" s="293">
        <f>ROUND(Y263*(1+取值表!$D$14),0)</f>
        <v>573937</v>
      </c>
      <c r="AA263" s="293">
        <f t="shared" ref="AA263" si="5790">Z263</f>
        <v>573937</v>
      </c>
      <c r="AB263" s="293">
        <f t="shared" ref="AB263" si="5791">AA263</f>
        <v>573937</v>
      </c>
      <c r="AC263" s="293">
        <f>AB263</f>
        <v>573937</v>
      </c>
      <c r="AD263" s="293">
        <f>ROUND(AC263*(1+取值表!$D$14),0)</f>
        <v>610095</v>
      </c>
      <c r="AE263" s="293">
        <f t="shared" ref="AE263" si="5792">AD263</f>
        <v>610095</v>
      </c>
      <c r="AF263" s="293">
        <f t="shared" ref="AF263" si="5793">AE263</f>
        <v>610095</v>
      </c>
      <c r="AG263" s="293">
        <f t="shared" ref="AG263" si="5794">AF263</f>
        <v>610095</v>
      </c>
      <c r="AH263" s="293">
        <f>ROUND(AG263*(1+取值表!$D$14),0)</f>
        <v>648531</v>
      </c>
      <c r="AI263" s="293">
        <f t="shared" ref="AI263" si="5795">AH263</f>
        <v>648531</v>
      </c>
      <c r="AJ263" s="293">
        <f t="shared" ref="AJ263" si="5796">AI263</f>
        <v>648531</v>
      </c>
      <c r="AK263" s="293">
        <f t="shared" ref="AK263" si="5797">AJ263</f>
        <v>648531</v>
      </c>
      <c r="AL263" s="293">
        <f>ROUND(AK263*(1+取值表!$D$14),0)</f>
        <v>689388</v>
      </c>
      <c r="AM263" s="293">
        <f t="shared" ref="AM263" si="5798">AL263</f>
        <v>689388</v>
      </c>
      <c r="AN263" s="293">
        <f t="shared" ref="AN263" si="5799">AM263</f>
        <v>689388</v>
      </c>
      <c r="AO263" s="293">
        <f t="shared" ref="AO263" si="5800">AN263</f>
        <v>689388</v>
      </c>
      <c r="AP263" s="293">
        <f>ROUND(AO263*(1+取值表!$D$14),0)</f>
        <v>732819</v>
      </c>
      <c r="AQ263" s="293">
        <f t="shared" ref="AQ263" si="5801">AP263</f>
        <v>732819</v>
      </c>
      <c r="AR263" s="293">
        <f t="shared" ref="AR263" si="5802">AQ263</f>
        <v>732819</v>
      </c>
      <c r="AS263" s="293">
        <f t="shared" ref="AS263" si="5803">AR263</f>
        <v>732819</v>
      </c>
      <c r="AT263" s="293">
        <f>ROUND(AS263*(1+取值表!$D$14),0)</f>
        <v>778987</v>
      </c>
      <c r="AU263" s="293">
        <f t="shared" ref="AU263" si="5804">AT263</f>
        <v>778987</v>
      </c>
      <c r="AV263" s="293">
        <f t="shared" ref="AV263" si="5805">AU263</f>
        <v>778987</v>
      </c>
      <c r="AW263" s="293">
        <f t="shared" ref="AW263" si="5806">AV263</f>
        <v>778987</v>
      </c>
      <c r="AX263" s="293">
        <f>ROUND(AW263*(1+取值表!$D$14),0)</f>
        <v>828063</v>
      </c>
      <c r="AY263" s="293">
        <f t="shared" ref="AY263" si="5807">AX263</f>
        <v>828063</v>
      </c>
      <c r="AZ263" s="293">
        <f t="shared" ref="AZ263" si="5808">AY263</f>
        <v>828063</v>
      </c>
      <c r="BA263" s="293">
        <f t="shared" ref="BA263" si="5809">AZ263</f>
        <v>828063</v>
      </c>
      <c r="BB263" s="293">
        <f>ROUND(BA263*(1+取值表!$D$14),0)</f>
        <v>880231</v>
      </c>
      <c r="BC263" s="293">
        <f>BB263</f>
        <v>880231</v>
      </c>
      <c r="BD263" s="293">
        <f t="shared" ref="BD263" si="5810">BC263</f>
        <v>880231</v>
      </c>
      <c r="BE263" s="293">
        <f>BD263</f>
        <v>880231</v>
      </c>
      <c r="BF263" s="293">
        <f>ROUND(BE263*(1+取值表!$D$14),0)</f>
        <v>935686</v>
      </c>
      <c r="BG263" s="293">
        <f>BF263</f>
        <v>935686</v>
      </c>
      <c r="BH263" s="293">
        <f t="shared" ref="BH263" si="5811">BG263</f>
        <v>935686</v>
      </c>
      <c r="BI263" s="293">
        <f t="shared" ref="BI263" si="5812">BH263</f>
        <v>935686</v>
      </c>
      <c r="BJ263" s="293">
        <f>ROUND(BI263*(1+取值表!$D$14),0)</f>
        <v>994634</v>
      </c>
      <c r="BK263" s="293">
        <f t="shared" ref="BK263" si="5813">BJ263</f>
        <v>994634</v>
      </c>
      <c r="BL263" s="293">
        <f t="shared" ref="BL263" si="5814">BK263</f>
        <v>994634</v>
      </c>
      <c r="BM263" s="293">
        <f t="shared" ref="BM263" si="5815">BL263</f>
        <v>994634</v>
      </c>
      <c r="BN263" s="293">
        <f>ROUND(BM263*(1+取值表!$D$14),0)</f>
        <v>1057296</v>
      </c>
      <c r="BO263" s="293">
        <f t="shared" ref="BO263" si="5816">BN263</f>
        <v>1057296</v>
      </c>
      <c r="BP263" s="293">
        <f t="shared" ref="BP263" si="5817">BO263</f>
        <v>1057296</v>
      </c>
      <c r="BQ263" s="293">
        <f t="shared" ref="BQ263" si="5818">BP263</f>
        <v>1057296</v>
      </c>
      <c r="BR263" s="293">
        <f>ROUND(BQ263*(1+取值表!$D$14),0)</f>
        <v>1123906</v>
      </c>
      <c r="BS263" s="293">
        <f t="shared" ref="BS263" si="5819">BR263</f>
        <v>1123906</v>
      </c>
      <c r="BT263" s="293">
        <f t="shared" ref="BT263" si="5820">BS263</f>
        <v>1123906</v>
      </c>
      <c r="BU263" s="293">
        <f t="shared" ref="BU263" si="5821">BT263</f>
        <v>1123906</v>
      </c>
      <c r="BV263" s="293">
        <f>ROUND(BU263*(1+取值表!$D$14),0)</f>
        <v>1194712</v>
      </c>
      <c r="BW263" s="293">
        <f t="shared" ref="BW263" si="5822">BV263</f>
        <v>1194712</v>
      </c>
      <c r="BX263" s="293">
        <f t="shared" ref="BX263" si="5823">BW263</f>
        <v>1194712</v>
      </c>
      <c r="BY263" s="293">
        <f t="shared" ref="BY263" si="5824">BX263</f>
        <v>1194712</v>
      </c>
      <c r="BZ263" s="293">
        <f>ROUND(BY263*(1+取值表!$D$14),0)</f>
        <v>1269979</v>
      </c>
      <c r="CA263" s="293">
        <f t="shared" ref="CA263" si="5825">BZ263</f>
        <v>1269979</v>
      </c>
      <c r="CB263" s="293">
        <f t="shared" ref="CB263" si="5826">CA263</f>
        <v>1269979</v>
      </c>
      <c r="CC263" s="293">
        <f t="shared" ref="CC263" si="5827">CB263</f>
        <v>1269979</v>
      </c>
      <c r="CD263" s="293">
        <f>ROUND(CC263*(1+取值表!$D$14),0)</f>
        <v>1349988</v>
      </c>
      <c r="CE263" s="293">
        <f t="shared" ref="CE263" si="5828">CD263</f>
        <v>1349988</v>
      </c>
      <c r="CF263" s="293">
        <f t="shared" ref="CF263" si="5829">CE263</f>
        <v>1349988</v>
      </c>
      <c r="CG263" s="293">
        <f t="shared" ref="CG263" si="5830">CF263</f>
        <v>1349988</v>
      </c>
      <c r="CH263" s="293">
        <f>ROUND(CG263*(1+取值表!$D$14),0)</f>
        <v>1435037</v>
      </c>
      <c r="CI263" s="293">
        <f>CH263</f>
        <v>1435037</v>
      </c>
      <c r="CJ263" s="293">
        <f t="shared" ref="CJ263" si="5831">CI263</f>
        <v>1435037</v>
      </c>
      <c r="CK263" s="293">
        <f t="shared" ref="CK263" si="5832">CJ263</f>
        <v>1435037</v>
      </c>
      <c r="CL263" s="293">
        <f>ROUND(CK263*(1+取值表!$D$14),0)</f>
        <v>1525444</v>
      </c>
      <c r="CM263" s="293">
        <f>CL263</f>
        <v>1525444</v>
      </c>
      <c r="CN263" s="293">
        <f t="shared" ref="CN263" si="5833">CM263</f>
        <v>1525444</v>
      </c>
      <c r="CO263" s="293">
        <f t="shared" ref="CO263" si="5834">CN263</f>
        <v>1525444</v>
      </c>
      <c r="CP263" s="293">
        <f t="shared" si="5740"/>
        <v>74528332</v>
      </c>
    </row>
    <row r="264" spans="1:95">
      <c r="A264" s="680"/>
      <c r="B264" s="645"/>
      <c r="C264" s="646"/>
      <c r="D264" s="647"/>
      <c r="E264" s="648"/>
      <c r="F264" s="642"/>
      <c r="G264" s="642"/>
      <c r="H264" s="643"/>
      <c r="I264" s="291"/>
      <c r="J264" s="295"/>
      <c r="K264" s="293"/>
      <c r="L264" s="293"/>
      <c r="M264" s="293"/>
      <c r="N264" s="293"/>
      <c r="O264" s="293"/>
      <c r="P264" s="293"/>
      <c r="Q264" s="293"/>
      <c r="R264" s="293"/>
      <c r="S264" s="293"/>
      <c r="T264" s="293"/>
      <c r="U264" s="293"/>
      <c r="V264" s="293"/>
      <c r="W264" s="293"/>
      <c r="X264" s="293"/>
      <c r="Y264" s="293"/>
      <c r="Z264" s="293"/>
      <c r="AA264" s="293"/>
      <c r="AB264" s="293"/>
      <c r="AC264" s="293"/>
      <c r="AD264" s="293"/>
      <c r="AE264" s="293"/>
      <c r="AF264" s="293"/>
      <c r="AG264" s="293"/>
      <c r="AH264" s="293"/>
      <c r="AI264" s="293"/>
      <c r="AJ264" s="293"/>
      <c r="AK264" s="293"/>
      <c r="AL264" s="293"/>
      <c r="AM264" s="293"/>
      <c r="AN264" s="293"/>
      <c r="AO264" s="293"/>
      <c r="AP264" s="293"/>
      <c r="AQ264" s="293"/>
      <c r="AR264" s="293"/>
      <c r="AS264" s="293"/>
      <c r="AT264" s="293"/>
      <c r="AU264" s="293"/>
      <c r="AV264" s="293"/>
      <c r="AW264" s="293"/>
      <c r="AX264" s="293"/>
      <c r="AY264" s="293"/>
      <c r="AZ264" s="293"/>
      <c r="BA264" s="293"/>
      <c r="BB264" s="293"/>
      <c r="BC264" s="293"/>
      <c r="BD264" s="293"/>
      <c r="BE264" s="293"/>
      <c r="BF264" s="293"/>
      <c r="BG264" s="293"/>
      <c r="BH264" s="293"/>
      <c r="BI264" s="293"/>
      <c r="BJ264" s="293"/>
      <c r="BK264" s="293"/>
      <c r="BL264" s="293"/>
      <c r="BM264" s="293"/>
      <c r="BN264" s="293"/>
      <c r="BO264" s="293"/>
      <c r="BP264" s="293"/>
      <c r="BQ264" s="293"/>
      <c r="BR264" s="293"/>
      <c r="BS264" s="293"/>
      <c r="BT264" s="293"/>
      <c r="BU264" s="293"/>
      <c r="BV264" s="293"/>
      <c r="BW264" s="293"/>
      <c r="BX264" s="293"/>
      <c r="BY264" s="293"/>
      <c r="BZ264" s="293"/>
      <c r="CA264" s="293"/>
      <c r="CB264" s="293"/>
      <c r="CC264" s="293"/>
      <c r="CD264" s="293"/>
      <c r="CE264" s="293"/>
      <c r="CF264" s="293"/>
      <c r="CG264" s="293"/>
      <c r="CH264" s="293"/>
      <c r="CI264" s="293"/>
      <c r="CJ264" s="293"/>
      <c r="CK264" s="293"/>
      <c r="CL264" s="293"/>
      <c r="CM264" s="293"/>
      <c r="CN264" s="293"/>
      <c r="CO264" s="293"/>
      <c r="CP264" s="293">
        <f t="shared" si="5740"/>
        <v>0</v>
      </c>
    </row>
    <row r="265" spans="1:95" s="314" customFormat="1">
      <c r="A265" s="679">
        <v>134</v>
      </c>
      <c r="B265" s="645" t="s">
        <v>253</v>
      </c>
      <c r="C265" s="646" t="s">
        <v>254</v>
      </c>
      <c r="D265" s="647" t="s">
        <v>255</v>
      </c>
      <c r="E265" s="648" t="s">
        <v>505</v>
      </c>
      <c r="F265" s="642">
        <v>235</v>
      </c>
      <c r="G265" s="642">
        <v>8</v>
      </c>
      <c r="H265" s="643">
        <f>F265*G265*365</f>
        <v>686200</v>
      </c>
      <c r="I265" s="291">
        <v>166617.94</v>
      </c>
      <c r="J265" s="295">
        <f>ROUND(G265*F265*365/4,0)</f>
        <v>171550</v>
      </c>
      <c r="K265" s="293">
        <f t="shared" ref="K265:T265" si="5835">J265</f>
        <v>171550</v>
      </c>
      <c r="L265" s="293">
        <f t="shared" si="5835"/>
        <v>171550</v>
      </c>
      <c r="M265" s="293">
        <f t="shared" si="5835"/>
        <v>171550</v>
      </c>
      <c r="N265" s="293">
        <f t="shared" si="5835"/>
        <v>171550</v>
      </c>
      <c r="O265" s="293">
        <f>N265</f>
        <v>171550</v>
      </c>
      <c r="P265" s="293">
        <f>O265</f>
        <v>171550</v>
      </c>
      <c r="Q265" s="293">
        <f>P265</f>
        <v>171550</v>
      </c>
      <c r="R265" s="293">
        <f t="shared" si="5835"/>
        <v>171550</v>
      </c>
      <c r="S265" s="293">
        <f t="shared" si="5835"/>
        <v>171550</v>
      </c>
      <c r="T265" s="292">
        <f t="shared" si="5835"/>
        <v>171550</v>
      </c>
      <c r="U265" s="293">
        <f>T265</f>
        <v>171550</v>
      </c>
      <c r="V265" s="293">
        <f>ROUND(U265*(1+取值表!$D$14)*取值表!$I$14,0)</f>
        <v>171599</v>
      </c>
      <c r="W265" s="293">
        <f>V265</f>
        <v>171599</v>
      </c>
      <c r="X265" s="293">
        <f>W265</f>
        <v>171599</v>
      </c>
      <c r="Y265" s="293">
        <f>X265</f>
        <v>171599</v>
      </c>
      <c r="Z265" s="294">
        <f>ROUND(Y265*(1+取值表!$D$14),0)</f>
        <v>182410</v>
      </c>
      <c r="AA265" s="293">
        <f t="shared" ref="AA265:AB265" si="5836">Z265</f>
        <v>182410</v>
      </c>
      <c r="AB265" s="293">
        <f t="shared" si="5836"/>
        <v>182410</v>
      </c>
      <c r="AC265" s="293">
        <f>AB265</f>
        <v>182410</v>
      </c>
      <c r="AD265" s="293">
        <f>ROUND(AC265*(1+取值表!$E$14),0)</f>
        <v>193902</v>
      </c>
      <c r="AE265" s="293">
        <f t="shared" ref="AE265:AG265" si="5837">AD265</f>
        <v>193902</v>
      </c>
      <c r="AF265" s="293">
        <f t="shared" si="5837"/>
        <v>193902</v>
      </c>
      <c r="AG265" s="293">
        <f t="shared" si="5837"/>
        <v>193902</v>
      </c>
      <c r="AH265" s="293">
        <f>ROUND(AG265*(1+取值表!$E$14),0)</f>
        <v>206118</v>
      </c>
      <c r="AI265" s="293">
        <f t="shared" ref="AI265" si="5838">AH265</f>
        <v>206118</v>
      </c>
      <c r="AJ265" s="293">
        <f t="shared" ref="AJ265" si="5839">AI265</f>
        <v>206118</v>
      </c>
      <c r="AK265" s="293">
        <f t="shared" ref="AK265" si="5840">AJ265</f>
        <v>206118</v>
      </c>
      <c r="AL265" s="293">
        <f>ROUND(AK265*(1+取值表!$E$14),0)</f>
        <v>219103</v>
      </c>
      <c r="AM265" s="293">
        <f t="shared" ref="AM265" si="5841">AL265</f>
        <v>219103</v>
      </c>
      <c r="AN265" s="293">
        <f t="shared" ref="AN265" si="5842">AM265</f>
        <v>219103</v>
      </c>
      <c r="AO265" s="293">
        <f t="shared" ref="AO265" si="5843">AN265</f>
        <v>219103</v>
      </c>
      <c r="AP265" s="293">
        <f>ROUND(AO265*(1+取值表!$E$14),0)</f>
        <v>232906</v>
      </c>
      <c r="AQ265" s="293">
        <f t="shared" ref="AQ265" si="5844">AP265</f>
        <v>232906</v>
      </c>
      <c r="AR265" s="293">
        <f t="shared" ref="AR265" si="5845">AQ265</f>
        <v>232906</v>
      </c>
      <c r="AS265" s="293">
        <f t="shared" ref="AS265" si="5846">AR265</f>
        <v>232906</v>
      </c>
      <c r="AT265" s="293">
        <f>ROUND(AS265*(1+取值表!$E$14),0)</f>
        <v>247579</v>
      </c>
      <c r="AU265" s="293">
        <f t="shared" ref="AU265" si="5847">AT265</f>
        <v>247579</v>
      </c>
      <c r="AV265" s="293">
        <f t="shared" ref="AV265" si="5848">AU265</f>
        <v>247579</v>
      </c>
      <c r="AW265" s="293">
        <f t="shared" ref="AW265" si="5849">AV265</f>
        <v>247579</v>
      </c>
      <c r="AX265" s="293">
        <f>ROUND(AW265*(1+取值表!$E$14),0)</f>
        <v>263176</v>
      </c>
      <c r="AY265" s="293">
        <f t="shared" ref="AY265" si="5850">AX265</f>
        <v>263176</v>
      </c>
      <c r="AZ265" s="293">
        <f t="shared" ref="AZ265" si="5851">AY265</f>
        <v>263176</v>
      </c>
      <c r="BA265" s="293">
        <f t="shared" ref="BA265" si="5852">AZ265</f>
        <v>263176</v>
      </c>
      <c r="BB265" s="293">
        <f>ROUND(BA265*(1+取值表!$E$14),0)</f>
        <v>279756</v>
      </c>
      <c r="BC265" s="293">
        <f>BB265</f>
        <v>279756</v>
      </c>
      <c r="BD265" s="293">
        <f t="shared" ref="BD265" si="5853">BC265</f>
        <v>279756</v>
      </c>
      <c r="BE265" s="293">
        <f>BD265</f>
        <v>279756</v>
      </c>
      <c r="BF265" s="293">
        <f>ROUND(BE265*(1+取值表!$E$14),0)</f>
        <v>297381</v>
      </c>
      <c r="BG265" s="293">
        <f>BF265</f>
        <v>297381</v>
      </c>
      <c r="BH265" s="293">
        <f t="shared" ref="BH265" si="5854">BG265</f>
        <v>297381</v>
      </c>
      <c r="BI265" s="293">
        <f t="shared" ref="BI265" si="5855">BH265</f>
        <v>297381</v>
      </c>
      <c r="BJ265" s="293">
        <f>ROUND(BI265*(1+取值表!$E$14),0)</f>
        <v>316116</v>
      </c>
      <c r="BK265" s="293">
        <f t="shared" ref="BK265" si="5856">BJ265</f>
        <v>316116</v>
      </c>
      <c r="BL265" s="293">
        <f t="shared" ref="BL265" si="5857">BK265</f>
        <v>316116</v>
      </c>
      <c r="BM265" s="293">
        <f t="shared" ref="BM265" si="5858">BL265</f>
        <v>316116</v>
      </c>
      <c r="BN265" s="293">
        <f>ROUND(BM265*(1+取值表!$E$14),0)</f>
        <v>336031</v>
      </c>
      <c r="BO265" s="293">
        <f t="shared" ref="BO265" si="5859">BN265</f>
        <v>336031</v>
      </c>
      <c r="BP265" s="293">
        <f t="shared" ref="BP265" si="5860">BO265</f>
        <v>336031</v>
      </c>
      <c r="BQ265" s="293">
        <f t="shared" ref="BQ265" si="5861">BP265</f>
        <v>336031</v>
      </c>
      <c r="BR265" s="293">
        <f>ROUND(BQ265*(1+取值表!$E$14),0)</f>
        <v>357201</v>
      </c>
      <c r="BS265" s="293">
        <f t="shared" ref="BS265" si="5862">BR265</f>
        <v>357201</v>
      </c>
      <c r="BT265" s="293">
        <f t="shared" ref="BT265" si="5863">BS265</f>
        <v>357201</v>
      </c>
      <c r="BU265" s="293">
        <f t="shared" ref="BU265" si="5864">BT265</f>
        <v>357201</v>
      </c>
      <c r="BV265" s="293">
        <f>ROUND(BU265*(1+取值表!$E$14),0)</f>
        <v>379705</v>
      </c>
      <c r="BW265" s="293">
        <f t="shared" ref="BW265" si="5865">BV265</f>
        <v>379705</v>
      </c>
      <c r="BX265" s="293">
        <f t="shared" ref="BX265" si="5866">BW265</f>
        <v>379705</v>
      </c>
      <c r="BY265" s="293">
        <f t="shared" ref="BY265" si="5867">BX265</f>
        <v>379705</v>
      </c>
      <c r="BZ265" s="293">
        <f>ROUND(BY265*(1+取值表!$E$14),0)</f>
        <v>403626</v>
      </c>
      <c r="CA265" s="293">
        <f t="shared" ref="CA265" si="5868">BZ265</f>
        <v>403626</v>
      </c>
      <c r="CB265" s="293">
        <f t="shared" ref="CB265" si="5869">CA265</f>
        <v>403626</v>
      </c>
      <c r="CC265" s="293">
        <f t="shared" ref="CC265" si="5870">CB265</f>
        <v>403626</v>
      </c>
      <c r="CD265" s="293">
        <f>ROUND(CC265*(1+取值表!$E$14),0)</f>
        <v>429054</v>
      </c>
      <c r="CE265" s="293">
        <f t="shared" ref="CE265" si="5871">CD265</f>
        <v>429054</v>
      </c>
      <c r="CF265" s="293">
        <f t="shared" ref="CF265" si="5872">CE265</f>
        <v>429054</v>
      </c>
      <c r="CG265" s="293">
        <f t="shared" ref="CG265" si="5873">CF265</f>
        <v>429054</v>
      </c>
      <c r="CH265" s="293">
        <f>ROUND(CG265*(1+取值表!$E$14),0)</f>
        <v>456084</v>
      </c>
      <c r="CI265" s="293">
        <f>CH265</f>
        <v>456084</v>
      </c>
      <c r="CJ265" s="293">
        <f t="shared" ref="CJ265" si="5874">CI265</f>
        <v>456084</v>
      </c>
      <c r="CK265" s="293">
        <f t="shared" ref="CK265" si="5875">CJ265</f>
        <v>456084</v>
      </c>
      <c r="CL265" s="293">
        <f>ROUND(CK265*(1+取值表!$E$14),0)</f>
        <v>484817</v>
      </c>
      <c r="CM265" s="293">
        <f>CL265</f>
        <v>484817</v>
      </c>
      <c r="CN265" s="293">
        <f t="shared" ref="CN265" si="5876">CM265</f>
        <v>484817</v>
      </c>
      <c r="CO265" s="293">
        <f t="shared" ref="CO265" si="5877">CN265</f>
        <v>484817</v>
      </c>
      <c r="CP265" s="293">
        <f t="shared" si="5740"/>
        <v>23884856</v>
      </c>
      <c r="CQ265" s="289"/>
    </row>
    <row r="266" spans="1:95" s="314" customFormat="1">
      <c r="A266" s="680"/>
      <c r="B266" s="645"/>
      <c r="C266" s="646"/>
      <c r="D266" s="647"/>
      <c r="E266" s="648"/>
      <c r="F266" s="642"/>
      <c r="G266" s="642"/>
      <c r="H266" s="643"/>
      <c r="I266" s="291"/>
      <c r="J266" s="295"/>
      <c r="K266" s="293"/>
      <c r="L266" s="293"/>
      <c r="M266" s="293"/>
      <c r="N266" s="293"/>
      <c r="O266" s="293"/>
      <c r="P266" s="293"/>
      <c r="Q266" s="293"/>
      <c r="R266" s="293"/>
      <c r="S266" s="293"/>
      <c r="T266" s="293"/>
      <c r="U266" s="293"/>
      <c r="V266" s="293"/>
      <c r="W266" s="293"/>
      <c r="X266" s="293"/>
      <c r="Y266" s="293"/>
      <c r="Z266" s="293"/>
      <c r="AA266" s="293"/>
      <c r="AB266" s="293"/>
      <c r="AC266" s="293"/>
      <c r="AD266" s="293"/>
      <c r="AE266" s="293"/>
      <c r="AF266" s="293"/>
      <c r="AG266" s="293"/>
      <c r="AH266" s="293"/>
      <c r="AI266" s="293"/>
      <c r="AJ266" s="293"/>
      <c r="AK266" s="293"/>
      <c r="AL266" s="293"/>
      <c r="AM266" s="293"/>
      <c r="AN266" s="293"/>
      <c r="AO266" s="293"/>
      <c r="AP266" s="293"/>
      <c r="AQ266" s="293"/>
      <c r="AR266" s="293"/>
      <c r="AS266" s="293"/>
      <c r="AT266" s="293"/>
      <c r="AU266" s="293"/>
      <c r="AV266" s="293"/>
      <c r="AW266" s="293"/>
      <c r="AX266" s="293"/>
      <c r="AY266" s="293"/>
      <c r="AZ266" s="293"/>
      <c r="BA266" s="293"/>
      <c r="BB266" s="293"/>
      <c r="BC266" s="293"/>
      <c r="BD266" s="293"/>
      <c r="BE266" s="293"/>
      <c r="BF266" s="293"/>
      <c r="BG266" s="293"/>
      <c r="BH266" s="293"/>
      <c r="BI266" s="293"/>
      <c r="BJ266" s="293"/>
      <c r="BK266" s="293"/>
      <c r="BL266" s="293"/>
      <c r="BM266" s="293"/>
      <c r="BN266" s="293"/>
      <c r="BO266" s="293"/>
      <c r="BP266" s="293"/>
      <c r="BQ266" s="293"/>
      <c r="BR266" s="293"/>
      <c r="BS266" s="293"/>
      <c r="BT266" s="293"/>
      <c r="BU266" s="293"/>
      <c r="BV266" s="293"/>
      <c r="BW266" s="293"/>
      <c r="BX266" s="293"/>
      <c r="BY266" s="293"/>
      <c r="BZ266" s="293"/>
      <c r="CA266" s="293"/>
      <c r="CB266" s="293"/>
      <c r="CC266" s="293"/>
      <c r="CD266" s="293"/>
      <c r="CE266" s="293"/>
      <c r="CF266" s="293"/>
      <c r="CG266" s="293"/>
      <c r="CH266" s="293"/>
      <c r="CI266" s="293"/>
      <c r="CJ266" s="293"/>
      <c r="CK266" s="293"/>
      <c r="CL266" s="293"/>
      <c r="CM266" s="293"/>
      <c r="CN266" s="293"/>
      <c r="CO266" s="293"/>
      <c r="CP266" s="293">
        <f t="shared" si="5740"/>
        <v>0</v>
      </c>
      <c r="CQ266" s="289"/>
    </row>
    <row r="267" spans="1:95" s="314" customFormat="1">
      <c r="A267" s="679">
        <v>135</v>
      </c>
      <c r="B267" s="645" t="s">
        <v>256</v>
      </c>
      <c r="C267" s="646" t="s">
        <v>257</v>
      </c>
      <c r="D267" s="647" t="s">
        <v>258</v>
      </c>
      <c r="E267" s="648" t="s">
        <v>505</v>
      </c>
      <c r="F267" s="682">
        <v>91</v>
      </c>
      <c r="G267" s="642">
        <f>AVERAGE(7.5,8)</f>
        <v>7.75</v>
      </c>
      <c r="H267" s="643">
        <f>F267*G267*365</f>
        <v>257416.25</v>
      </c>
      <c r="I267" s="291">
        <v>64354.06</v>
      </c>
      <c r="J267" s="295">
        <f>ROUND(7.5*F267*365/4,0)</f>
        <v>62278</v>
      </c>
      <c r="K267" s="293">
        <f>J267</f>
        <v>62278</v>
      </c>
      <c r="L267" s="293">
        <f>K267</f>
        <v>62278</v>
      </c>
      <c r="M267" s="295">
        <f>ROUND(8*F267*365/4,0)</f>
        <v>66430</v>
      </c>
      <c r="N267" s="293">
        <f>M267</f>
        <v>66430</v>
      </c>
      <c r="O267" s="293">
        <f>N267</f>
        <v>66430</v>
      </c>
      <c r="P267" s="292">
        <f>O267</f>
        <v>66430</v>
      </c>
      <c r="Q267" s="293">
        <f>P267</f>
        <v>66430</v>
      </c>
      <c r="R267" s="293">
        <f>ROUND(Q267*(1+取值表!$D$14)*取值表!$I$14,0)</f>
        <v>66449</v>
      </c>
      <c r="S267" s="293">
        <f>R267</f>
        <v>66449</v>
      </c>
      <c r="T267" s="293">
        <f>S267</f>
        <v>66449</v>
      </c>
      <c r="U267" s="293">
        <f>T267</f>
        <v>66449</v>
      </c>
      <c r="V267" s="294">
        <f>ROUND(U267*(1+取值表!$D$14),0)</f>
        <v>70635</v>
      </c>
      <c r="W267" s="293">
        <f>V267</f>
        <v>70635</v>
      </c>
      <c r="X267" s="293">
        <f>W267</f>
        <v>70635</v>
      </c>
      <c r="Y267" s="293">
        <f>X267</f>
        <v>70635</v>
      </c>
      <c r="Z267" s="293">
        <f>ROUND(Y267*(1+取值表!$D$14),0)</f>
        <v>75085</v>
      </c>
      <c r="AA267" s="293">
        <f t="shared" ref="AA267:AB267" si="5878">Z267</f>
        <v>75085</v>
      </c>
      <c r="AB267" s="293">
        <f t="shared" si="5878"/>
        <v>75085</v>
      </c>
      <c r="AC267" s="293">
        <f>AB267</f>
        <v>75085</v>
      </c>
      <c r="AD267" s="293">
        <f>ROUND(AC267*(1+取值表!$D$14),0)</f>
        <v>79815</v>
      </c>
      <c r="AE267" s="293">
        <f t="shared" ref="AE267" si="5879">AD267</f>
        <v>79815</v>
      </c>
      <c r="AF267" s="293">
        <f t="shared" ref="AF267" si="5880">AE267</f>
        <v>79815</v>
      </c>
      <c r="AG267" s="293">
        <f t="shared" ref="AG267" si="5881">AF267</f>
        <v>79815</v>
      </c>
      <c r="AH267" s="293">
        <f>ROUND(AG267*(1+取值表!$D$14),0)</f>
        <v>84843</v>
      </c>
      <c r="AI267" s="293">
        <f t="shared" ref="AI267" si="5882">AH267</f>
        <v>84843</v>
      </c>
      <c r="AJ267" s="293">
        <f t="shared" ref="AJ267" si="5883">AI267</f>
        <v>84843</v>
      </c>
      <c r="AK267" s="293">
        <f t="shared" ref="AK267" si="5884">AJ267</f>
        <v>84843</v>
      </c>
      <c r="AL267" s="293">
        <f>ROUND(AK267*(1+取值表!$D$14),0)</f>
        <v>90188</v>
      </c>
      <c r="AM267" s="293">
        <f t="shared" ref="AM267" si="5885">AL267</f>
        <v>90188</v>
      </c>
      <c r="AN267" s="293">
        <f t="shared" ref="AN267" si="5886">AM267</f>
        <v>90188</v>
      </c>
      <c r="AO267" s="293">
        <f t="shared" ref="AO267" si="5887">AN267</f>
        <v>90188</v>
      </c>
      <c r="AP267" s="293">
        <f>ROUND(AO267*(1+取值表!$D$14),0)</f>
        <v>95870</v>
      </c>
      <c r="AQ267" s="293">
        <f t="shared" ref="AQ267" si="5888">AP267</f>
        <v>95870</v>
      </c>
      <c r="AR267" s="293">
        <f t="shared" ref="AR267" si="5889">AQ267</f>
        <v>95870</v>
      </c>
      <c r="AS267" s="293">
        <f t="shared" ref="AS267" si="5890">AR267</f>
        <v>95870</v>
      </c>
      <c r="AT267" s="293">
        <f>ROUND(AS267*(1+取值表!$D$14),0)</f>
        <v>101910</v>
      </c>
      <c r="AU267" s="293">
        <f t="shared" ref="AU267" si="5891">AT267</f>
        <v>101910</v>
      </c>
      <c r="AV267" s="293">
        <f t="shared" ref="AV267" si="5892">AU267</f>
        <v>101910</v>
      </c>
      <c r="AW267" s="293">
        <f t="shared" ref="AW267" si="5893">AV267</f>
        <v>101910</v>
      </c>
      <c r="AX267" s="293">
        <f>ROUND(AW267*(1+取值表!$D$14),0)</f>
        <v>108330</v>
      </c>
      <c r="AY267" s="293">
        <f t="shared" ref="AY267" si="5894">AX267</f>
        <v>108330</v>
      </c>
      <c r="AZ267" s="293">
        <f t="shared" ref="AZ267" si="5895">AY267</f>
        <v>108330</v>
      </c>
      <c r="BA267" s="293">
        <f t="shared" ref="BA267" si="5896">AZ267</f>
        <v>108330</v>
      </c>
      <c r="BB267" s="293">
        <f>ROUND(BA267*(1+取值表!$D$14),0)</f>
        <v>115155</v>
      </c>
      <c r="BC267" s="293">
        <f>BB267</f>
        <v>115155</v>
      </c>
      <c r="BD267" s="293">
        <f t="shared" ref="BD267" si="5897">BC267</f>
        <v>115155</v>
      </c>
      <c r="BE267" s="293">
        <f>BD267</f>
        <v>115155</v>
      </c>
      <c r="BF267" s="293">
        <f>ROUND(BE267*(1+取值表!$D$14),0)</f>
        <v>122410</v>
      </c>
      <c r="BG267" s="293">
        <f>BF267</f>
        <v>122410</v>
      </c>
      <c r="BH267" s="293">
        <f t="shared" ref="BH267" si="5898">BG267</f>
        <v>122410</v>
      </c>
      <c r="BI267" s="293">
        <f t="shared" ref="BI267" si="5899">BH267</f>
        <v>122410</v>
      </c>
      <c r="BJ267" s="293">
        <f>ROUND(BI267*(1+取值表!$D$14),0)</f>
        <v>130122</v>
      </c>
      <c r="BK267" s="293">
        <f t="shared" ref="BK267" si="5900">BJ267</f>
        <v>130122</v>
      </c>
      <c r="BL267" s="293">
        <f t="shared" ref="BL267" si="5901">BK267</f>
        <v>130122</v>
      </c>
      <c r="BM267" s="293">
        <f t="shared" ref="BM267" si="5902">BL267</f>
        <v>130122</v>
      </c>
      <c r="BN267" s="293">
        <f>ROUND(BM267*(1+取值表!$D$14),0)</f>
        <v>138320</v>
      </c>
      <c r="BO267" s="293">
        <f t="shared" ref="BO267" si="5903">BN267</f>
        <v>138320</v>
      </c>
      <c r="BP267" s="293">
        <f t="shared" ref="BP267" si="5904">BO267</f>
        <v>138320</v>
      </c>
      <c r="BQ267" s="293">
        <f t="shared" ref="BQ267" si="5905">BP267</f>
        <v>138320</v>
      </c>
      <c r="BR267" s="293">
        <f>ROUND(BQ267*(1+取值表!$D$14),0)</f>
        <v>147034</v>
      </c>
      <c r="BS267" s="293">
        <f t="shared" ref="BS267" si="5906">BR267</f>
        <v>147034</v>
      </c>
      <c r="BT267" s="293">
        <f t="shared" ref="BT267" si="5907">BS267</f>
        <v>147034</v>
      </c>
      <c r="BU267" s="293">
        <f t="shared" ref="BU267" si="5908">BT267</f>
        <v>147034</v>
      </c>
      <c r="BV267" s="293">
        <f>ROUND(BU267*(1+取值表!$D$14),0)</f>
        <v>156297</v>
      </c>
      <c r="BW267" s="293">
        <f t="shared" ref="BW267" si="5909">BV267</f>
        <v>156297</v>
      </c>
      <c r="BX267" s="293">
        <f t="shared" ref="BX267" si="5910">BW267</f>
        <v>156297</v>
      </c>
      <c r="BY267" s="293">
        <f t="shared" ref="BY267" si="5911">BX267</f>
        <v>156297</v>
      </c>
      <c r="BZ267" s="293">
        <f>ROUND(BY267*(1+取值表!$D$14),0)</f>
        <v>166144</v>
      </c>
      <c r="CA267" s="293">
        <f t="shared" ref="CA267" si="5912">BZ267</f>
        <v>166144</v>
      </c>
      <c r="CB267" s="293">
        <f t="shared" ref="CB267" si="5913">CA267</f>
        <v>166144</v>
      </c>
      <c r="CC267" s="293">
        <f t="shared" ref="CC267" si="5914">CB267</f>
        <v>166144</v>
      </c>
      <c r="CD267" s="293">
        <f>ROUND(CC267*(1+取值表!$D$14),0)</f>
        <v>176611</v>
      </c>
      <c r="CE267" s="293">
        <f t="shared" ref="CE267" si="5915">CD267</f>
        <v>176611</v>
      </c>
      <c r="CF267" s="293">
        <f t="shared" ref="CF267" si="5916">CE267</f>
        <v>176611</v>
      </c>
      <c r="CG267" s="293">
        <f t="shared" ref="CG267" si="5917">CF267</f>
        <v>176611</v>
      </c>
      <c r="CH267" s="293">
        <f>ROUND(CG267*(1+取值表!$D$14),0)</f>
        <v>187737</v>
      </c>
      <c r="CI267" s="293">
        <f>CH267</f>
        <v>187737</v>
      </c>
      <c r="CJ267" s="293">
        <f t="shared" ref="CJ267" si="5918">CI267</f>
        <v>187737</v>
      </c>
      <c r="CK267" s="293">
        <f t="shared" ref="CK267" si="5919">CJ267</f>
        <v>187737</v>
      </c>
      <c r="CL267" s="293">
        <f>ROUND(CK267*(1+取值表!$D$14),0)</f>
        <v>199564</v>
      </c>
      <c r="CM267" s="293">
        <f>CL267</f>
        <v>199564</v>
      </c>
      <c r="CN267" s="293">
        <f t="shared" ref="CN267" si="5920">CM267</f>
        <v>199564</v>
      </c>
      <c r="CO267" s="293">
        <f t="shared" ref="CO267" si="5921">CN267</f>
        <v>199564</v>
      </c>
      <c r="CP267" s="293">
        <f t="shared" si="5740"/>
        <v>9769060</v>
      </c>
      <c r="CQ267" s="289"/>
    </row>
    <row r="268" spans="1:95" s="314" customFormat="1">
      <c r="A268" s="680"/>
      <c r="B268" s="645"/>
      <c r="C268" s="646"/>
      <c r="D268" s="647"/>
      <c r="E268" s="648"/>
      <c r="F268" s="682"/>
      <c r="G268" s="642"/>
      <c r="H268" s="643"/>
      <c r="I268" s="291"/>
      <c r="J268" s="295"/>
      <c r="K268" s="293"/>
      <c r="L268" s="293"/>
      <c r="M268" s="293"/>
      <c r="N268" s="293"/>
      <c r="O268" s="293"/>
      <c r="P268" s="293"/>
      <c r="Q268" s="293"/>
      <c r="R268" s="293"/>
      <c r="S268" s="293"/>
      <c r="T268" s="293"/>
      <c r="U268" s="293"/>
      <c r="V268" s="293"/>
      <c r="W268" s="293"/>
      <c r="X268" s="293"/>
      <c r="Y268" s="293"/>
      <c r="Z268" s="293"/>
      <c r="AA268" s="293"/>
      <c r="AB268" s="293"/>
      <c r="AC268" s="293"/>
      <c r="AD268" s="293"/>
      <c r="AE268" s="293"/>
      <c r="AF268" s="293"/>
      <c r="AG268" s="293"/>
      <c r="AH268" s="293"/>
      <c r="AI268" s="293"/>
      <c r="AJ268" s="293"/>
      <c r="AK268" s="293"/>
      <c r="AL268" s="293"/>
      <c r="AM268" s="293"/>
      <c r="AN268" s="293"/>
      <c r="AO268" s="293"/>
      <c r="AP268" s="293"/>
      <c r="AQ268" s="293"/>
      <c r="AR268" s="293"/>
      <c r="AS268" s="293"/>
      <c r="AT268" s="293"/>
      <c r="AU268" s="293"/>
      <c r="AV268" s="293"/>
      <c r="AW268" s="293"/>
      <c r="AX268" s="293"/>
      <c r="AY268" s="293"/>
      <c r="AZ268" s="293"/>
      <c r="BA268" s="293"/>
      <c r="BB268" s="293"/>
      <c r="BC268" s="293"/>
      <c r="BD268" s="293"/>
      <c r="BE268" s="293"/>
      <c r="BF268" s="293"/>
      <c r="BG268" s="293"/>
      <c r="BH268" s="293"/>
      <c r="BI268" s="293"/>
      <c r="BJ268" s="293"/>
      <c r="BK268" s="293"/>
      <c r="BL268" s="293"/>
      <c r="BM268" s="293"/>
      <c r="BN268" s="293"/>
      <c r="BO268" s="293"/>
      <c r="BP268" s="293"/>
      <c r="BQ268" s="293"/>
      <c r="BR268" s="293"/>
      <c r="BS268" s="293"/>
      <c r="BT268" s="293"/>
      <c r="BU268" s="293"/>
      <c r="BV268" s="293"/>
      <c r="BW268" s="293"/>
      <c r="BX268" s="293"/>
      <c r="BY268" s="293"/>
      <c r="BZ268" s="293"/>
      <c r="CA268" s="293"/>
      <c r="CB268" s="293"/>
      <c r="CC268" s="293"/>
      <c r="CD268" s="293"/>
      <c r="CE268" s="293"/>
      <c r="CF268" s="293"/>
      <c r="CG268" s="293"/>
      <c r="CH268" s="293"/>
      <c r="CI268" s="293"/>
      <c r="CJ268" s="293"/>
      <c r="CK268" s="293"/>
      <c r="CL268" s="293"/>
      <c r="CM268" s="293"/>
      <c r="CN268" s="293"/>
      <c r="CO268" s="293"/>
      <c r="CP268" s="293">
        <f t="shared" si="5740"/>
        <v>0</v>
      </c>
      <c r="CQ268" s="289"/>
    </row>
    <row r="269" spans="1:95" s="314" customFormat="1" ht="16.5" customHeight="1">
      <c r="A269" s="679">
        <v>136</v>
      </c>
      <c r="B269" s="645" t="s">
        <v>259</v>
      </c>
      <c r="C269" s="646" t="s">
        <v>260</v>
      </c>
      <c r="D269" s="647" t="s">
        <v>261</v>
      </c>
      <c r="E269" s="648" t="s">
        <v>505</v>
      </c>
      <c r="F269" s="682">
        <v>141</v>
      </c>
      <c r="G269" s="642">
        <v>8.5</v>
      </c>
      <c r="H269" s="643">
        <f>F269*G269*365</f>
        <v>437452.5</v>
      </c>
      <c r="I269" s="291">
        <v>102930</v>
      </c>
      <c r="J269" s="295">
        <f>ROUND(G269*F269*365/4,0)</f>
        <v>109363</v>
      </c>
      <c r="K269" s="293">
        <f>J269</f>
        <v>109363</v>
      </c>
      <c r="L269" s="293">
        <f>K269</f>
        <v>109363</v>
      </c>
      <c r="M269" s="293">
        <f t="shared" ref="M269:T269" si="5922">L269</f>
        <v>109363</v>
      </c>
      <c r="N269" s="293">
        <f t="shared" si="5922"/>
        <v>109363</v>
      </c>
      <c r="O269" s="293">
        <f>N269</f>
        <v>109363</v>
      </c>
      <c r="P269" s="293">
        <f>O269</f>
        <v>109363</v>
      </c>
      <c r="Q269" s="293">
        <f>P269</f>
        <v>109363</v>
      </c>
      <c r="R269" s="293">
        <f t="shared" si="5922"/>
        <v>109363</v>
      </c>
      <c r="S269" s="293">
        <f t="shared" si="5922"/>
        <v>109363</v>
      </c>
      <c r="T269" s="292">
        <f t="shared" si="5922"/>
        <v>109363</v>
      </c>
      <c r="U269" s="293">
        <f>T269</f>
        <v>109363</v>
      </c>
      <c r="V269" s="293">
        <f>ROUND(U269*(1+取值表!$D$14)*取值表!$I$14,0)</f>
        <v>109394</v>
      </c>
      <c r="W269" s="293">
        <f>V269</f>
        <v>109394</v>
      </c>
      <c r="X269" s="293">
        <f>W269</f>
        <v>109394</v>
      </c>
      <c r="Y269" s="293">
        <f>X269</f>
        <v>109394</v>
      </c>
      <c r="Z269" s="294">
        <f>ROUND(Y269*(1+取值表!$D$14),0)</f>
        <v>116286</v>
      </c>
      <c r="AA269" s="293">
        <f t="shared" ref="AA269:AB269" si="5923">Z269</f>
        <v>116286</v>
      </c>
      <c r="AB269" s="293">
        <f t="shared" si="5923"/>
        <v>116286</v>
      </c>
      <c r="AC269" s="293">
        <f>AB269</f>
        <v>116286</v>
      </c>
      <c r="AD269" s="293">
        <f>ROUND(AC269*(1+取值表!$D$14),0)</f>
        <v>123612</v>
      </c>
      <c r="AE269" s="293">
        <f t="shared" ref="AE269:AG269" si="5924">AD269</f>
        <v>123612</v>
      </c>
      <c r="AF269" s="293">
        <f t="shared" si="5924"/>
        <v>123612</v>
      </c>
      <c r="AG269" s="293">
        <f t="shared" si="5924"/>
        <v>123612</v>
      </c>
      <c r="AH269" s="293">
        <f>ROUND(AG269*(1+取值表!$D$14),0)</f>
        <v>131400</v>
      </c>
      <c r="AI269" s="293">
        <f t="shared" ref="AI269" si="5925">AH269</f>
        <v>131400</v>
      </c>
      <c r="AJ269" s="293">
        <f t="shared" ref="AJ269" si="5926">AI269</f>
        <v>131400</v>
      </c>
      <c r="AK269" s="293">
        <f t="shared" ref="AK269" si="5927">AJ269</f>
        <v>131400</v>
      </c>
      <c r="AL269" s="293">
        <f>ROUND(AK269*(1+取值表!$D$14),0)</f>
        <v>139678</v>
      </c>
      <c r="AM269" s="293">
        <f t="shared" ref="AM269" si="5928">AL269</f>
        <v>139678</v>
      </c>
      <c r="AN269" s="293">
        <f t="shared" ref="AN269" si="5929">AM269</f>
        <v>139678</v>
      </c>
      <c r="AO269" s="293">
        <f t="shared" ref="AO269" si="5930">AN269</f>
        <v>139678</v>
      </c>
      <c r="AP269" s="293">
        <f>ROUND(AO269*(1+取值表!$D$14),0)</f>
        <v>148478</v>
      </c>
      <c r="AQ269" s="293">
        <f t="shared" ref="AQ269" si="5931">AP269</f>
        <v>148478</v>
      </c>
      <c r="AR269" s="293">
        <f t="shared" ref="AR269" si="5932">AQ269</f>
        <v>148478</v>
      </c>
      <c r="AS269" s="293">
        <f t="shared" ref="AS269" si="5933">AR269</f>
        <v>148478</v>
      </c>
      <c r="AT269" s="293">
        <f>ROUND(AS269*(1+取值表!$D$14),0)</f>
        <v>157832</v>
      </c>
      <c r="AU269" s="293">
        <f t="shared" ref="AU269" si="5934">AT269</f>
        <v>157832</v>
      </c>
      <c r="AV269" s="293">
        <f t="shared" ref="AV269" si="5935">AU269</f>
        <v>157832</v>
      </c>
      <c r="AW269" s="293">
        <f t="shared" ref="AW269" si="5936">AV269</f>
        <v>157832</v>
      </c>
      <c r="AX269" s="293">
        <f>ROUND(AW269*(1+取值表!$D$14),0)</f>
        <v>167775</v>
      </c>
      <c r="AY269" s="293">
        <f t="shared" ref="AY269" si="5937">AX269</f>
        <v>167775</v>
      </c>
      <c r="AZ269" s="293">
        <f t="shared" ref="AZ269" si="5938">AY269</f>
        <v>167775</v>
      </c>
      <c r="BA269" s="293">
        <f t="shared" ref="BA269" si="5939">AZ269</f>
        <v>167775</v>
      </c>
      <c r="BB269" s="293">
        <f>ROUND(BA269*(1+取值表!$D$14),0)</f>
        <v>178345</v>
      </c>
      <c r="BC269" s="293">
        <f>BB269</f>
        <v>178345</v>
      </c>
      <c r="BD269" s="293">
        <f t="shared" ref="BD269" si="5940">BC269</f>
        <v>178345</v>
      </c>
      <c r="BE269" s="293">
        <f>BD269</f>
        <v>178345</v>
      </c>
      <c r="BF269" s="293">
        <f>ROUND(BE269*(1+取值表!$D$14),0)</f>
        <v>189581</v>
      </c>
      <c r="BG269" s="293">
        <f>BF269</f>
        <v>189581</v>
      </c>
      <c r="BH269" s="293">
        <f t="shared" ref="BH269" si="5941">BG269</f>
        <v>189581</v>
      </c>
      <c r="BI269" s="293">
        <f t="shared" ref="BI269" si="5942">BH269</f>
        <v>189581</v>
      </c>
      <c r="BJ269" s="293">
        <f>ROUND(BI269*(1+取值表!$D$14),0)</f>
        <v>201525</v>
      </c>
      <c r="BK269" s="293">
        <f t="shared" ref="BK269" si="5943">BJ269</f>
        <v>201525</v>
      </c>
      <c r="BL269" s="293">
        <f t="shared" ref="BL269" si="5944">BK269</f>
        <v>201525</v>
      </c>
      <c r="BM269" s="293">
        <f t="shared" ref="BM269" si="5945">BL269</f>
        <v>201525</v>
      </c>
      <c r="BN269" s="293">
        <f>ROUND(BM269*(1+取值表!$D$14),0)</f>
        <v>214221</v>
      </c>
      <c r="BO269" s="293">
        <f t="shared" ref="BO269" si="5946">BN269</f>
        <v>214221</v>
      </c>
      <c r="BP269" s="293">
        <f t="shared" ref="BP269" si="5947">BO269</f>
        <v>214221</v>
      </c>
      <c r="BQ269" s="293">
        <f t="shared" ref="BQ269" si="5948">BP269</f>
        <v>214221</v>
      </c>
      <c r="BR269" s="293">
        <f>ROUND(BQ269*(1+取值表!$D$14),0)</f>
        <v>227717</v>
      </c>
      <c r="BS269" s="293">
        <f t="shared" ref="BS269" si="5949">BR269</f>
        <v>227717</v>
      </c>
      <c r="BT269" s="293">
        <f t="shared" ref="BT269" si="5950">BS269</f>
        <v>227717</v>
      </c>
      <c r="BU269" s="293">
        <f t="shared" ref="BU269" si="5951">BT269</f>
        <v>227717</v>
      </c>
      <c r="BV269" s="293">
        <f>ROUND(BU269*(1+取值表!$D$14),0)</f>
        <v>242063</v>
      </c>
      <c r="BW269" s="293">
        <f t="shared" ref="BW269" si="5952">BV269</f>
        <v>242063</v>
      </c>
      <c r="BX269" s="293">
        <f t="shared" ref="BX269" si="5953">BW269</f>
        <v>242063</v>
      </c>
      <c r="BY269" s="293">
        <f t="shared" ref="BY269" si="5954">BX269</f>
        <v>242063</v>
      </c>
      <c r="BZ269" s="293">
        <f>ROUND(BY269*(1+取值表!$D$14),0)</f>
        <v>257313</v>
      </c>
      <c r="CA269" s="293">
        <f t="shared" ref="CA269" si="5955">BZ269</f>
        <v>257313</v>
      </c>
      <c r="CB269" s="293">
        <f t="shared" ref="CB269" si="5956">CA269</f>
        <v>257313</v>
      </c>
      <c r="CC269" s="293">
        <f t="shared" ref="CC269" si="5957">CB269</f>
        <v>257313</v>
      </c>
      <c r="CD269" s="293">
        <f>ROUND(CC269*(1+取值表!$D$14),0)</f>
        <v>273524</v>
      </c>
      <c r="CE269" s="293">
        <f t="shared" ref="CE269" si="5958">CD269</f>
        <v>273524</v>
      </c>
      <c r="CF269" s="293">
        <f t="shared" ref="CF269" si="5959">CE269</f>
        <v>273524</v>
      </c>
      <c r="CG269" s="293">
        <f t="shared" ref="CG269" si="5960">CF269</f>
        <v>273524</v>
      </c>
      <c r="CH269" s="293">
        <f>ROUND(CG269*(1+取值表!$D$14),0)</f>
        <v>290756</v>
      </c>
      <c r="CI269" s="293">
        <f>CH269</f>
        <v>290756</v>
      </c>
      <c r="CJ269" s="293">
        <f t="shared" ref="CJ269" si="5961">CI269</f>
        <v>290756</v>
      </c>
      <c r="CK269" s="293">
        <f t="shared" ref="CK269" si="5962">CJ269</f>
        <v>290756</v>
      </c>
      <c r="CL269" s="293">
        <f>ROUND(CK269*(1+取值表!$D$14),0)</f>
        <v>309074</v>
      </c>
      <c r="CM269" s="293">
        <f>CL269</f>
        <v>309074</v>
      </c>
      <c r="CN269" s="293">
        <f t="shared" ref="CN269" si="5963">CM269</f>
        <v>309074</v>
      </c>
      <c r="CO269" s="293">
        <f t="shared" ref="CO269" si="5964">CN269</f>
        <v>309074</v>
      </c>
      <c r="CP269" s="293">
        <f t="shared" si="5740"/>
        <v>15226652</v>
      </c>
      <c r="CQ269" s="289"/>
    </row>
    <row r="270" spans="1:95" s="314" customFormat="1">
      <c r="A270" s="680"/>
      <c r="B270" s="645"/>
      <c r="C270" s="646"/>
      <c r="D270" s="647"/>
      <c r="E270" s="648"/>
      <c r="F270" s="682"/>
      <c r="G270" s="642"/>
      <c r="H270" s="643"/>
      <c r="I270" s="291"/>
      <c r="J270" s="295"/>
      <c r="K270" s="293"/>
      <c r="L270" s="293"/>
      <c r="M270" s="293"/>
      <c r="N270" s="293"/>
      <c r="O270" s="293"/>
      <c r="P270" s="293"/>
      <c r="Q270" s="293"/>
      <c r="R270" s="293"/>
      <c r="S270" s="293"/>
      <c r="T270" s="293"/>
      <c r="U270" s="293"/>
      <c r="V270" s="293"/>
      <c r="W270" s="293"/>
      <c r="X270" s="293"/>
      <c r="Y270" s="293"/>
      <c r="Z270" s="293"/>
      <c r="AA270" s="293"/>
      <c r="AB270" s="293"/>
      <c r="AC270" s="293"/>
      <c r="AD270" s="293"/>
      <c r="AE270" s="293"/>
      <c r="AF270" s="293"/>
      <c r="AG270" s="293"/>
      <c r="AH270" s="293"/>
      <c r="AI270" s="293"/>
      <c r="AJ270" s="293"/>
      <c r="AK270" s="293"/>
      <c r="AL270" s="293"/>
      <c r="AM270" s="293"/>
      <c r="AN270" s="293"/>
      <c r="AO270" s="293"/>
      <c r="AP270" s="293"/>
      <c r="AQ270" s="293"/>
      <c r="AR270" s="293"/>
      <c r="AS270" s="293"/>
      <c r="AT270" s="293"/>
      <c r="AU270" s="293"/>
      <c r="AV270" s="293"/>
      <c r="AW270" s="293"/>
      <c r="AX270" s="293"/>
      <c r="AY270" s="293"/>
      <c r="AZ270" s="293"/>
      <c r="BA270" s="293"/>
      <c r="BB270" s="293"/>
      <c r="BC270" s="293"/>
      <c r="BD270" s="293"/>
      <c r="BE270" s="293"/>
      <c r="BF270" s="293"/>
      <c r="BG270" s="293"/>
      <c r="BH270" s="293"/>
      <c r="BI270" s="293"/>
      <c r="BJ270" s="293"/>
      <c r="BK270" s="293"/>
      <c r="BL270" s="293"/>
      <c r="BM270" s="293"/>
      <c r="BN270" s="293"/>
      <c r="BO270" s="293"/>
      <c r="BP270" s="293"/>
      <c r="BQ270" s="293"/>
      <c r="BR270" s="293"/>
      <c r="BS270" s="293"/>
      <c r="BT270" s="293"/>
      <c r="BU270" s="293"/>
      <c r="BV270" s="293"/>
      <c r="BW270" s="293"/>
      <c r="BX270" s="293"/>
      <c r="BY270" s="293"/>
      <c r="BZ270" s="293"/>
      <c r="CA270" s="293"/>
      <c r="CB270" s="293"/>
      <c r="CC270" s="293"/>
      <c r="CD270" s="293"/>
      <c r="CE270" s="293"/>
      <c r="CF270" s="293"/>
      <c r="CG270" s="293"/>
      <c r="CH270" s="293"/>
      <c r="CI270" s="293"/>
      <c r="CJ270" s="293"/>
      <c r="CK270" s="293"/>
      <c r="CL270" s="293"/>
      <c r="CM270" s="293"/>
      <c r="CN270" s="293"/>
      <c r="CO270" s="293"/>
      <c r="CP270" s="293">
        <f t="shared" si="5740"/>
        <v>0</v>
      </c>
      <c r="CQ270" s="289"/>
    </row>
    <row r="271" spans="1:95">
      <c r="A271" s="679">
        <v>137</v>
      </c>
      <c r="B271" s="645" t="s">
        <v>262</v>
      </c>
      <c r="C271" s="646" t="s">
        <v>263</v>
      </c>
      <c r="D271" s="647" t="s">
        <v>507</v>
      </c>
      <c r="E271" s="648" t="s">
        <v>505</v>
      </c>
      <c r="F271" s="642">
        <v>368.56</v>
      </c>
      <c r="G271" s="642">
        <f>AVERAGE(5.8,6.3,6.8)</f>
        <v>6.3</v>
      </c>
      <c r="H271" s="643">
        <f>F271*G271*365</f>
        <v>847503.72</v>
      </c>
      <c r="I271" s="291">
        <v>211875.93</v>
      </c>
      <c r="J271" s="295">
        <f>ROUND(G271*F271*365/4,0)</f>
        <v>211876</v>
      </c>
      <c r="K271" s="293">
        <f>J271</f>
        <v>211876</v>
      </c>
      <c r="L271" s="293">
        <f>K271</f>
        <v>211876</v>
      </c>
      <c r="M271" s="293">
        <f>ROUND(6.8*F271*365/4,0)</f>
        <v>228691</v>
      </c>
      <c r="N271" s="293">
        <f>M271</f>
        <v>228691</v>
      </c>
      <c r="O271" s="293">
        <f>N271</f>
        <v>228691</v>
      </c>
      <c r="P271" s="292">
        <f>O271</f>
        <v>228691</v>
      </c>
      <c r="Q271" s="293">
        <f>P271</f>
        <v>228691</v>
      </c>
      <c r="R271" s="293">
        <f>ROUND(Q271*(1+取值表!$D$14)*取值表!$I$14,0)</f>
        <v>228756</v>
      </c>
      <c r="S271" s="293">
        <f>R271</f>
        <v>228756</v>
      </c>
      <c r="T271" s="293">
        <f>S271</f>
        <v>228756</v>
      </c>
      <c r="U271" s="293">
        <f>T271</f>
        <v>228756</v>
      </c>
      <c r="V271" s="294">
        <f>ROUND(U271*(1+取值表!$D$14),0)</f>
        <v>243168</v>
      </c>
      <c r="W271" s="293">
        <f t="shared" ref="W271:Y271" si="5965">V271</f>
        <v>243168</v>
      </c>
      <c r="X271" s="293">
        <f t="shared" si="5965"/>
        <v>243168</v>
      </c>
      <c r="Y271" s="293">
        <f t="shared" si="5965"/>
        <v>243168</v>
      </c>
      <c r="Z271" s="293">
        <f>ROUND(Y271*(1+取值表!$D$14),0)</f>
        <v>258488</v>
      </c>
      <c r="AA271" s="293">
        <f t="shared" ref="AA271:AB271" si="5966">Z271</f>
        <v>258488</v>
      </c>
      <c r="AB271" s="293">
        <f t="shared" si="5966"/>
        <v>258488</v>
      </c>
      <c r="AC271" s="293">
        <f>AB271</f>
        <v>258488</v>
      </c>
      <c r="AD271" s="293">
        <f>ROUND(AC271*(1+取值表!$D$14),0)</f>
        <v>274773</v>
      </c>
      <c r="AE271" s="293">
        <f t="shared" ref="AE271" si="5967">AD271</f>
        <v>274773</v>
      </c>
      <c r="AF271" s="293">
        <f t="shared" ref="AF271" si="5968">AE271</f>
        <v>274773</v>
      </c>
      <c r="AG271" s="293">
        <f t="shared" ref="AG271" si="5969">AF271</f>
        <v>274773</v>
      </c>
      <c r="AH271" s="293">
        <f>ROUND(AG271*(1+取值表!$D$14),0)</f>
        <v>292084</v>
      </c>
      <c r="AI271" s="293">
        <f t="shared" ref="AI271" si="5970">AH271</f>
        <v>292084</v>
      </c>
      <c r="AJ271" s="293">
        <f t="shared" ref="AJ271" si="5971">AI271</f>
        <v>292084</v>
      </c>
      <c r="AK271" s="293">
        <f t="shared" ref="AK271" si="5972">AJ271</f>
        <v>292084</v>
      </c>
      <c r="AL271" s="293">
        <f>ROUND(AK271*(1+取值表!$D$14),0)</f>
        <v>310485</v>
      </c>
      <c r="AM271" s="293">
        <f t="shared" ref="AM271" si="5973">AL271</f>
        <v>310485</v>
      </c>
      <c r="AN271" s="293">
        <f t="shared" ref="AN271" si="5974">AM271</f>
        <v>310485</v>
      </c>
      <c r="AO271" s="293">
        <f t="shared" ref="AO271" si="5975">AN271</f>
        <v>310485</v>
      </c>
      <c r="AP271" s="293">
        <f>ROUND(AO271*(1+取值表!$D$14),0)</f>
        <v>330046</v>
      </c>
      <c r="AQ271" s="293">
        <f t="shared" ref="AQ271" si="5976">AP271</f>
        <v>330046</v>
      </c>
      <c r="AR271" s="293">
        <f t="shared" ref="AR271" si="5977">AQ271</f>
        <v>330046</v>
      </c>
      <c r="AS271" s="293">
        <f t="shared" ref="AS271" si="5978">AR271</f>
        <v>330046</v>
      </c>
      <c r="AT271" s="293">
        <f>ROUND(AS271*(1+取值表!$D$14),0)</f>
        <v>350839</v>
      </c>
      <c r="AU271" s="293">
        <f t="shared" ref="AU271" si="5979">AT271</f>
        <v>350839</v>
      </c>
      <c r="AV271" s="293">
        <f t="shared" ref="AV271" si="5980">AU271</f>
        <v>350839</v>
      </c>
      <c r="AW271" s="293">
        <f t="shared" ref="AW271" si="5981">AV271</f>
        <v>350839</v>
      </c>
      <c r="AX271" s="293">
        <f>ROUND(AW271*(1+取值表!$D$14),0)</f>
        <v>372942</v>
      </c>
      <c r="AY271" s="293">
        <f t="shared" ref="AY271" si="5982">AX271</f>
        <v>372942</v>
      </c>
      <c r="AZ271" s="293">
        <f t="shared" ref="AZ271" si="5983">AY271</f>
        <v>372942</v>
      </c>
      <c r="BA271" s="293">
        <f t="shared" ref="BA271" si="5984">AZ271</f>
        <v>372942</v>
      </c>
      <c r="BB271" s="293">
        <f>ROUND(BA271*(1+取值表!$D$14),0)</f>
        <v>396437</v>
      </c>
      <c r="BC271" s="293">
        <f>BB271</f>
        <v>396437</v>
      </c>
      <c r="BD271" s="293">
        <f t="shared" ref="BD271" si="5985">BC271</f>
        <v>396437</v>
      </c>
      <c r="BE271" s="293">
        <f>BD271</f>
        <v>396437</v>
      </c>
      <c r="BF271" s="293">
        <f>ROUND(BE271*(1+取值表!$D$14),0)</f>
        <v>421413</v>
      </c>
      <c r="BG271" s="293">
        <f>BF271</f>
        <v>421413</v>
      </c>
      <c r="BH271" s="293">
        <f t="shared" ref="BH271" si="5986">BG271</f>
        <v>421413</v>
      </c>
      <c r="BI271" s="293">
        <f t="shared" ref="BI271" si="5987">BH271</f>
        <v>421413</v>
      </c>
      <c r="BJ271" s="293">
        <f>ROUND(BI271*(1+取值表!$D$14),0)</f>
        <v>447962</v>
      </c>
      <c r="BK271" s="293">
        <f t="shared" ref="BK271" si="5988">BJ271</f>
        <v>447962</v>
      </c>
      <c r="BL271" s="293">
        <f t="shared" ref="BL271" si="5989">BK271</f>
        <v>447962</v>
      </c>
      <c r="BM271" s="293">
        <f t="shared" ref="BM271" si="5990">BL271</f>
        <v>447962</v>
      </c>
      <c r="BN271" s="293">
        <f>ROUND(BM271*(1+取值表!$D$14),0)</f>
        <v>476184</v>
      </c>
      <c r="BO271" s="293">
        <f t="shared" ref="BO271" si="5991">BN271</f>
        <v>476184</v>
      </c>
      <c r="BP271" s="293">
        <f t="shared" ref="BP271" si="5992">BO271</f>
        <v>476184</v>
      </c>
      <c r="BQ271" s="293">
        <f t="shared" ref="BQ271" si="5993">BP271</f>
        <v>476184</v>
      </c>
      <c r="BR271" s="293">
        <f>ROUND(BQ271*(1+取值表!$D$14),0)</f>
        <v>506184</v>
      </c>
      <c r="BS271" s="293">
        <f t="shared" ref="BS271" si="5994">BR271</f>
        <v>506184</v>
      </c>
      <c r="BT271" s="293">
        <f t="shared" ref="BT271" si="5995">BS271</f>
        <v>506184</v>
      </c>
      <c r="BU271" s="293">
        <f t="shared" ref="BU271" si="5996">BT271</f>
        <v>506184</v>
      </c>
      <c r="BV271" s="293">
        <f>ROUND(BU271*(1+取值表!$D$14),0)</f>
        <v>538074</v>
      </c>
      <c r="BW271" s="293">
        <f t="shared" ref="BW271" si="5997">BV271</f>
        <v>538074</v>
      </c>
      <c r="BX271" s="293">
        <f t="shared" ref="BX271" si="5998">BW271</f>
        <v>538074</v>
      </c>
      <c r="BY271" s="293">
        <f t="shared" ref="BY271" si="5999">BX271</f>
        <v>538074</v>
      </c>
      <c r="BZ271" s="293">
        <f>ROUND(BY271*(1+取值表!$D$14),0)</f>
        <v>571973</v>
      </c>
      <c r="CA271" s="293">
        <f t="shared" ref="CA271" si="6000">BZ271</f>
        <v>571973</v>
      </c>
      <c r="CB271" s="293">
        <f t="shared" ref="CB271" si="6001">CA271</f>
        <v>571973</v>
      </c>
      <c r="CC271" s="293">
        <f t="shared" ref="CC271" si="6002">CB271</f>
        <v>571973</v>
      </c>
      <c r="CD271" s="293">
        <f>ROUND(CC271*(1+取值表!$D$14),0)</f>
        <v>608007</v>
      </c>
      <c r="CE271" s="293">
        <f t="shared" ref="CE271" si="6003">CD271</f>
        <v>608007</v>
      </c>
      <c r="CF271" s="293">
        <f t="shared" ref="CF271" si="6004">CE271</f>
        <v>608007</v>
      </c>
      <c r="CG271" s="293">
        <f t="shared" ref="CG271" si="6005">CF271</f>
        <v>608007</v>
      </c>
      <c r="CH271" s="293">
        <f>ROUND(CG271*(1+取值表!$D$14),0)</f>
        <v>646311</v>
      </c>
      <c r="CI271" s="293">
        <f>CH271</f>
        <v>646311</v>
      </c>
      <c r="CJ271" s="293">
        <f t="shared" ref="CJ271" si="6006">CI271</f>
        <v>646311</v>
      </c>
      <c r="CK271" s="293">
        <f t="shared" ref="CK271" si="6007">CJ271</f>
        <v>646311</v>
      </c>
      <c r="CL271" s="293">
        <f>ROUND(CK271*(1+取值表!$D$14),0)</f>
        <v>687029</v>
      </c>
      <c r="CM271" s="293">
        <f>CL271</f>
        <v>687029</v>
      </c>
      <c r="CN271" s="293">
        <f t="shared" ref="CN271" si="6008">CM271</f>
        <v>687029</v>
      </c>
      <c r="CO271" s="293">
        <f t="shared" ref="CO271" si="6009">CN271</f>
        <v>687029</v>
      </c>
      <c r="CP271" s="293">
        <f t="shared" si="5740"/>
        <v>33623703</v>
      </c>
    </row>
    <row r="272" spans="1:95">
      <c r="A272" s="680"/>
      <c r="B272" s="645"/>
      <c r="C272" s="646"/>
      <c r="D272" s="647"/>
      <c r="E272" s="648"/>
      <c r="F272" s="642"/>
      <c r="G272" s="642"/>
      <c r="H272" s="643"/>
      <c r="I272" s="291"/>
      <c r="J272" s="295"/>
      <c r="K272" s="293"/>
      <c r="L272" s="293"/>
      <c r="M272" s="293"/>
      <c r="N272" s="293"/>
      <c r="O272" s="293"/>
      <c r="P272" s="293"/>
      <c r="Q272" s="293"/>
      <c r="R272" s="293"/>
      <c r="S272" s="293"/>
      <c r="T272" s="293"/>
      <c r="U272" s="293"/>
      <c r="V272" s="293"/>
      <c r="W272" s="293"/>
      <c r="X272" s="293"/>
      <c r="Y272" s="293"/>
      <c r="Z272" s="293"/>
      <c r="AA272" s="293"/>
      <c r="AB272" s="293"/>
      <c r="AC272" s="293"/>
      <c r="AD272" s="293"/>
      <c r="AE272" s="293"/>
      <c r="AF272" s="293"/>
      <c r="AG272" s="293"/>
      <c r="AH272" s="293"/>
      <c r="AI272" s="293"/>
      <c r="AJ272" s="293"/>
      <c r="AK272" s="293"/>
      <c r="AL272" s="293"/>
      <c r="AM272" s="293"/>
      <c r="AN272" s="293"/>
      <c r="AO272" s="293"/>
      <c r="AP272" s="293"/>
      <c r="AQ272" s="293"/>
      <c r="AR272" s="293"/>
      <c r="AS272" s="293"/>
      <c r="AT272" s="293"/>
      <c r="AU272" s="293"/>
      <c r="AV272" s="293"/>
      <c r="AW272" s="293"/>
      <c r="AX272" s="293"/>
      <c r="AY272" s="293"/>
      <c r="AZ272" s="293"/>
      <c r="BA272" s="293"/>
      <c r="BB272" s="293"/>
      <c r="BC272" s="293"/>
      <c r="BD272" s="293"/>
      <c r="BE272" s="293"/>
      <c r="BF272" s="293"/>
      <c r="BG272" s="293"/>
      <c r="BH272" s="293"/>
      <c r="BI272" s="293"/>
      <c r="BJ272" s="293"/>
      <c r="BK272" s="293"/>
      <c r="BL272" s="293"/>
      <c r="BM272" s="293"/>
      <c r="BN272" s="293"/>
      <c r="BO272" s="293"/>
      <c r="BP272" s="293"/>
      <c r="BQ272" s="293"/>
      <c r="BR272" s="293"/>
      <c r="BS272" s="293"/>
      <c r="BT272" s="293"/>
      <c r="BU272" s="293"/>
      <c r="BV272" s="293"/>
      <c r="BW272" s="293"/>
      <c r="BX272" s="293"/>
      <c r="BY272" s="293"/>
      <c r="BZ272" s="293"/>
      <c r="CA272" s="293"/>
      <c r="CB272" s="293"/>
      <c r="CC272" s="293"/>
      <c r="CD272" s="293"/>
      <c r="CE272" s="293"/>
      <c r="CF272" s="293"/>
      <c r="CG272" s="293"/>
      <c r="CH272" s="293"/>
      <c r="CI272" s="293"/>
      <c r="CJ272" s="293"/>
      <c r="CK272" s="293"/>
      <c r="CL272" s="293"/>
      <c r="CM272" s="293"/>
      <c r="CN272" s="293"/>
      <c r="CO272" s="293"/>
      <c r="CP272" s="293">
        <f t="shared" si="5740"/>
        <v>0</v>
      </c>
    </row>
    <row r="273" spans="1:94">
      <c r="A273" s="679">
        <v>138</v>
      </c>
      <c r="B273" s="645" t="s">
        <v>265</v>
      </c>
      <c r="C273" s="646" t="s">
        <v>266</v>
      </c>
      <c r="D273" s="647" t="s">
        <v>508</v>
      </c>
      <c r="E273" s="648" t="s">
        <v>505</v>
      </c>
      <c r="F273" s="642">
        <v>25.65</v>
      </c>
      <c r="G273" s="642">
        <v>20</v>
      </c>
      <c r="H273" s="643">
        <f>F273*G273*365</f>
        <v>187245</v>
      </c>
      <c r="I273" s="291">
        <v>46811.25</v>
      </c>
      <c r="J273" s="295">
        <f>ROUND(G273*F273*365/4,0)</f>
        <v>46811</v>
      </c>
      <c r="K273" s="293">
        <f>J273</f>
        <v>46811</v>
      </c>
      <c r="L273" s="293">
        <f>K273</f>
        <v>46811</v>
      </c>
      <c r="M273" s="292">
        <f>L273</f>
        <v>46811</v>
      </c>
      <c r="N273" s="293">
        <f>ROUND(M273*(1+取值表!$D$14)*取值表!$I$14,0)</f>
        <v>46824</v>
      </c>
      <c r="O273" s="293">
        <f>N273</f>
        <v>46824</v>
      </c>
      <c r="P273" s="293">
        <f>O273</f>
        <v>46824</v>
      </c>
      <c r="Q273" s="293">
        <f>P273</f>
        <v>46824</v>
      </c>
      <c r="R273" s="293">
        <f>ROUND(Q273*(1+取值表!$D$14)*取值表!$I$14,0)</f>
        <v>46837</v>
      </c>
      <c r="S273" s="293">
        <f>R273</f>
        <v>46837</v>
      </c>
      <c r="T273" s="293">
        <f>S273</f>
        <v>46837</v>
      </c>
      <c r="U273" s="293">
        <f>T273</f>
        <v>46837</v>
      </c>
      <c r="V273" s="294">
        <f>ROUND(U273*(1+取值表!$D$14),0)</f>
        <v>49788</v>
      </c>
      <c r="W273" s="293">
        <f t="shared" ref="W273:Y273" si="6010">V273</f>
        <v>49788</v>
      </c>
      <c r="X273" s="293">
        <f t="shared" si="6010"/>
        <v>49788</v>
      </c>
      <c r="Y273" s="293">
        <f t="shared" si="6010"/>
        <v>49788</v>
      </c>
      <c r="Z273" s="293">
        <f>ROUND(Y273*(1+取值表!$D$14),0)</f>
        <v>52925</v>
      </c>
      <c r="AA273" s="293">
        <f t="shared" ref="AA273:AB273" si="6011">Z273</f>
        <v>52925</v>
      </c>
      <c r="AB273" s="293">
        <f t="shared" si="6011"/>
        <v>52925</v>
      </c>
      <c r="AC273" s="293">
        <f>AB273</f>
        <v>52925</v>
      </c>
      <c r="AD273" s="293">
        <f>ROUND(AC273*(1+取值表!$D$14),0)</f>
        <v>56259</v>
      </c>
      <c r="AE273" s="293">
        <f t="shared" ref="AE273" si="6012">AD273</f>
        <v>56259</v>
      </c>
      <c r="AF273" s="293">
        <f t="shared" ref="AF273" si="6013">AE273</f>
        <v>56259</v>
      </c>
      <c r="AG273" s="293">
        <f t="shared" ref="AG273" si="6014">AF273</f>
        <v>56259</v>
      </c>
      <c r="AH273" s="293">
        <f>ROUND(AG273*(1+取值表!$D$14),0)</f>
        <v>59803</v>
      </c>
      <c r="AI273" s="293">
        <f t="shared" ref="AI273" si="6015">AH273</f>
        <v>59803</v>
      </c>
      <c r="AJ273" s="293">
        <f t="shared" ref="AJ273" si="6016">AI273</f>
        <v>59803</v>
      </c>
      <c r="AK273" s="293">
        <f t="shared" ref="AK273" si="6017">AJ273</f>
        <v>59803</v>
      </c>
      <c r="AL273" s="293">
        <f>ROUND(AK273*(1+取值表!$D$14),0)</f>
        <v>63571</v>
      </c>
      <c r="AM273" s="293">
        <f t="shared" ref="AM273" si="6018">AL273</f>
        <v>63571</v>
      </c>
      <c r="AN273" s="293">
        <f t="shared" ref="AN273" si="6019">AM273</f>
        <v>63571</v>
      </c>
      <c r="AO273" s="293">
        <f t="shared" ref="AO273" si="6020">AN273</f>
        <v>63571</v>
      </c>
      <c r="AP273" s="293">
        <f>ROUND(AO273*(1+取值表!$D$14),0)</f>
        <v>67576</v>
      </c>
      <c r="AQ273" s="293">
        <f t="shared" ref="AQ273" si="6021">AP273</f>
        <v>67576</v>
      </c>
      <c r="AR273" s="293">
        <f t="shared" ref="AR273" si="6022">AQ273</f>
        <v>67576</v>
      </c>
      <c r="AS273" s="293">
        <f t="shared" ref="AS273" si="6023">AR273</f>
        <v>67576</v>
      </c>
      <c r="AT273" s="293">
        <f>ROUND(AS273*(1+取值表!$D$14),0)</f>
        <v>71833</v>
      </c>
      <c r="AU273" s="293">
        <f t="shared" ref="AU273" si="6024">AT273</f>
        <v>71833</v>
      </c>
      <c r="AV273" s="293">
        <f t="shared" ref="AV273" si="6025">AU273</f>
        <v>71833</v>
      </c>
      <c r="AW273" s="293">
        <f t="shared" ref="AW273" si="6026">AV273</f>
        <v>71833</v>
      </c>
      <c r="AX273" s="293">
        <f>ROUND(AW273*(1+取值表!$D$14),0)</f>
        <v>76358</v>
      </c>
      <c r="AY273" s="293">
        <f t="shared" ref="AY273" si="6027">AX273</f>
        <v>76358</v>
      </c>
      <c r="AZ273" s="293">
        <f t="shared" ref="AZ273" si="6028">AY273</f>
        <v>76358</v>
      </c>
      <c r="BA273" s="293">
        <f t="shared" ref="BA273" si="6029">AZ273</f>
        <v>76358</v>
      </c>
      <c r="BB273" s="293">
        <f>ROUND(BA273*(1+取值表!$D$14),0)</f>
        <v>81169</v>
      </c>
      <c r="BC273" s="293">
        <f>BB273</f>
        <v>81169</v>
      </c>
      <c r="BD273" s="293">
        <f t="shared" ref="BD273" si="6030">BC273</f>
        <v>81169</v>
      </c>
      <c r="BE273" s="293">
        <f>BD273</f>
        <v>81169</v>
      </c>
      <c r="BF273" s="293">
        <f>ROUND(BE273*(1+取值表!$D$14),0)</f>
        <v>86283</v>
      </c>
      <c r="BG273" s="293">
        <f>BF273</f>
        <v>86283</v>
      </c>
      <c r="BH273" s="293">
        <f t="shared" ref="BH273" si="6031">BG273</f>
        <v>86283</v>
      </c>
      <c r="BI273" s="293">
        <f t="shared" ref="BI273" si="6032">BH273</f>
        <v>86283</v>
      </c>
      <c r="BJ273" s="293">
        <f>ROUND(BI273*(1+取值表!$D$14),0)</f>
        <v>91719</v>
      </c>
      <c r="BK273" s="293">
        <f t="shared" ref="BK273" si="6033">BJ273</f>
        <v>91719</v>
      </c>
      <c r="BL273" s="293">
        <f t="shared" ref="BL273" si="6034">BK273</f>
        <v>91719</v>
      </c>
      <c r="BM273" s="293">
        <f t="shared" ref="BM273" si="6035">BL273</f>
        <v>91719</v>
      </c>
      <c r="BN273" s="293">
        <f>ROUND(BM273*(1+取值表!$D$14),0)</f>
        <v>97497</v>
      </c>
      <c r="BO273" s="293">
        <f t="shared" ref="BO273" si="6036">BN273</f>
        <v>97497</v>
      </c>
      <c r="BP273" s="293">
        <f t="shared" ref="BP273" si="6037">BO273</f>
        <v>97497</v>
      </c>
      <c r="BQ273" s="293">
        <f t="shared" ref="BQ273" si="6038">BP273</f>
        <v>97497</v>
      </c>
      <c r="BR273" s="293">
        <f>ROUND(BQ273*(1+取值表!$D$14),0)</f>
        <v>103639</v>
      </c>
      <c r="BS273" s="293">
        <f t="shared" ref="BS273" si="6039">BR273</f>
        <v>103639</v>
      </c>
      <c r="BT273" s="293">
        <f t="shared" ref="BT273" si="6040">BS273</f>
        <v>103639</v>
      </c>
      <c r="BU273" s="293">
        <f t="shared" ref="BU273" si="6041">BT273</f>
        <v>103639</v>
      </c>
      <c r="BV273" s="293">
        <f>ROUND(BU273*(1+取值表!$D$14),0)</f>
        <v>110168</v>
      </c>
      <c r="BW273" s="293">
        <f t="shared" ref="BW273" si="6042">BV273</f>
        <v>110168</v>
      </c>
      <c r="BX273" s="293">
        <f t="shared" ref="BX273" si="6043">BW273</f>
        <v>110168</v>
      </c>
      <c r="BY273" s="293">
        <f t="shared" ref="BY273" si="6044">BX273</f>
        <v>110168</v>
      </c>
      <c r="BZ273" s="293">
        <f>ROUND(BY273*(1+取值表!$D$14),0)</f>
        <v>117109</v>
      </c>
      <c r="CA273" s="293">
        <f t="shared" ref="CA273" si="6045">BZ273</f>
        <v>117109</v>
      </c>
      <c r="CB273" s="293">
        <f t="shared" ref="CB273" si="6046">CA273</f>
        <v>117109</v>
      </c>
      <c r="CC273" s="293">
        <f t="shared" ref="CC273" si="6047">CB273</f>
        <v>117109</v>
      </c>
      <c r="CD273" s="293">
        <f>ROUND(CC273*(1+取值表!$D$14),0)</f>
        <v>124487</v>
      </c>
      <c r="CE273" s="293">
        <f t="shared" ref="CE273" si="6048">CD273</f>
        <v>124487</v>
      </c>
      <c r="CF273" s="293">
        <f t="shared" ref="CF273" si="6049">CE273</f>
        <v>124487</v>
      </c>
      <c r="CG273" s="293">
        <f t="shared" ref="CG273" si="6050">CF273</f>
        <v>124487</v>
      </c>
      <c r="CH273" s="293">
        <f>ROUND(CG273*(1+取值表!$D$14),0)</f>
        <v>132330</v>
      </c>
      <c r="CI273" s="293">
        <f>CH273</f>
        <v>132330</v>
      </c>
      <c r="CJ273" s="293">
        <f t="shared" ref="CJ273" si="6051">CI273</f>
        <v>132330</v>
      </c>
      <c r="CK273" s="293">
        <f t="shared" ref="CK273" si="6052">CJ273</f>
        <v>132330</v>
      </c>
      <c r="CL273" s="293">
        <f>ROUND(CK273*(1+取值表!$D$14),0)</f>
        <v>140667</v>
      </c>
      <c r="CM273" s="293">
        <f>CL273</f>
        <v>140667</v>
      </c>
      <c r="CN273" s="293">
        <f t="shared" ref="CN273" si="6053">CM273</f>
        <v>140667</v>
      </c>
      <c r="CO273" s="293">
        <f t="shared" ref="CO273" si="6054">CN273</f>
        <v>140667</v>
      </c>
      <c r="CP273" s="293">
        <f t="shared" si="5740"/>
        <v>6894612</v>
      </c>
    </row>
    <row r="274" spans="1:94">
      <c r="A274" s="680"/>
      <c r="B274" s="645"/>
      <c r="C274" s="646"/>
      <c r="D274" s="647"/>
      <c r="E274" s="648"/>
      <c r="F274" s="642"/>
      <c r="G274" s="642"/>
      <c r="H274" s="643"/>
      <c r="I274" s="291"/>
      <c r="J274" s="295"/>
      <c r="K274" s="293"/>
      <c r="L274" s="293"/>
      <c r="M274" s="293"/>
      <c r="N274" s="293"/>
      <c r="O274" s="293"/>
      <c r="P274" s="293"/>
      <c r="Q274" s="293"/>
      <c r="R274" s="293"/>
      <c r="S274" s="293"/>
      <c r="T274" s="293"/>
      <c r="U274" s="293"/>
      <c r="V274" s="293"/>
      <c r="W274" s="293"/>
      <c r="X274" s="293"/>
      <c r="Y274" s="293"/>
      <c r="Z274" s="293"/>
      <c r="AA274" s="293"/>
      <c r="AB274" s="293"/>
      <c r="AC274" s="293"/>
      <c r="AD274" s="293"/>
      <c r="AE274" s="293"/>
      <c r="AF274" s="293"/>
      <c r="AG274" s="293"/>
      <c r="AH274" s="293"/>
      <c r="AI274" s="293"/>
      <c r="AJ274" s="293"/>
      <c r="AK274" s="293"/>
      <c r="AL274" s="293"/>
      <c r="AM274" s="293"/>
      <c r="AN274" s="293"/>
      <c r="AO274" s="293"/>
      <c r="AP274" s="293"/>
      <c r="AQ274" s="293"/>
      <c r="AR274" s="293"/>
      <c r="AS274" s="293"/>
      <c r="AT274" s="293"/>
      <c r="AU274" s="293"/>
      <c r="AV274" s="293"/>
      <c r="AW274" s="293"/>
      <c r="AX274" s="293"/>
      <c r="AY274" s="293"/>
      <c r="AZ274" s="293"/>
      <c r="BA274" s="293"/>
      <c r="BB274" s="293"/>
      <c r="BC274" s="293"/>
      <c r="BD274" s="293"/>
      <c r="BE274" s="293"/>
      <c r="BF274" s="293"/>
      <c r="BG274" s="293"/>
      <c r="BH274" s="293"/>
      <c r="BI274" s="293"/>
      <c r="BJ274" s="293"/>
      <c r="BK274" s="293"/>
      <c r="BL274" s="293"/>
      <c r="BM274" s="293"/>
      <c r="BN274" s="293"/>
      <c r="BO274" s="293"/>
      <c r="BP274" s="293"/>
      <c r="BQ274" s="293"/>
      <c r="BR274" s="293"/>
      <c r="BS274" s="293"/>
      <c r="BT274" s="293"/>
      <c r="BU274" s="293"/>
      <c r="BV274" s="293"/>
      <c r="BW274" s="293"/>
      <c r="BX274" s="293"/>
      <c r="BY274" s="293"/>
      <c r="BZ274" s="293"/>
      <c r="CA274" s="293"/>
      <c r="CB274" s="293"/>
      <c r="CC274" s="293"/>
      <c r="CD274" s="293"/>
      <c r="CE274" s="293"/>
      <c r="CF274" s="293"/>
      <c r="CG274" s="293"/>
      <c r="CH274" s="293"/>
      <c r="CI274" s="293"/>
      <c r="CJ274" s="293"/>
      <c r="CK274" s="293"/>
      <c r="CL274" s="293"/>
      <c r="CM274" s="293"/>
      <c r="CN274" s="293"/>
      <c r="CO274" s="293"/>
      <c r="CP274" s="293">
        <f t="shared" si="5740"/>
        <v>0</v>
      </c>
    </row>
    <row r="275" spans="1:94" ht="12" customHeight="1">
      <c r="A275" s="679">
        <v>139</v>
      </c>
      <c r="B275" s="645" t="s">
        <v>267</v>
      </c>
      <c r="C275" s="646" t="s">
        <v>743</v>
      </c>
      <c r="D275" s="647" t="s">
        <v>509</v>
      </c>
      <c r="E275" s="648" t="s">
        <v>505</v>
      </c>
      <c r="F275" s="642">
        <v>18.760000000000002</v>
      </c>
      <c r="G275" s="642">
        <v>19</v>
      </c>
      <c r="H275" s="643">
        <f>F275*G275*365</f>
        <v>130100.60000000002</v>
      </c>
      <c r="I275" s="291">
        <v>32525.15</v>
      </c>
      <c r="J275" s="295">
        <f>ROUND(G275*F275*365/4,0)</f>
        <v>32525</v>
      </c>
      <c r="K275" s="292">
        <f>J275</f>
        <v>32525</v>
      </c>
      <c r="L275" s="293">
        <f>K275</f>
        <v>32525</v>
      </c>
      <c r="M275" s="293">
        <f>L275</f>
        <v>32525</v>
      </c>
      <c r="N275" s="293">
        <f>ROUND(M275*(1+取值表!$D$14)*取值表!$I$14,0)</f>
        <v>32534</v>
      </c>
      <c r="O275" s="293">
        <f>N275</f>
        <v>32534</v>
      </c>
      <c r="P275" s="293">
        <f>O275</f>
        <v>32534</v>
      </c>
      <c r="Q275" s="293">
        <f>P275</f>
        <v>32534</v>
      </c>
      <c r="R275" s="294">
        <f>ROUND(Q275*(1+取值表!$D$14),0)</f>
        <v>34584</v>
      </c>
      <c r="S275" s="293">
        <f>R275</f>
        <v>34584</v>
      </c>
      <c r="T275" s="293">
        <f>S275</f>
        <v>34584</v>
      </c>
      <c r="U275" s="293">
        <f>T275</f>
        <v>34584</v>
      </c>
      <c r="V275" s="293">
        <f>ROUND(U275*(1+取值表!$D$14),0)</f>
        <v>36763</v>
      </c>
      <c r="W275" s="293">
        <f t="shared" ref="W275:Y275" si="6055">V275</f>
        <v>36763</v>
      </c>
      <c r="X275" s="293">
        <f t="shared" si="6055"/>
        <v>36763</v>
      </c>
      <c r="Y275" s="293">
        <f t="shared" si="6055"/>
        <v>36763</v>
      </c>
      <c r="Z275" s="293">
        <f>ROUND(Y275*(1+取值表!$D$14),0)</f>
        <v>39079</v>
      </c>
      <c r="AA275" s="293">
        <f t="shared" ref="AA275" si="6056">Z275</f>
        <v>39079</v>
      </c>
      <c r="AB275" s="293">
        <f t="shared" ref="AB275" si="6057">AA275</f>
        <v>39079</v>
      </c>
      <c r="AC275" s="293">
        <f>AB275</f>
        <v>39079</v>
      </c>
      <c r="AD275" s="293">
        <f>ROUND(AC275*(1+取值表!$D$14),0)</f>
        <v>41541</v>
      </c>
      <c r="AE275" s="293">
        <f t="shared" ref="AE275" si="6058">AD275</f>
        <v>41541</v>
      </c>
      <c r="AF275" s="293">
        <f t="shared" ref="AF275" si="6059">AE275</f>
        <v>41541</v>
      </c>
      <c r="AG275" s="293">
        <f t="shared" ref="AG275" si="6060">AF275</f>
        <v>41541</v>
      </c>
      <c r="AH275" s="293">
        <f>ROUND(AG275*(1+取值表!$D$14),0)</f>
        <v>44158</v>
      </c>
      <c r="AI275" s="293">
        <f t="shared" ref="AI275" si="6061">AH275</f>
        <v>44158</v>
      </c>
      <c r="AJ275" s="293">
        <f t="shared" ref="AJ275" si="6062">AI275</f>
        <v>44158</v>
      </c>
      <c r="AK275" s="293">
        <f t="shared" ref="AK275" si="6063">AJ275</f>
        <v>44158</v>
      </c>
      <c r="AL275" s="293">
        <f>ROUND(AK275*(1+取值表!$D$14),0)</f>
        <v>46940</v>
      </c>
      <c r="AM275" s="293">
        <f t="shared" ref="AM275" si="6064">AL275</f>
        <v>46940</v>
      </c>
      <c r="AN275" s="293">
        <f t="shared" ref="AN275" si="6065">AM275</f>
        <v>46940</v>
      </c>
      <c r="AO275" s="293">
        <f t="shared" ref="AO275" si="6066">AN275</f>
        <v>46940</v>
      </c>
      <c r="AP275" s="293">
        <f>ROUND(AO275*(1+取值表!$D$14),0)</f>
        <v>49897</v>
      </c>
      <c r="AQ275" s="293">
        <f t="shared" ref="AQ275" si="6067">AP275</f>
        <v>49897</v>
      </c>
      <c r="AR275" s="293">
        <f t="shared" ref="AR275" si="6068">AQ275</f>
        <v>49897</v>
      </c>
      <c r="AS275" s="293">
        <f t="shared" ref="AS275" si="6069">AR275</f>
        <v>49897</v>
      </c>
      <c r="AT275" s="293">
        <f>ROUND(AS275*(1+取值表!$D$14),0)</f>
        <v>53041</v>
      </c>
      <c r="AU275" s="293">
        <f t="shared" ref="AU275" si="6070">AT275</f>
        <v>53041</v>
      </c>
      <c r="AV275" s="293">
        <f t="shared" ref="AV275" si="6071">AU275</f>
        <v>53041</v>
      </c>
      <c r="AW275" s="293">
        <f t="shared" ref="AW275" si="6072">AV275</f>
        <v>53041</v>
      </c>
      <c r="AX275" s="293">
        <f>ROUND(AW275*(1+取值表!$D$14),0)</f>
        <v>56383</v>
      </c>
      <c r="AY275" s="293">
        <f t="shared" ref="AY275" si="6073">AX275</f>
        <v>56383</v>
      </c>
      <c r="AZ275" s="293">
        <f t="shared" ref="AZ275" si="6074">AY275</f>
        <v>56383</v>
      </c>
      <c r="BA275" s="293">
        <f t="shared" ref="BA275" si="6075">AZ275</f>
        <v>56383</v>
      </c>
      <c r="BB275" s="293">
        <f>ROUND(BA275*(1+取值表!$D$14),0)</f>
        <v>59935</v>
      </c>
      <c r="BC275" s="293">
        <f>BB275</f>
        <v>59935</v>
      </c>
      <c r="BD275" s="293">
        <f t="shared" ref="BD275" si="6076">BC275</f>
        <v>59935</v>
      </c>
      <c r="BE275" s="293">
        <f>BD275</f>
        <v>59935</v>
      </c>
      <c r="BF275" s="293">
        <f>ROUND(BE275*(1+取值表!$D$14),0)</f>
        <v>63711</v>
      </c>
      <c r="BG275" s="293">
        <f>BF275</f>
        <v>63711</v>
      </c>
      <c r="BH275" s="293">
        <f t="shared" ref="BH275" si="6077">BG275</f>
        <v>63711</v>
      </c>
      <c r="BI275" s="293">
        <f t="shared" ref="BI275" si="6078">BH275</f>
        <v>63711</v>
      </c>
      <c r="BJ275" s="293">
        <f>ROUND(BI275*(1+取值表!$D$14),0)</f>
        <v>67725</v>
      </c>
      <c r="BK275" s="293">
        <f t="shared" ref="BK275" si="6079">BJ275</f>
        <v>67725</v>
      </c>
      <c r="BL275" s="293">
        <f t="shared" ref="BL275" si="6080">BK275</f>
        <v>67725</v>
      </c>
      <c r="BM275" s="293">
        <f t="shared" ref="BM275" si="6081">BL275</f>
        <v>67725</v>
      </c>
      <c r="BN275" s="293">
        <f>ROUND(BM275*(1+取值表!$D$14),0)</f>
        <v>71992</v>
      </c>
      <c r="BO275" s="293">
        <f t="shared" ref="BO275" si="6082">BN275</f>
        <v>71992</v>
      </c>
      <c r="BP275" s="293">
        <f t="shared" ref="BP275" si="6083">BO275</f>
        <v>71992</v>
      </c>
      <c r="BQ275" s="293">
        <f t="shared" ref="BQ275" si="6084">BP275</f>
        <v>71992</v>
      </c>
      <c r="BR275" s="293">
        <f>ROUND(BQ275*(1+取值表!$D$14),0)</f>
        <v>76527</v>
      </c>
      <c r="BS275" s="293">
        <f t="shared" ref="BS275" si="6085">BR275</f>
        <v>76527</v>
      </c>
      <c r="BT275" s="293">
        <f t="shared" ref="BT275" si="6086">BS275</f>
        <v>76527</v>
      </c>
      <c r="BU275" s="293">
        <f t="shared" ref="BU275" si="6087">BT275</f>
        <v>76527</v>
      </c>
      <c r="BV275" s="293">
        <f>ROUND(BU275*(1+取值表!$D$14),0)</f>
        <v>81348</v>
      </c>
      <c r="BW275" s="293">
        <f t="shared" ref="BW275" si="6088">BV275</f>
        <v>81348</v>
      </c>
      <c r="BX275" s="293">
        <f t="shared" ref="BX275" si="6089">BW275</f>
        <v>81348</v>
      </c>
      <c r="BY275" s="293">
        <f t="shared" ref="BY275" si="6090">BX275</f>
        <v>81348</v>
      </c>
      <c r="BZ275" s="293">
        <f>ROUND(BY275*(1+取值表!$D$14),0)</f>
        <v>86473</v>
      </c>
      <c r="CA275" s="293">
        <f t="shared" ref="CA275" si="6091">BZ275</f>
        <v>86473</v>
      </c>
      <c r="CB275" s="293">
        <f t="shared" ref="CB275" si="6092">CA275</f>
        <v>86473</v>
      </c>
      <c r="CC275" s="293">
        <f t="shared" ref="CC275" si="6093">CB275</f>
        <v>86473</v>
      </c>
      <c r="CD275" s="293">
        <f>ROUND(CC275*(1+取值表!$D$14),0)</f>
        <v>91921</v>
      </c>
      <c r="CE275" s="293">
        <f t="shared" ref="CE275" si="6094">CD275</f>
        <v>91921</v>
      </c>
      <c r="CF275" s="293">
        <f t="shared" ref="CF275" si="6095">CE275</f>
        <v>91921</v>
      </c>
      <c r="CG275" s="293">
        <f t="shared" ref="CG275" si="6096">CF275</f>
        <v>91921</v>
      </c>
      <c r="CH275" s="293">
        <f>ROUND(CG275*(1+取值表!$D$14),0)</f>
        <v>97712</v>
      </c>
      <c r="CI275" s="293">
        <f>CH275</f>
        <v>97712</v>
      </c>
      <c r="CJ275" s="293">
        <f t="shared" ref="CJ275" si="6097">CI275</f>
        <v>97712</v>
      </c>
      <c r="CK275" s="293">
        <f t="shared" ref="CK275" si="6098">CJ275</f>
        <v>97712</v>
      </c>
      <c r="CL275" s="293">
        <f>ROUND(CK275*(1+取值表!$D$14),0)</f>
        <v>103868</v>
      </c>
      <c r="CM275" s="293">
        <f>CL275</f>
        <v>103868</v>
      </c>
      <c r="CN275" s="293">
        <f t="shared" ref="CN275" si="6099">CM275</f>
        <v>103868</v>
      </c>
      <c r="CO275" s="293">
        <f t="shared" ref="CO275" si="6100">CN275</f>
        <v>103868</v>
      </c>
      <c r="CP275" s="293">
        <f t="shared" si="5740"/>
        <v>5074628</v>
      </c>
    </row>
    <row r="276" spans="1:94">
      <c r="A276" s="680"/>
      <c r="B276" s="645"/>
      <c r="C276" s="646"/>
      <c r="D276" s="647"/>
      <c r="E276" s="648"/>
      <c r="F276" s="642"/>
      <c r="G276" s="642"/>
      <c r="H276" s="643"/>
      <c r="I276" s="291"/>
      <c r="J276" s="295"/>
      <c r="K276" s="293"/>
      <c r="L276" s="293"/>
      <c r="M276" s="293"/>
      <c r="N276" s="293"/>
      <c r="O276" s="293"/>
      <c r="P276" s="293"/>
      <c r="Q276" s="293"/>
      <c r="R276" s="293"/>
      <c r="S276" s="293"/>
      <c r="T276" s="293"/>
      <c r="U276" s="293"/>
      <c r="V276" s="293"/>
      <c r="W276" s="293"/>
      <c r="X276" s="293"/>
      <c r="Y276" s="293"/>
      <c r="Z276" s="293"/>
      <c r="AA276" s="293"/>
      <c r="AB276" s="293"/>
      <c r="AC276" s="293"/>
      <c r="AD276" s="293"/>
      <c r="AE276" s="293"/>
      <c r="AF276" s="293"/>
      <c r="AG276" s="293"/>
      <c r="AH276" s="293"/>
      <c r="AI276" s="293"/>
      <c r="AJ276" s="293"/>
      <c r="AK276" s="293"/>
      <c r="AL276" s="293"/>
      <c r="AM276" s="293"/>
      <c r="AN276" s="293"/>
      <c r="AO276" s="293"/>
      <c r="AP276" s="293"/>
      <c r="AQ276" s="293"/>
      <c r="AR276" s="293"/>
      <c r="AS276" s="293"/>
      <c r="AT276" s="293"/>
      <c r="AU276" s="293"/>
      <c r="AV276" s="293"/>
      <c r="AW276" s="293"/>
      <c r="AX276" s="293"/>
      <c r="AY276" s="293"/>
      <c r="AZ276" s="293"/>
      <c r="BA276" s="293"/>
      <c r="BB276" s="293"/>
      <c r="BC276" s="293"/>
      <c r="BD276" s="293"/>
      <c r="BE276" s="293"/>
      <c r="BF276" s="293"/>
      <c r="BG276" s="293"/>
      <c r="BH276" s="293"/>
      <c r="BI276" s="293"/>
      <c r="BJ276" s="293"/>
      <c r="BK276" s="293"/>
      <c r="BL276" s="293"/>
      <c r="BM276" s="293"/>
      <c r="BN276" s="293"/>
      <c r="BO276" s="293"/>
      <c r="BP276" s="293"/>
      <c r="BQ276" s="293"/>
      <c r="BR276" s="293"/>
      <c r="BS276" s="293"/>
      <c r="BT276" s="293"/>
      <c r="BU276" s="293"/>
      <c r="BV276" s="293"/>
      <c r="BW276" s="293"/>
      <c r="BX276" s="293"/>
      <c r="BY276" s="293"/>
      <c r="BZ276" s="293"/>
      <c r="CA276" s="293"/>
      <c r="CB276" s="293"/>
      <c r="CC276" s="293"/>
      <c r="CD276" s="293"/>
      <c r="CE276" s="293"/>
      <c r="CF276" s="293"/>
      <c r="CG276" s="293"/>
      <c r="CH276" s="293"/>
      <c r="CI276" s="293"/>
      <c r="CJ276" s="293"/>
      <c r="CK276" s="293"/>
      <c r="CL276" s="293"/>
      <c r="CM276" s="293"/>
      <c r="CN276" s="293"/>
      <c r="CO276" s="293"/>
      <c r="CP276" s="293">
        <f t="shared" si="5740"/>
        <v>0</v>
      </c>
    </row>
    <row r="277" spans="1:94" ht="12" customHeight="1">
      <c r="A277" s="679">
        <v>140</v>
      </c>
      <c r="B277" s="645" t="s">
        <v>268</v>
      </c>
      <c r="C277" s="646" t="s">
        <v>17</v>
      </c>
      <c r="D277" s="647" t="s">
        <v>510</v>
      </c>
      <c r="E277" s="648" t="s">
        <v>505</v>
      </c>
      <c r="F277" s="642">
        <v>61.46</v>
      </c>
      <c r="G277" s="642">
        <f>AVERAGE(14)</f>
        <v>14</v>
      </c>
      <c r="H277" s="643">
        <f>F277*G277*365</f>
        <v>314060.60000000003</v>
      </c>
      <c r="I277" s="291">
        <v>77113.09</v>
      </c>
      <c r="J277" s="295">
        <f>ROUND(G277*F277*365/4,0)</f>
        <v>78515</v>
      </c>
      <c r="K277" s="292">
        <f>J277</f>
        <v>78515</v>
      </c>
      <c r="L277" s="293">
        <f>K277</f>
        <v>78515</v>
      </c>
      <c r="M277" s="293">
        <f>L277</f>
        <v>78515</v>
      </c>
      <c r="N277" s="293">
        <f>ROUND(M277*(1+取值表!$D$14)*取值表!$I$14,0)</f>
        <v>78537</v>
      </c>
      <c r="O277" s="293">
        <f>N277</f>
        <v>78537</v>
      </c>
      <c r="P277" s="293">
        <f>O277</f>
        <v>78537</v>
      </c>
      <c r="Q277" s="293">
        <f>P277</f>
        <v>78537</v>
      </c>
      <c r="R277" s="294">
        <f>ROUND(Q277*(1+取值表!$D$14),0)</f>
        <v>83485</v>
      </c>
      <c r="S277" s="293">
        <f>R277</f>
        <v>83485</v>
      </c>
      <c r="T277" s="293">
        <f>S277</f>
        <v>83485</v>
      </c>
      <c r="U277" s="293">
        <f>T277</f>
        <v>83485</v>
      </c>
      <c r="V277" s="293">
        <f>ROUND(U277*(1+取值表!$D$14),0)</f>
        <v>88745</v>
      </c>
      <c r="W277" s="293">
        <f t="shared" ref="W277:Y277" si="6101">V277</f>
        <v>88745</v>
      </c>
      <c r="X277" s="293">
        <f t="shared" si="6101"/>
        <v>88745</v>
      </c>
      <c r="Y277" s="293">
        <f t="shared" si="6101"/>
        <v>88745</v>
      </c>
      <c r="Z277" s="293">
        <f>ROUND(Y277*(1+取值表!$D$14),0)</f>
        <v>94336</v>
      </c>
      <c r="AA277" s="293">
        <f t="shared" ref="AA277" si="6102">Z277</f>
        <v>94336</v>
      </c>
      <c r="AB277" s="293">
        <f t="shared" ref="AB277" si="6103">AA277</f>
        <v>94336</v>
      </c>
      <c r="AC277" s="293">
        <f>AB277</f>
        <v>94336</v>
      </c>
      <c r="AD277" s="293">
        <f>ROUND(AC277*(1+取值表!$D$14),0)</f>
        <v>100279</v>
      </c>
      <c r="AE277" s="293">
        <f t="shared" ref="AE277" si="6104">AD277</f>
        <v>100279</v>
      </c>
      <c r="AF277" s="293">
        <f t="shared" ref="AF277" si="6105">AE277</f>
        <v>100279</v>
      </c>
      <c r="AG277" s="293">
        <f t="shared" ref="AG277" si="6106">AF277</f>
        <v>100279</v>
      </c>
      <c r="AH277" s="293">
        <f>ROUND(AG277*(1+取值表!$D$14),0)</f>
        <v>106597</v>
      </c>
      <c r="AI277" s="293">
        <f t="shared" ref="AI277" si="6107">AH277</f>
        <v>106597</v>
      </c>
      <c r="AJ277" s="293">
        <f t="shared" ref="AJ277" si="6108">AI277</f>
        <v>106597</v>
      </c>
      <c r="AK277" s="293">
        <f t="shared" ref="AK277" si="6109">AJ277</f>
        <v>106597</v>
      </c>
      <c r="AL277" s="293">
        <f>ROUND(AK277*(1+取值表!$D$14),0)</f>
        <v>113313</v>
      </c>
      <c r="AM277" s="293">
        <f t="shared" ref="AM277" si="6110">AL277</f>
        <v>113313</v>
      </c>
      <c r="AN277" s="293">
        <f t="shared" ref="AN277" si="6111">AM277</f>
        <v>113313</v>
      </c>
      <c r="AO277" s="293">
        <f t="shared" ref="AO277" si="6112">AN277</f>
        <v>113313</v>
      </c>
      <c r="AP277" s="293">
        <f>ROUND(AO277*(1+取值表!$D$14),0)</f>
        <v>120452</v>
      </c>
      <c r="AQ277" s="293">
        <f t="shared" ref="AQ277" si="6113">AP277</f>
        <v>120452</v>
      </c>
      <c r="AR277" s="293">
        <f t="shared" ref="AR277" si="6114">AQ277</f>
        <v>120452</v>
      </c>
      <c r="AS277" s="293">
        <f t="shared" ref="AS277" si="6115">AR277</f>
        <v>120452</v>
      </c>
      <c r="AT277" s="293">
        <f>ROUND(AS277*(1+取值表!$D$14),0)</f>
        <v>128040</v>
      </c>
      <c r="AU277" s="293">
        <f t="shared" ref="AU277" si="6116">AT277</f>
        <v>128040</v>
      </c>
      <c r="AV277" s="293">
        <f t="shared" ref="AV277" si="6117">AU277</f>
        <v>128040</v>
      </c>
      <c r="AW277" s="293">
        <f t="shared" ref="AW277" si="6118">AV277</f>
        <v>128040</v>
      </c>
      <c r="AX277" s="293">
        <f>ROUND(AW277*(1+取值表!$D$14),0)</f>
        <v>136107</v>
      </c>
      <c r="AY277" s="293">
        <f t="shared" ref="AY277" si="6119">AX277</f>
        <v>136107</v>
      </c>
      <c r="AZ277" s="293">
        <f t="shared" ref="AZ277" si="6120">AY277</f>
        <v>136107</v>
      </c>
      <c r="BA277" s="293">
        <f t="shared" ref="BA277" si="6121">AZ277</f>
        <v>136107</v>
      </c>
      <c r="BB277" s="293">
        <f>ROUND(BA277*(1+取值表!$D$14),0)</f>
        <v>144682</v>
      </c>
      <c r="BC277" s="293">
        <f>BB277</f>
        <v>144682</v>
      </c>
      <c r="BD277" s="293">
        <f t="shared" ref="BD277" si="6122">BC277</f>
        <v>144682</v>
      </c>
      <c r="BE277" s="293">
        <f>BD277</f>
        <v>144682</v>
      </c>
      <c r="BF277" s="293">
        <f>ROUND(BE277*(1+取值表!$D$14),0)</f>
        <v>153797</v>
      </c>
      <c r="BG277" s="293">
        <f>BF277</f>
        <v>153797</v>
      </c>
      <c r="BH277" s="293">
        <f t="shared" ref="BH277" si="6123">BG277</f>
        <v>153797</v>
      </c>
      <c r="BI277" s="293">
        <f t="shared" ref="BI277" si="6124">BH277</f>
        <v>153797</v>
      </c>
      <c r="BJ277" s="293">
        <f>ROUND(BI277*(1+取值表!$D$14),0)</f>
        <v>163486</v>
      </c>
      <c r="BK277" s="293">
        <f t="shared" ref="BK277" si="6125">BJ277</f>
        <v>163486</v>
      </c>
      <c r="BL277" s="293">
        <f t="shared" ref="BL277" si="6126">BK277</f>
        <v>163486</v>
      </c>
      <c r="BM277" s="293">
        <f t="shared" ref="BM277" si="6127">BL277</f>
        <v>163486</v>
      </c>
      <c r="BN277" s="293">
        <f>ROUND(BM277*(1+取值表!$D$14),0)</f>
        <v>173786</v>
      </c>
      <c r="BO277" s="293">
        <f t="shared" ref="BO277" si="6128">BN277</f>
        <v>173786</v>
      </c>
      <c r="BP277" s="293">
        <f t="shared" ref="BP277" si="6129">BO277</f>
        <v>173786</v>
      </c>
      <c r="BQ277" s="293">
        <f t="shared" ref="BQ277" si="6130">BP277</f>
        <v>173786</v>
      </c>
      <c r="BR277" s="293">
        <f>ROUND(BQ277*(1+取值表!$D$14),0)</f>
        <v>184735</v>
      </c>
      <c r="BS277" s="293">
        <f t="shared" ref="BS277" si="6131">BR277</f>
        <v>184735</v>
      </c>
      <c r="BT277" s="293">
        <f t="shared" ref="BT277" si="6132">BS277</f>
        <v>184735</v>
      </c>
      <c r="BU277" s="293">
        <f t="shared" ref="BU277" si="6133">BT277</f>
        <v>184735</v>
      </c>
      <c r="BV277" s="293">
        <f>ROUND(BU277*(1+取值表!$D$14),0)</f>
        <v>196373</v>
      </c>
      <c r="BW277" s="293">
        <f t="shared" ref="BW277" si="6134">BV277</f>
        <v>196373</v>
      </c>
      <c r="BX277" s="293">
        <f t="shared" ref="BX277" si="6135">BW277</f>
        <v>196373</v>
      </c>
      <c r="BY277" s="293">
        <f t="shared" ref="BY277" si="6136">BX277</f>
        <v>196373</v>
      </c>
      <c r="BZ277" s="293">
        <f>ROUND(BY277*(1+取值表!$D$14),0)</f>
        <v>208744</v>
      </c>
      <c r="CA277" s="293">
        <f t="shared" ref="CA277" si="6137">BZ277</f>
        <v>208744</v>
      </c>
      <c r="CB277" s="293">
        <f t="shared" ref="CB277" si="6138">CA277</f>
        <v>208744</v>
      </c>
      <c r="CC277" s="293">
        <f t="shared" ref="CC277" si="6139">CB277</f>
        <v>208744</v>
      </c>
      <c r="CD277" s="293">
        <f>ROUND(CC277*(1+取值表!$D$14),0)</f>
        <v>221895</v>
      </c>
      <c r="CE277" s="293">
        <f t="shared" ref="CE277" si="6140">CD277</f>
        <v>221895</v>
      </c>
      <c r="CF277" s="293">
        <f t="shared" ref="CF277" si="6141">CE277</f>
        <v>221895</v>
      </c>
      <c r="CG277" s="293">
        <f t="shared" ref="CG277" si="6142">CF277</f>
        <v>221895</v>
      </c>
      <c r="CH277" s="293">
        <f>ROUND(CG277*(1+取值表!$D$14),0)</f>
        <v>235874</v>
      </c>
      <c r="CI277" s="293">
        <f>CH277</f>
        <v>235874</v>
      </c>
      <c r="CJ277" s="293">
        <f t="shared" ref="CJ277" si="6143">CI277</f>
        <v>235874</v>
      </c>
      <c r="CK277" s="293">
        <f t="shared" ref="CK277" si="6144">CJ277</f>
        <v>235874</v>
      </c>
      <c r="CL277" s="293">
        <f>ROUND(CK277*(1+取值表!$D$14),0)</f>
        <v>250734</v>
      </c>
      <c r="CM277" s="293">
        <f>CL277</f>
        <v>250734</v>
      </c>
      <c r="CN277" s="293">
        <f t="shared" ref="CN277" si="6145">CM277</f>
        <v>250734</v>
      </c>
      <c r="CO277" s="293">
        <f t="shared" ref="CO277" si="6146">CN277</f>
        <v>250734</v>
      </c>
      <c r="CP277" s="293">
        <f t="shared" si="5740"/>
        <v>12250048</v>
      </c>
    </row>
    <row r="278" spans="1:94">
      <c r="A278" s="680"/>
      <c r="B278" s="645"/>
      <c r="C278" s="646"/>
      <c r="D278" s="647"/>
      <c r="E278" s="648"/>
      <c r="F278" s="642"/>
      <c r="G278" s="642"/>
      <c r="H278" s="643"/>
      <c r="I278" s="291"/>
      <c r="J278" s="295"/>
      <c r="K278" s="293"/>
      <c r="L278" s="293"/>
      <c r="M278" s="293"/>
      <c r="N278" s="293"/>
      <c r="O278" s="293"/>
      <c r="P278" s="293"/>
      <c r="Q278" s="293"/>
      <c r="R278" s="293"/>
      <c r="S278" s="293"/>
      <c r="T278" s="293"/>
      <c r="U278" s="293"/>
      <c r="V278" s="293"/>
      <c r="W278" s="293"/>
      <c r="X278" s="293"/>
      <c r="Y278" s="293"/>
      <c r="Z278" s="293"/>
      <c r="AA278" s="293"/>
      <c r="AB278" s="293"/>
      <c r="AC278" s="293"/>
      <c r="AD278" s="293"/>
      <c r="AE278" s="293"/>
      <c r="AF278" s="293"/>
      <c r="AG278" s="293"/>
      <c r="AH278" s="293"/>
      <c r="AI278" s="293"/>
      <c r="AJ278" s="293"/>
      <c r="AK278" s="293"/>
      <c r="AL278" s="293"/>
      <c r="AM278" s="293"/>
      <c r="AN278" s="293"/>
      <c r="AO278" s="293"/>
      <c r="AP278" s="293"/>
      <c r="AQ278" s="293"/>
      <c r="AR278" s="293"/>
      <c r="AS278" s="293"/>
      <c r="AT278" s="293"/>
      <c r="AU278" s="293"/>
      <c r="AV278" s="293"/>
      <c r="AW278" s="293"/>
      <c r="AX278" s="293"/>
      <c r="AY278" s="293"/>
      <c r="AZ278" s="293"/>
      <c r="BA278" s="293"/>
      <c r="BB278" s="293"/>
      <c r="BC278" s="293"/>
      <c r="BD278" s="293"/>
      <c r="BE278" s="293"/>
      <c r="BF278" s="293"/>
      <c r="BG278" s="293"/>
      <c r="BH278" s="293"/>
      <c r="BI278" s="293"/>
      <c r="BJ278" s="293"/>
      <c r="BK278" s="293"/>
      <c r="BL278" s="293"/>
      <c r="BM278" s="293"/>
      <c r="BN278" s="293"/>
      <c r="BO278" s="293"/>
      <c r="BP278" s="293"/>
      <c r="BQ278" s="293"/>
      <c r="BR278" s="293"/>
      <c r="BS278" s="293"/>
      <c r="BT278" s="293"/>
      <c r="BU278" s="293"/>
      <c r="BV278" s="293"/>
      <c r="BW278" s="293"/>
      <c r="BX278" s="293"/>
      <c r="BY278" s="293"/>
      <c r="BZ278" s="293"/>
      <c r="CA278" s="293"/>
      <c r="CB278" s="293"/>
      <c r="CC278" s="293"/>
      <c r="CD278" s="293"/>
      <c r="CE278" s="293"/>
      <c r="CF278" s="293"/>
      <c r="CG278" s="293"/>
      <c r="CH278" s="293"/>
      <c r="CI278" s="293"/>
      <c r="CJ278" s="293"/>
      <c r="CK278" s="293"/>
      <c r="CL278" s="293"/>
      <c r="CM278" s="293"/>
      <c r="CN278" s="293"/>
      <c r="CO278" s="293"/>
      <c r="CP278" s="293">
        <f t="shared" si="5740"/>
        <v>0</v>
      </c>
    </row>
    <row r="279" spans="1:94" ht="12" customHeight="1">
      <c r="A279" s="679">
        <v>141</v>
      </c>
      <c r="B279" s="658" t="s">
        <v>269</v>
      </c>
      <c r="C279" s="646" t="s">
        <v>270</v>
      </c>
      <c r="D279" s="647" t="s">
        <v>511</v>
      </c>
      <c r="E279" s="648" t="s">
        <v>505</v>
      </c>
      <c r="F279" s="642">
        <v>67.489999999999995</v>
      </c>
      <c r="G279" s="642">
        <v>14</v>
      </c>
      <c r="H279" s="643">
        <f>F279*G279*365</f>
        <v>344873.89999999997</v>
      </c>
      <c r="I279" s="291">
        <v>63124.24</v>
      </c>
      <c r="J279" s="295">
        <f>ROUND(G279*F279*365/4,0)</f>
        <v>86218</v>
      </c>
      <c r="K279" s="292">
        <f>J279</f>
        <v>86218</v>
      </c>
      <c r="L279" s="293">
        <f>K279</f>
        <v>86218</v>
      </c>
      <c r="M279" s="293">
        <f>L279</f>
        <v>86218</v>
      </c>
      <c r="N279" s="293">
        <f>ROUND(M279*(1+取值表!$D$14)*取值表!$I$14,0)</f>
        <v>86242</v>
      </c>
      <c r="O279" s="293">
        <f>N279</f>
        <v>86242</v>
      </c>
      <c r="P279" s="293">
        <f>O279</f>
        <v>86242</v>
      </c>
      <c r="Q279" s="293">
        <f>P279</f>
        <v>86242</v>
      </c>
      <c r="R279" s="294">
        <f>ROUND(Q279*(1+取值表!$D$14),0)</f>
        <v>91675</v>
      </c>
      <c r="S279" s="293">
        <f>R279</f>
        <v>91675</v>
      </c>
      <c r="T279" s="293">
        <f>S279</f>
        <v>91675</v>
      </c>
      <c r="U279" s="293">
        <f>T279</f>
        <v>91675</v>
      </c>
      <c r="V279" s="293">
        <f>ROUND(U279*(1+取值表!$D$14),0)</f>
        <v>97451</v>
      </c>
      <c r="W279" s="293">
        <f t="shared" ref="W279:Y279" si="6147">V279</f>
        <v>97451</v>
      </c>
      <c r="X279" s="293">
        <f t="shared" si="6147"/>
        <v>97451</v>
      </c>
      <c r="Y279" s="293">
        <f t="shared" si="6147"/>
        <v>97451</v>
      </c>
      <c r="Z279" s="293">
        <f>ROUND(Y279*(1+取值表!$D$14),0)</f>
        <v>103590</v>
      </c>
      <c r="AA279" s="293">
        <f t="shared" ref="AA279" si="6148">Z279</f>
        <v>103590</v>
      </c>
      <c r="AB279" s="293">
        <f t="shared" ref="AB279" si="6149">AA279</f>
        <v>103590</v>
      </c>
      <c r="AC279" s="293">
        <f>AB279</f>
        <v>103590</v>
      </c>
      <c r="AD279" s="293">
        <f>ROUND(AC279*(1+取值表!$D$14),0)</f>
        <v>110116</v>
      </c>
      <c r="AE279" s="293">
        <f t="shared" ref="AE279" si="6150">AD279</f>
        <v>110116</v>
      </c>
      <c r="AF279" s="293">
        <f t="shared" ref="AF279" si="6151">AE279</f>
        <v>110116</v>
      </c>
      <c r="AG279" s="293">
        <f t="shared" ref="AG279" si="6152">AF279</f>
        <v>110116</v>
      </c>
      <c r="AH279" s="293">
        <f>ROUND(AG279*(1+取值表!$D$14),0)</f>
        <v>117053</v>
      </c>
      <c r="AI279" s="293">
        <f t="shared" ref="AI279" si="6153">AH279</f>
        <v>117053</v>
      </c>
      <c r="AJ279" s="293">
        <f t="shared" ref="AJ279" si="6154">AI279</f>
        <v>117053</v>
      </c>
      <c r="AK279" s="293">
        <f t="shared" ref="AK279" si="6155">AJ279</f>
        <v>117053</v>
      </c>
      <c r="AL279" s="293">
        <f>ROUND(AK279*(1+取值表!$D$14),0)</f>
        <v>124427</v>
      </c>
      <c r="AM279" s="293">
        <f t="shared" ref="AM279" si="6156">AL279</f>
        <v>124427</v>
      </c>
      <c r="AN279" s="293">
        <f t="shared" ref="AN279" si="6157">AM279</f>
        <v>124427</v>
      </c>
      <c r="AO279" s="293">
        <f t="shared" ref="AO279" si="6158">AN279</f>
        <v>124427</v>
      </c>
      <c r="AP279" s="293">
        <f>ROUND(AO279*(1+取值表!$D$14),0)</f>
        <v>132266</v>
      </c>
      <c r="AQ279" s="293">
        <f t="shared" ref="AQ279" si="6159">AP279</f>
        <v>132266</v>
      </c>
      <c r="AR279" s="293">
        <f t="shared" ref="AR279" si="6160">AQ279</f>
        <v>132266</v>
      </c>
      <c r="AS279" s="293">
        <f t="shared" ref="AS279" si="6161">AR279</f>
        <v>132266</v>
      </c>
      <c r="AT279" s="293">
        <f>ROUND(AS279*(1+取值表!$D$14),0)</f>
        <v>140599</v>
      </c>
      <c r="AU279" s="293">
        <f t="shared" ref="AU279" si="6162">AT279</f>
        <v>140599</v>
      </c>
      <c r="AV279" s="293">
        <f t="shared" ref="AV279" si="6163">AU279</f>
        <v>140599</v>
      </c>
      <c r="AW279" s="293">
        <f t="shared" ref="AW279" si="6164">AV279</f>
        <v>140599</v>
      </c>
      <c r="AX279" s="293">
        <f>ROUND(AW279*(1+取值表!$D$14),0)</f>
        <v>149457</v>
      </c>
      <c r="AY279" s="293">
        <f t="shared" ref="AY279" si="6165">AX279</f>
        <v>149457</v>
      </c>
      <c r="AZ279" s="293">
        <f t="shared" ref="AZ279" si="6166">AY279</f>
        <v>149457</v>
      </c>
      <c r="BA279" s="293">
        <f t="shared" ref="BA279" si="6167">AZ279</f>
        <v>149457</v>
      </c>
      <c r="BB279" s="293">
        <f>ROUND(BA279*(1+取值表!$D$14),0)</f>
        <v>158873</v>
      </c>
      <c r="BC279" s="293">
        <f>BB279</f>
        <v>158873</v>
      </c>
      <c r="BD279" s="293">
        <f t="shared" ref="BD279" si="6168">BC279</f>
        <v>158873</v>
      </c>
      <c r="BE279" s="293">
        <f>BD279</f>
        <v>158873</v>
      </c>
      <c r="BF279" s="293">
        <f>ROUND(BE279*(1+取值表!$D$14),0)</f>
        <v>168882</v>
      </c>
      <c r="BG279" s="293">
        <f>BF279</f>
        <v>168882</v>
      </c>
      <c r="BH279" s="293">
        <f t="shared" ref="BH279" si="6169">BG279</f>
        <v>168882</v>
      </c>
      <c r="BI279" s="293">
        <f t="shared" ref="BI279" si="6170">BH279</f>
        <v>168882</v>
      </c>
      <c r="BJ279" s="293">
        <f>ROUND(BI279*(1+取值表!$D$14),0)</f>
        <v>179522</v>
      </c>
      <c r="BK279" s="293">
        <f t="shared" ref="BK279" si="6171">BJ279</f>
        <v>179522</v>
      </c>
      <c r="BL279" s="293">
        <f t="shared" ref="BL279" si="6172">BK279</f>
        <v>179522</v>
      </c>
      <c r="BM279" s="293">
        <f t="shared" ref="BM279" si="6173">BL279</f>
        <v>179522</v>
      </c>
      <c r="BN279" s="293">
        <f>ROUND(BM279*(1+取值表!$D$14),0)</f>
        <v>190832</v>
      </c>
      <c r="BO279" s="293">
        <f t="shared" ref="BO279" si="6174">BN279</f>
        <v>190832</v>
      </c>
      <c r="BP279" s="293">
        <f t="shared" ref="BP279" si="6175">BO279</f>
        <v>190832</v>
      </c>
      <c r="BQ279" s="293">
        <f t="shared" ref="BQ279" si="6176">BP279</f>
        <v>190832</v>
      </c>
      <c r="BR279" s="293">
        <f>ROUND(BQ279*(1+取值表!$D$14),0)</f>
        <v>202854</v>
      </c>
      <c r="BS279" s="293">
        <f t="shared" ref="BS279" si="6177">BR279</f>
        <v>202854</v>
      </c>
      <c r="BT279" s="293">
        <f t="shared" ref="BT279" si="6178">BS279</f>
        <v>202854</v>
      </c>
      <c r="BU279" s="293">
        <f t="shared" ref="BU279" si="6179">BT279</f>
        <v>202854</v>
      </c>
      <c r="BV279" s="293">
        <f>ROUND(BU279*(1+取值表!$D$14),0)</f>
        <v>215634</v>
      </c>
      <c r="BW279" s="293">
        <f t="shared" ref="BW279" si="6180">BV279</f>
        <v>215634</v>
      </c>
      <c r="BX279" s="293">
        <f t="shared" ref="BX279" si="6181">BW279</f>
        <v>215634</v>
      </c>
      <c r="BY279" s="293">
        <f t="shared" ref="BY279" si="6182">BX279</f>
        <v>215634</v>
      </c>
      <c r="BZ279" s="293">
        <f>ROUND(BY279*(1+取值表!$D$14),0)</f>
        <v>229219</v>
      </c>
      <c r="CA279" s="293">
        <f t="shared" ref="CA279" si="6183">BZ279</f>
        <v>229219</v>
      </c>
      <c r="CB279" s="293">
        <f t="shared" ref="CB279" si="6184">CA279</f>
        <v>229219</v>
      </c>
      <c r="CC279" s="293">
        <f t="shared" ref="CC279" si="6185">CB279</f>
        <v>229219</v>
      </c>
      <c r="CD279" s="293">
        <f>ROUND(CC279*(1+取值表!$D$14),0)</f>
        <v>243660</v>
      </c>
      <c r="CE279" s="293">
        <f t="shared" ref="CE279" si="6186">CD279</f>
        <v>243660</v>
      </c>
      <c r="CF279" s="293">
        <f t="shared" ref="CF279" si="6187">CE279</f>
        <v>243660</v>
      </c>
      <c r="CG279" s="293">
        <f t="shared" ref="CG279" si="6188">CF279</f>
        <v>243660</v>
      </c>
      <c r="CH279" s="293">
        <f>ROUND(CG279*(1+取值表!$D$14),0)</f>
        <v>259011</v>
      </c>
      <c r="CI279" s="293">
        <f>CH279</f>
        <v>259011</v>
      </c>
      <c r="CJ279" s="293">
        <f t="shared" ref="CJ279" si="6189">CI279</f>
        <v>259011</v>
      </c>
      <c r="CK279" s="293">
        <f t="shared" ref="CK279" si="6190">CJ279</f>
        <v>259011</v>
      </c>
      <c r="CL279" s="293">
        <f>ROUND(CK279*(1+取值表!$D$14),0)</f>
        <v>275329</v>
      </c>
      <c r="CM279" s="293">
        <f>CL279</f>
        <v>275329</v>
      </c>
      <c r="CN279" s="293">
        <f t="shared" ref="CN279" si="6191">CM279</f>
        <v>275329</v>
      </c>
      <c r="CO279" s="293">
        <f t="shared" ref="CO279" si="6192">CN279</f>
        <v>275329</v>
      </c>
      <c r="CP279" s="293">
        <f t="shared" si="5740"/>
        <v>13451640</v>
      </c>
    </row>
    <row r="280" spans="1:94">
      <c r="A280" s="680"/>
      <c r="B280" s="658"/>
      <c r="C280" s="646"/>
      <c r="D280" s="647"/>
      <c r="E280" s="648"/>
      <c r="F280" s="642"/>
      <c r="G280" s="642"/>
      <c r="H280" s="643"/>
      <c r="I280" s="291"/>
      <c r="J280" s="295"/>
      <c r="K280" s="293"/>
      <c r="L280" s="293"/>
      <c r="M280" s="293"/>
      <c r="N280" s="293"/>
      <c r="O280" s="293"/>
      <c r="P280" s="293"/>
      <c r="Q280" s="293"/>
      <c r="R280" s="293"/>
      <c r="S280" s="293"/>
      <c r="T280" s="293"/>
      <c r="U280" s="293"/>
      <c r="V280" s="293"/>
      <c r="W280" s="293"/>
      <c r="X280" s="293"/>
      <c r="Y280" s="293"/>
      <c r="Z280" s="293"/>
      <c r="AA280" s="293"/>
      <c r="AB280" s="293"/>
      <c r="AC280" s="293"/>
      <c r="AD280" s="293"/>
      <c r="AE280" s="293"/>
      <c r="AF280" s="293"/>
      <c r="AG280" s="293"/>
      <c r="AH280" s="293"/>
      <c r="AI280" s="293"/>
      <c r="AJ280" s="293"/>
      <c r="AK280" s="293"/>
      <c r="AL280" s="293"/>
      <c r="AM280" s="293"/>
      <c r="AN280" s="293"/>
      <c r="AO280" s="293"/>
      <c r="AP280" s="293"/>
      <c r="AQ280" s="293"/>
      <c r="AR280" s="293"/>
      <c r="AS280" s="293"/>
      <c r="AT280" s="293"/>
      <c r="AU280" s="293"/>
      <c r="AV280" s="293"/>
      <c r="AW280" s="293"/>
      <c r="AX280" s="293"/>
      <c r="AY280" s="293"/>
      <c r="AZ280" s="293"/>
      <c r="BA280" s="293"/>
      <c r="BB280" s="293"/>
      <c r="BC280" s="293"/>
      <c r="BD280" s="293"/>
      <c r="BE280" s="293"/>
      <c r="BF280" s="293"/>
      <c r="BG280" s="293"/>
      <c r="BH280" s="293"/>
      <c r="BI280" s="293"/>
      <c r="BJ280" s="293"/>
      <c r="BK280" s="293"/>
      <c r="BL280" s="293"/>
      <c r="BM280" s="293"/>
      <c r="BN280" s="293"/>
      <c r="BO280" s="293"/>
      <c r="BP280" s="293"/>
      <c r="BQ280" s="293"/>
      <c r="BR280" s="293"/>
      <c r="BS280" s="293"/>
      <c r="BT280" s="293"/>
      <c r="BU280" s="293"/>
      <c r="BV280" s="293"/>
      <c r="BW280" s="293"/>
      <c r="BX280" s="293"/>
      <c r="BY280" s="293"/>
      <c r="BZ280" s="293"/>
      <c r="CA280" s="293"/>
      <c r="CB280" s="293"/>
      <c r="CC280" s="293"/>
      <c r="CD280" s="293"/>
      <c r="CE280" s="293"/>
      <c r="CF280" s="293"/>
      <c r="CG280" s="293"/>
      <c r="CH280" s="293"/>
      <c r="CI280" s="293"/>
      <c r="CJ280" s="293"/>
      <c r="CK280" s="293"/>
      <c r="CL280" s="293"/>
      <c r="CM280" s="293"/>
      <c r="CN280" s="293"/>
      <c r="CO280" s="293"/>
      <c r="CP280" s="293">
        <f t="shared" si="5740"/>
        <v>0</v>
      </c>
    </row>
    <row r="281" spans="1:94" ht="12" customHeight="1">
      <c r="A281" s="679">
        <v>142</v>
      </c>
      <c r="B281" s="645" t="s">
        <v>271</v>
      </c>
      <c r="C281" s="646" t="s">
        <v>744</v>
      </c>
      <c r="D281" s="647" t="s">
        <v>512</v>
      </c>
      <c r="E281" s="648" t="s">
        <v>505</v>
      </c>
      <c r="F281" s="642">
        <v>38.5</v>
      </c>
      <c r="G281" s="642">
        <v>11</v>
      </c>
      <c r="H281" s="643">
        <f>F281*G281*365</f>
        <v>154577.5</v>
      </c>
      <c r="I281" s="291">
        <v>86218.47</v>
      </c>
      <c r="J281" s="292">
        <f>ROUND(G281*F281*365/4,0)</f>
        <v>38644</v>
      </c>
      <c r="K281" s="293">
        <f>J281</f>
        <v>38644</v>
      </c>
      <c r="L281" s="293">
        <f>K281</f>
        <v>38644</v>
      </c>
      <c r="M281" s="293">
        <f>L281</f>
        <v>38644</v>
      </c>
      <c r="N281" s="293">
        <f>ROUND(M281*(1+取值表!$D$14)*取值表!$I$14,0)</f>
        <v>38655</v>
      </c>
      <c r="O281" s="293">
        <f>N281</f>
        <v>38655</v>
      </c>
      <c r="P281" s="293">
        <f>O281</f>
        <v>38655</v>
      </c>
      <c r="Q281" s="293">
        <f>P281</f>
        <v>38655</v>
      </c>
      <c r="R281" s="294">
        <f>ROUND(Q281*(1+取值表!$D$14),0)</f>
        <v>41090</v>
      </c>
      <c r="S281" s="293">
        <f>R281</f>
        <v>41090</v>
      </c>
      <c r="T281" s="293">
        <f>S281</f>
        <v>41090</v>
      </c>
      <c r="U281" s="293">
        <f>T281</f>
        <v>41090</v>
      </c>
      <c r="V281" s="293">
        <f>ROUND(U281*(1+取值表!$D$14),0)</f>
        <v>43679</v>
      </c>
      <c r="W281" s="293">
        <f t="shared" ref="W281:Y281" si="6193">V281</f>
        <v>43679</v>
      </c>
      <c r="X281" s="293">
        <f t="shared" si="6193"/>
        <v>43679</v>
      </c>
      <c r="Y281" s="293">
        <f t="shared" si="6193"/>
        <v>43679</v>
      </c>
      <c r="Z281" s="293">
        <f>ROUND(Y281*(1+取值表!$D$14),0)</f>
        <v>46431</v>
      </c>
      <c r="AA281" s="293">
        <f t="shared" ref="AA281" si="6194">Z281</f>
        <v>46431</v>
      </c>
      <c r="AB281" s="293">
        <f t="shared" ref="AB281" si="6195">AA281</f>
        <v>46431</v>
      </c>
      <c r="AC281" s="293">
        <f>AB281</f>
        <v>46431</v>
      </c>
      <c r="AD281" s="293">
        <f>ROUND(AC281*(1+取值表!$D$14),0)</f>
        <v>49356</v>
      </c>
      <c r="AE281" s="293">
        <f t="shared" ref="AE281" si="6196">AD281</f>
        <v>49356</v>
      </c>
      <c r="AF281" s="293">
        <f t="shared" ref="AF281" si="6197">AE281</f>
        <v>49356</v>
      </c>
      <c r="AG281" s="293">
        <f t="shared" ref="AG281" si="6198">AF281</f>
        <v>49356</v>
      </c>
      <c r="AH281" s="293">
        <f>ROUND(AG281*(1+取值表!$D$14),0)</f>
        <v>52465</v>
      </c>
      <c r="AI281" s="293">
        <f t="shared" ref="AI281" si="6199">AH281</f>
        <v>52465</v>
      </c>
      <c r="AJ281" s="293">
        <f t="shared" ref="AJ281" si="6200">AI281</f>
        <v>52465</v>
      </c>
      <c r="AK281" s="293">
        <f t="shared" ref="AK281" si="6201">AJ281</f>
        <v>52465</v>
      </c>
      <c r="AL281" s="293">
        <f>ROUND(AK281*(1+取值表!$D$14),0)</f>
        <v>55770</v>
      </c>
      <c r="AM281" s="293">
        <f t="shared" ref="AM281" si="6202">AL281</f>
        <v>55770</v>
      </c>
      <c r="AN281" s="293">
        <f t="shared" ref="AN281" si="6203">AM281</f>
        <v>55770</v>
      </c>
      <c r="AO281" s="293">
        <f t="shared" ref="AO281" si="6204">AN281</f>
        <v>55770</v>
      </c>
      <c r="AP281" s="293">
        <f>ROUND(AO281*(1+取值表!$D$14),0)</f>
        <v>59284</v>
      </c>
      <c r="AQ281" s="293">
        <f t="shared" ref="AQ281" si="6205">AP281</f>
        <v>59284</v>
      </c>
      <c r="AR281" s="293">
        <f t="shared" ref="AR281" si="6206">AQ281</f>
        <v>59284</v>
      </c>
      <c r="AS281" s="293">
        <f t="shared" ref="AS281" si="6207">AR281</f>
        <v>59284</v>
      </c>
      <c r="AT281" s="293">
        <f>ROUND(AS281*(1+取值表!$D$14),0)</f>
        <v>63019</v>
      </c>
      <c r="AU281" s="293">
        <f t="shared" ref="AU281" si="6208">AT281</f>
        <v>63019</v>
      </c>
      <c r="AV281" s="293">
        <f t="shared" ref="AV281" si="6209">AU281</f>
        <v>63019</v>
      </c>
      <c r="AW281" s="293">
        <f t="shared" ref="AW281" si="6210">AV281</f>
        <v>63019</v>
      </c>
      <c r="AX281" s="293">
        <f>ROUND(AW281*(1+取值表!$D$14),0)</f>
        <v>66989</v>
      </c>
      <c r="AY281" s="293">
        <f t="shared" ref="AY281" si="6211">AX281</f>
        <v>66989</v>
      </c>
      <c r="AZ281" s="293">
        <f t="shared" ref="AZ281" si="6212">AY281</f>
        <v>66989</v>
      </c>
      <c r="BA281" s="293">
        <f t="shared" ref="BA281" si="6213">AZ281</f>
        <v>66989</v>
      </c>
      <c r="BB281" s="293">
        <f>ROUND(BA281*(1+取值表!$D$14),0)</f>
        <v>71209</v>
      </c>
      <c r="BC281" s="293">
        <f>BB281</f>
        <v>71209</v>
      </c>
      <c r="BD281" s="293">
        <f t="shared" ref="BD281" si="6214">BC281</f>
        <v>71209</v>
      </c>
      <c r="BE281" s="293">
        <f>BD281</f>
        <v>71209</v>
      </c>
      <c r="BF281" s="293">
        <f>ROUND(BE281*(1+取值表!$D$14),0)</f>
        <v>75695</v>
      </c>
      <c r="BG281" s="293">
        <f>BF281</f>
        <v>75695</v>
      </c>
      <c r="BH281" s="293">
        <f t="shared" ref="BH281" si="6215">BG281</f>
        <v>75695</v>
      </c>
      <c r="BI281" s="293">
        <f t="shared" ref="BI281" si="6216">BH281</f>
        <v>75695</v>
      </c>
      <c r="BJ281" s="293">
        <f>ROUND(BI281*(1+取值表!$D$14),0)</f>
        <v>80464</v>
      </c>
      <c r="BK281" s="293">
        <f t="shared" ref="BK281" si="6217">BJ281</f>
        <v>80464</v>
      </c>
      <c r="BL281" s="293">
        <f t="shared" ref="BL281" si="6218">BK281</f>
        <v>80464</v>
      </c>
      <c r="BM281" s="293">
        <f t="shared" ref="BM281" si="6219">BL281</f>
        <v>80464</v>
      </c>
      <c r="BN281" s="293">
        <f>ROUND(BM281*(1+取值表!$D$14),0)</f>
        <v>85533</v>
      </c>
      <c r="BO281" s="293">
        <f t="shared" ref="BO281" si="6220">BN281</f>
        <v>85533</v>
      </c>
      <c r="BP281" s="293">
        <f t="shared" ref="BP281" si="6221">BO281</f>
        <v>85533</v>
      </c>
      <c r="BQ281" s="293">
        <f t="shared" ref="BQ281" si="6222">BP281</f>
        <v>85533</v>
      </c>
      <c r="BR281" s="293">
        <f>ROUND(BQ281*(1+取值表!$D$14),0)</f>
        <v>90922</v>
      </c>
      <c r="BS281" s="293">
        <f t="shared" ref="BS281" si="6223">BR281</f>
        <v>90922</v>
      </c>
      <c r="BT281" s="293">
        <f t="shared" ref="BT281" si="6224">BS281</f>
        <v>90922</v>
      </c>
      <c r="BU281" s="293">
        <f t="shared" ref="BU281" si="6225">BT281</f>
        <v>90922</v>
      </c>
      <c r="BV281" s="293">
        <f>ROUND(BU281*(1+取值表!$D$14),0)</f>
        <v>96650</v>
      </c>
      <c r="BW281" s="293">
        <f t="shared" ref="BW281" si="6226">BV281</f>
        <v>96650</v>
      </c>
      <c r="BX281" s="293">
        <f t="shared" ref="BX281" si="6227">BW281</f>
        <v>96650</v>
      </c>
      <c r="BY281" s="293">
        <f t="shared" ref="BY281" si="6228">BX281</f>
        <v>96650</v>
      </c>
      <c r="BZ281" s="293">
        <f>ROUND(BY281*(1+取值表!$D$14),0)</f>
        <v>102739</v>
      </c>
      <c r="CA281" s="293">
        <f t="shared" ref="CA281" si="6229">BZ281</f>
        <v>102739</v>
      </c>
      <c r="CB281" s="293">
        <f t="shared" ref="CB281" si="6230">CA281</f>
        <v>102739</v>
      </c>
      <c r="CC281" s="293">
        <f t="shared" ref="CC281" si="6231">CB281</f>
        <v>102739</v>
      </c>
      <c r="CD281" s="293">
        <f>ROUND(CC281*(1+取值表!$D$14),0)</f>
        <v>109212</v>
      </c>
      <c r="CE281" s="293">
        <f t="shared" ref="CE281" si="6232">CD281</f>
        <v>109212</v>
      </c>
      <c r="CF281" s="293">
        <f t="shared" ref="CF281" si="6233">CE281</f>
        <v>109212</v>
      </c>
      <c r="CG281" s="293">
        <f t="shared" ref="CG281" si="6234">CF281</f>
        <v>109212</v>
      </c>
      <c r="CH281" s="293">
        <f>ROUND(CG281*(1+取值表!$D$14),0)</f>
        <v>116092</v>
      </c>
      <c r="CI281" s="293">
        <f>CH281</f>
        <v>116092</v>
      </c>
      <c r="CJ281" s="293">
        <f t="shared" ref="CJ281" si="6235">CI281</f>
        <v>116092</v>
      </c>
      <c r="CK281" s="293">
        <f t="shared" ref="CK281" si="6236">CJ281</f>
        <v>116092</v>
      </c>
      <c r="CL281" s="293">
        <f>ROUND(CK281*(1+取值表!$D$14),0)</f>
        <v>123406</v>
      </c>
      <c r="CM281" s="293">
        <f>CL281</f>
        <v>123406</v>
      </c>
      <c r="CN281" s="293">
        <f t="shared" ref="CN281" si="6237">CM281</f>
        <v>123406</v>
      </c>
      <c r="CO281" s="293">
        <f t="shared" ref="CO281" si="6238">CN281</f>
        <v>123406</v>
      </c>
      <c r="CP281" s="293">
        <f t="shared" si="5740"/>
        <v>6029216</v>
      </c>
    </row>
    <row r="282" spans="1:94">
      <c r="A282" s="680"/>
      <c r="B282" s="645"/>
      <c r="C282" s="646"/>
      <c r="D282" s="647"/>
      <c r="E282" s="648"/>
      <c r="F282" s="642"/>
      <c r="G282" s="642"/>
      <c r="H282" s="643"/>
      <c r="I282" s="291"/>
      <c r="J282" s="295"/>
      <c r="K282" s="293"/>
      <c r="L282" s="293"/>
      <c r="M282" s="293"/>
      <c r="N282" s="293"/>
      <c r="O282" s="293"/>
      <c r="P282" s="293"/>
      <c r="Q282" s="293"/>
      <c r="R282" s="293"/>
      <c r="S282" s="293"/>
      <c r="T282" s="293"/>
      <c r="U282" s="293"/>
      <c r="V282" s="293"/>
      <c r="W282" s="293"/>
      <c r="X282" s="293"/>
      <c r="Y282" s="293"/>
      <c r="Z282" s="293"/>
      <c r="AA282" s="293"/>
      <c r="AB282" s="293"/>
      <c r="AC282" s="293"/>
      <c r="AD282" s="293"/>
      <c r="AE282" s="293"/>
      <c r="AF282" s="293"/>
      <c r="AG282" s="293"/>
      <c r="AH282" s="293"/>
      <c r="AI282" s="293"/>
      <c r="AJ282" s="293"/>
      <c r="AK282" s="293"/>
      <c r="AL282" s="293"/>
      <c r="AM282" s="293"/>
      <c r="AN282" s="293"/>
      <c r="AO282" s="293"/>
      <c r="AP282" s="293"/>
      <c r="AQ282" s="293"/>
      <c r="AR282" s="293"/>
      <c r="AS282" s="293"/>
      <c r="AT282" s="293"/>
      <c r="AU282" s="293"/>
      <c r="AV282" s="293"/>
      <c r="AW282" s="293"/>
      <c r="AX282" s="293"/>
      <c r="AY282" s="293"/>
      <c r="AZ282" s="293"/>
      <c r="BA282" s="293"/>
      <c r="BB282" s="293"/>
      <c r="BC282" s="293"/>
      <c r="BD282" s="293"/>
      <c r="BE282" s="293"/>
      <c r="BF282" s="293"/>
      <c r="BG282" s="293"/>
      <c r="BH282" s="293"/>
      <c r="BI282" s="293"/>
      <c r="BJ282" s="293"/>
      <c r="BK282" s="293"/>
      <c r="BL282" s="293"/>
      <c r="BM282" s="293"/>
      <c r="BN282" s="293"/>
      <c r="BO282" s="293"/>
      <c r="BP282" s="293"/>
      <c r="BQ282" s="293"/>
      <c r="BR282" s="293"/>
      <c r="BS282" s="293"/>
      <c r="BT282" s="293"/>
      <c r="BU282" s="293"/>
      <c r="BV282" s="293"/>
      <c r="BW282" s="293"/>
      <c r="BX282" s="293"/>
      <c r="BY282" s="293"/>
      <c r="BZ282" s="293"/>
      <c r="CA282" s="293"/>
      <c r="CB282" s="293"/>
      <c r="CC282" s="293"/>
      <c r="CD282" s="293"/>
      <c r="CE282" s="293"/>
      <c r="CF282" s="293"/>
      <c r="CG282" s="293"/>
      <c r="CH282" s="293"/>
      <c r="CI282" s="293"/>
      <c r="CJ282" s="293"/>
      <c r="CK282" s="293"/>
      <c r="CL282" s="293"/>
      <c r="CM282" s="293"/>
      <c r="CN282" s="293"/>
      <c r="CO282" s="293"/>
      <c r="CP282" s="293">
        <f t="shared" si="5740"/>
        <v>0</v>
      </c>
    </row>
    <row r="283" spans="1:94">
      <c r="A283" s="679">
        <v>143</v>
      </c>
      <c r="B283" s="645" t="s">
        <v>272</v>
      </c>
      <c r="C283" s="646" t="s">
        <v>745</v>
      </c>
      <c r="D283" s="647" t="s">
        <v>513</v>
      </c>
      <c r="E283" s="648" t="s">
        <v>505</v>
      </c>
      <c r="F283" s="642">
        <v>32.31</v>
      </c>
      <c r="G283" s="642">
        <v>19</v>
      </c>
      <c r="H283" s="643">
        <f>F283*G283*365</f>
        <v>224069.85000000003</v>
      </c>
      <c r="I283" s="291">
        <v>56017.46</v>
      </c>
      <c r="J283" s="292">
        <f>ROUND(G283*F283*365/4,0)</f>
        <v>56017</v>
      </c>
      <c r="K283" s="293">
        <f>J283</f>
        <v>56017</v>
      </c>
      <c r="L283" s="293">
        <f>K283</f>
        <v>56017</v>
      </c>
      <c r="M283" s="293">
        <f>L283</f>
        <v>56017</v>
      </c>
      <c r="N283" s="293">
        <f>ROUND(M283*(1+取值表!$D$14)*取值表!$I$14,0)</f>
        <v>56033</v>
      </c>
      <c r="O283" s="293">
        <f>N283</f>
        <v>56033</v>
      </c>
      <c r="P283" s="293">
        <f>O283</f>
        <v>56033</v>
      </c>
      <c r="Q283" s="293">
        <f>P283</f>
        <v>56033</v>
      </c>
      <c r="R283" s="294">
        <f>ROUND(Q283*(1+取值表!$D$14),0)</f>
        <v>59563</v>
      </c>
      <c r="S283" s="293">
        <f>R283</f>
        <v>59563</v>
      </c>
      <c r="T283" s="293">
        <f>S283</f>
        <v>59563</v>
      </c>
      <c r="U283" s="293">
        <f>T283</f>
        <v>59563</v>
      </c>
      <c r="V283" s="293">
        <f>ROUND(U283*(1+取值表!$D$14),0)</f>
        <v>63315</v>
      </c>
      <c r="W283" s="293">
        <f t="shared" ref="W283:Y283" si="6239">V283</f>
        <v>63315</v>
      </c>
      <c r="X283" s="293">
        <f t="shared" si="6239"/>
        <v>63315</v>
      </c>
      <c r="Y283" s="293">
        <f t="shared" si="6239"/>
        <v>63315</v>
      </c>
      <c r="Z283" s="293">
        <f>ROUND(Y283*(1+取值表!$D$14),0)</f>
        <v>67304</v>
      </c>
      <c r="AA283" s="293">
        <f t="shared" ref="AA283" si="6240">Z283</f>
        <v>67304</v>
      </c>
      <c r="AB283" s="293">
        <f t="shared" ref="AB283" si="6241">AA283</f>
        <v>67304</v>
      </c>
      <c r="AC283" s="293">
        <f>AB283</f>
        <v>67304</v>
      </c>
      <c r="AD283" s="293">
        <f>ROUND(AC283*(1+取值表!$D$14),0)</f>
        <v>71544</v>
      </c>
      <c r="AE283" s="293">
        <f t="shared" ref="AE283" si="6242">AD283</f>
        <v>71544</v>
      </c>
      <c r="AF283" s="293">
        <f t="shared" ref="AF283" si="6243">AE283</f>
        <v>71544</v>
      </c>
      <c r="AG283" s="293">
        <f t="shared" ref="AG283" si="6244">AF283</f>
        <v>71544</v>
      </c>
      <c r="AH283" s="293">
        <f>ROUND(AG283*(1+取值表!$D$14),0)</f>
        <v>76051</v>
      </c>
      <c r="AI283" s="293">
        <f t="shared" ref="AI283" si="6245">AH283</f>
        <v>76051</v>
      </c>
      <c r="AJ283" s="293">
        <f t="shared" ref="AJ283" si="6246">AI283</f>
        <v>76051</v>
      </c>
      <c r="AK283" s="293">
        <f t="shared" ref="AK283" si="6247">AJ283</f>
        <v>76051</v>
      </c>
      <c r="AL283" s="293">
        <f>ROUND(AK283*(1+取值表!$D$14),0)</f>
        <v>80842</v>
      </c>
      <c r="AM283" s="293">
        <f t="shared" ref="AM283" si="6248">AL283</f>
        <v>80842</v>
      </c>
      <c r="AN283" s="293">
        <f t="shared" ref="AN283" si="6249">AM283</f>
        <v>80842</v>
      </c>
      <c r="AO283" s="293">
        <f t="shared" ref="AO283" si="6250">AN283</f>
        <v>80842</v>
      </c>
      <c r="AP283" s="293">
        <f>ROUND(AO283*(1+取值表!$D$14),0)</f>
        <v>85935</v>
      </c>
      <c r="AQ283" s="293">
        <f t="shared" ref="AQ283" si="6251">AP283</f>
        <v>85935</v>
      </c>
      <c r="AR283" s="293">
        <f t="shared" ref="AR283" si="6252">AQ283</f>
        <v>85935</v>
      </c>
      <c r="AS283" s="293">
        <f t="shared" ref="AS283" si="6253">AR283</f>
        <v>85935</v>
      </c>
      <c r="AT283" s="293">
        <f>ROUND(AS283*(1+取值表!$D$14),0)</f>
        <v>91349</v>
      </c>
      <c r="AU283" s="293">
        <f t="shared" ref="AU283" si="6254">AT283</f>
        <v>91349</v>
      </c>
      <c r="AV283" s="293">
        <f t="shared" ref="AV283" si="6255">AU283</f>
        <v>91349</v>
      </c>
      <c r="AW283" s="293">
        <f t="shared" ref="AW283" si="6256">AV283</f>
        <v>91349</v>
      </c>
      <c r="AX283" s="293">
        <f>ROUND(AW283*(1+取值表!$D$14),0)</f>
        <v>97104</v>
      </c>
      <c r="AY283" s="293">
        <f t="shared" ref="AY283" si="6257">AX283</f>
        <v>97104</v>
      </c>
      <c r="AZ283" s="293">
        <f t="shared" ref="AZ283" si="6258">AY283</f>
        <v>97104</v>
      </c>
      <c r="BA283" s="293">
        <f t="shared" ref="BA283" si="6259">AZ283</f>
        <v>97104</v>
      </c>
      <c r="BB283" s="293">
        <f>ROUND(BA283*(1+取值表!$D$14),0)</f>
        <v>103222</v>
      </c>
      <c r="BC283" s="293">
        <f>BB283</f>
        <v>103222</v>
      </c>
      <c r="BD283" s="293">
        <f t="shared" ref="BD283" si="6260">BC283</f>
        <v>103222</v>
      </c>
      <c r="BE283" s="293">
        <f>BD283</f>
        <v>103222</v>
      </c>
      <c r="BF283" s="293">
        <f>ROUND(BE283*(1+取值表!$D$14),0)</f>
        <v>109725</v>
      </c>
      <c r="BG283" s="293">
        <f>BF283</f>
        <v>109725</v>
      </c>
      <c r="BH283" s="293">
        <f t="shared" ref="BH283" si="6261">BG283</f>
        <v>109725</v>
      </c>
      <c r="BI283" s="293">
        <f t="shared" ref="BI283" si="6262">BH283</f>
        <v>109725</v>
      </c>
      <c r="BJ283" s="293">
        <f>ROUND(BI283*(1+取值表!$D$14),0)</f>
        <v>116638</v>
      </c>
      <c r="BK283" s="293">
        <f t="shared" ref="BK283" si="6263">BJ283</f>
        <v>116638</v>
      </c>
      <c r="BL283" s="293">
        <f t="shared" ref="BL283" si="6264">BK283</f>
        <v>116638</v>
      </c>
      <c r="BM283" s="293">
        <f t="shared" ref="BM283" si="6265">BL283</f>
        <v>116638</v>
      </c>
      <c r="BN283" s="293">
        <f>ROUND(BM283*(1+取值表!$D$14),0)</f>
        <v>123986</v>
      </c>
      <c r="BO283" s="293">
        <f t="shared" ref="BO283" si="6266">BN283</f>
        <v>123986</v>
      </c>
      <c r="BP283" s="293">
        <f t="shared" ref="BP283" si="6267">BO283</f>
        <v>123986</v>
      </c>
      <c r="BQ283" s="293">
        <f t="shared" ref="BQ283" si="6268">BP283</f>
        <v>123986</v>
      </c>
      <c r="BR283" s="293">
        <f>ROUND(BQ283*(1+取值表!$D$14),0)</f>
        <v>131797</v>
      </c>
      <c r="BS283" s="293">
        <f t="shared" ref="BS283" si="6269">BR283</f>
        <v>131797</v>
      </c>
      <c r="BT283" s="293">
        <f t="shared" ref="BT283" si="6270">BS283</f>
        <v>131797</v>
      </c>
      <c r="BU283" s="293">
        <f t="shared" ref="BU283" si="6271">BT283</f>
        <v>131797</v>
      </c>
      <c r="BV283" s="293">
        <f>ROUND(BU283*(1+取值表!$D$14),0)</f>
        <v>140100</v>
      </c>
      <c r="BW283" s="293">
        <f t="shared" ref="BW283" si="6272">BV283</f>
        <v>140100</v>
      </c>
      <c r="BX283" s="293">
        <f t="shared" ref="BX283" si="6273">BW283</f>
        <v>140100</v>
      </c>
      <c r="BY283" s="293">
        <f t="shared" ref="BY283" si="6274">BX283</f>
        <v>140100</v>
      </c>
      <c r="BZ283" s="293">
        <f>ROUND(BY283*(1+取值表!$D$14),0)</f>
        <v>148926</v>
      </c>
      <c r="CA283" s="293">
        <f t="shared" ref="CA283" si="6275">BZ283</f>
        <v>148926</v>
      </c>
      <c r="CB283" s="293">
        <f t="shared" ref="CB283" si="6276">CA283</f>
        <v>148926</v>
      </c>
      <c r="CC283" s="293">
        <f t="shared" ref="CC283" si="6277">CB283</f>
        <v>148926</v>
      </c>
      <c r="CD283" s="293">
        <f>ROUND(CC283*(1+取值表!$D$14),0)</f>
        <v>158308</v>
      </c>
      <c r="CE283" s="293">
        <f t="shared" ref="CE283" si="6278">CD283</f>
        <v>158308</v>
      </c>
      <c r="CF283" s="293">
        <f t="shared" ref="CF283" si="6279">CE283</f>
        <v>158308</v>
      </c>
      <c r="CG283" s="293">
        <f t="shared" ref="CG283" si="6280">CF283</f>
        <v>158308</v>
      </c>
      <c r="CH283" s="293">
        <f>ROUND(CG283*(1+取值表!$D$14),0)</f>
        <v>168281</v>
      </c>
      <c r="CI283" s="293">
        <f>CH283</f>
        <v>168281</v>
      </c>
      <c r="CJ283" s="293">
        <f t="shared" ref="CJ283" si="6281">CI283</f>
        <v>168281</v>
      </c>
      <c r="CK283" s="293">
        <f t="shared" ref="CK283" si="6282">CJ283</f>
        <v>168281</v>
      </c>
      <c r="CL283" s="293">
        <f>ROUND(CK283*(1+取值表!$D$14),0)</f>
        <v>178883</v>
      </c>
      <c r="CM283" s="293">
        <f>CL283</f>
        <v>178883</v>
      </c>
      <c r="CN283" s="293">
        <f t="shared" ref="CN283" si="6283">CM283</f>
        <v>178883</v>
      </c>
      <c r="CO283" s="293">
        <f t="shared" ref="CO283" si="6284">CN283</f>
        <v>178883</v>
      </c>
      <c r="CP283" s="293">
        <f t="shared" si="5740"/>
        <v>8739692</v>
      </c>
    </row>
    <row r="284" spans="1:94">
      <c r="A284" s="680"/>
      <c r="B284" s="645"/>
      <c r="C284" s="646"/>
      <c r="D284" s="647"/>
      <c r="E284" s="648"/>
      <c r="F284" s="642"/>
      <c r="G284" s="642"/>
      <c r="H284" s="643"/>
      <c r="I284" s="291"/>
      <c r="J284" s="295"/>
      <c r="K284" s="293"/>
      <c r="L284" s="293"/>
      <c r="M284" s="293"/>
      <c r="N284" s="293"/>
      <c r="O284" s="293"/>
      <c r="P284" s="293"/>
      <c r="Q284" s="293"/>
      <c r="R284" s="293"/>
      <c r="S284" s="293"/>
      <c r="T284" s="293"/>
      <c r="U284" s="293"/>
      <c r="V284" s="293"/>
      <c r="W284" s="293"/>
      <c r="X284" s="293"/>
      <c r="Y284" s="293"/>
      <c r="Z284" s="293"/>
      <c r="AA284" s="293"/>
      <c r="AB284" s="293"/>
      <c r="AC284" s="293"/>
      <c r="AD284" s="293"/>
      <c r="AE284" s="293"/>
      <c r="AF284" s="293"/>
      <c r="AG284" s="293"/>
      <c r="AH284" s="293"/>
      <c r="AI284" s="293"/>
      <c r="AJ284" s="293"/>
      <c r="AK284" s="293"/>
      <c r="AL284" s="293"/>
      <c r="AM284" s="293"/>
      <c r="AN284" s="293"/>
      <c r="AO284" s="293"/>
      <c r="AP284" s="293"/>
      <c r="AQ284" s="293"/>
      <c r="AR284" s="293"/>
      <c r="AS284" s="293"/>
      <c r="AT284" s="293"/>
      <c r="AU284" s="293"/>
      <c r="AV284" s="293"/>
      <c r="AW284" s="293"/>
      <c r="AX284" s="293"/>
      <c r="AY284" s="293"/>
      <c r="AZ284" s="293"/>
      <c r="BA284" s="293"/>
      <c r="BB284" s="293"/>
      <c r="BC284" s="293"/>
      <c r="BD284" s="293"/>
      <c r="BE284" s="293"/>
      <c r="BF284" s="293"/>
      <c r="BG284" s="293"/>
      <c r="BH284" s="293"/>
      <c r="BI284" s="293"/>
      <c r="BJ284" s="293"/>
      <c r="BK284" s="293"/>
      <c r="BL284" s="293"/>
      <c r="BM284" s="293"/>
      <c r="BN284" s="293"/>
      <c r="BO284" s="293"/>
      <c r="BP284" s="293"/>
      <c r="BQ284" s="293"/>
      <c r="BR284" s="293"/>
      <c r="BS284" s="293"/>
      <c r="BT284" s="293"/>
      <c r="BU284" s="293"/>
      <c r="BV284" s="293"/>
      <c r="BW284" s="293"/>
      <c r="BX284" s="293"/>
      <c r="BY284" s="293"/>
      <c r="BZ284" s="293"/>
      <c r="CA284" s="293"/>
      <c r="CB284" s="293"/>
      <c r="CC284" s="293"/>
      <c r="CD284" s="293"/>
      <c r="CE284" s="293"/>
      <c r="CF284" s="293"/>
      <c r="CG284" s="293"/>
      <c r="CH284" s="293"/>
      <c r="CI284" s="293"/>
      <c r="CJ284" s="293"/>
      <c r="CK284" s="293"/>
      <c r="CL284" s="293"/>
      <c r="CM284" s="293"/>
      <c r="CN284" s="293"/>
      <c r="CO284" s="293"/>
      <c r="CP284" s="293">
        <f t="shared" si="5740"/>
        <v>0</v>
      </c>
    </row>
    <row r="285" spans="1:94" ht="12" customHeight="1">
      <c r="A285" s="679">
        <v>144</v>
      </c>
      <c r="B285" s="645" t="s">
        <v>274</v>
      </c>
      <c r="C285" s="646" t="s">
        <v>275</v>
      </c>
      <c r="D285" s="647" t="s">
        <v>514</v>
      </c>
      <c r="E285" s="648" t="s">
        <v>505</v>
      </c>
      <c r="F285" s="642">
        <v>61.83</v>
      </c>
      <c r="G285" s="642">
        <v>17.5</v>
      </c>
      <c r="H285" s="643">
        <f>F285*G285*365</f>
        <v>394939.12499999994</v>
      </c>
      <c r="I285" s="291">
        <v>95913.79</v>
      </c>
      <c r="J285" s="292">
        <f>ROUND(G285*F285*365/4,0)</f>
        <v>98735</v>
      </c>
      <c r="K285" s="293">
        <f>J285</f>
        <v>98735</v>
      </c>
      <c r="L285" s="293">
        <f>K285</f>
        <v>98735</v>
      </c>
      <c r="M285" s="293">
        <f>L285</f>
        <v>98735</v>
      </c>
      <c r="N285" s="293">
        <f>ROUND(M285*(1+取值表!$D$14)*取值表!$I$14,0)</f>
        <v>98763</v>
      </c>
      <c r="O285" s="293">
        <f>N285</f>
        <v>98763</v>
      </c>
      <c r="P285" s="293">
        <f>O285</f>
        <v>98763</v>
      </c>
      <c r="Q285" s="293">
        <f>P285</f>
        <v>98763</v>
      </c>
      <c r="R285" s="294">
        <f>ROUND(Q285*(1+取值表!$D$14),0)</f>
        <v>104985</v>
      </c>
      <c r="S285" s="293">
        <f>R285</f>
        <v>104985</v>
      </c>
      <c r="T285" s="293">
        <f>S285</f>
        <v>104985</v>
      </c>
      <c r="U285" s="293">
        <f>T285</f>
        <v>104985</v>
      </c>
      <c r="V285" s="293">
        <f>ROUND(U285*(1+取值表!$D$14),0)</f>
        <v>111599</v>
      </c>
      <c r="W285" s="293">
        <f t="shared" ref="W285:Y285" si="6285">V285</f>
        <v>111599</v>
      </c>
      <c r="X285" s="293">
        <f t="shared" si="6285"/>
        <v>111599</v>
      </c>
      <c r="Y285" s="293">
        <f t="shared" si="6285"/>
        <v>111599</v>
      </c>
      <c r="Z285" s="293">
        <f>ROUND(Y285*(1+取值表!$D$14),0)</f>
        <v>118630</v>
      </c>
      <c r="AA285" s="293">
        <f t="shared" ref="AA285" si="6286">Z285</f>
        <v>118630</v>
      </c>
      <c r="AB285" s="293">
        <f t="shared" ref="AB285" si="6287">AA285</f>
        <v>118630</v>
      </c>
      <c r="AC285" s="293">
        <f>AB285</f>
        <v>118630</v>
      </c>
      <c r="AD285" s="293">
        <f>ROUND(AC285*(1+取值表!$D$14),0)</f>
        <v>126104</v>
      </c>
      <c r="AE285" s="293">
        <f t="shared" ref="AE285" si="6288">AD285</f>
        <v>126104</v>
      </c>
      <c r="AF285" s="293">
        <f t="shared" ref="AF285" si="6289">AE285</f>
        <v>126104</v>
      </c>
      <c r="AG285" s="293">
        <f t="shared" ref="AG285" si="6290">AF285</f>
        <v>126104</v>
      </c>
      <c r="AH285" s="293">
        <f>ROUND(AG285*(1+取值表!$D$14),0)</f>
        <v>134049</v>
      </c>
      <c r="AI285" s="293">
        <f t="shared" ref="AI285" si="6291">AH285</f>
        <v>134049</v>
      </c>
      <c r="AJ285" s="293">
        <f t="shared" ref="AJ285" si="6292">AI285</f>
        <v>134049</v>
      </c>
      <c r="AK285" s="293">
        <f t="shared" ref="AK285" si="6293">AJ285</f>
        <v>134049</v>
      </c>
      <c r="AL285" s="293">
        <f>ROUND(AK285*(1+取值表!$D$14),0)</f>
        <v>142494</v>
      </c>
      <c r="AM285" s="293">
        <f t="shared" ref="AM285" si="6294">AL285</f>
        <v>142494</v>
      </c>
      <c r="AN285" s="293">
        <f t="shared" ref="AN285" si="6295">AM285</f>
        <v>142494</v>
      </c>
      <c r="AO285" s="293">
        <f t="shared" ref="AO285" si="6296">AN285</f>
        <v>142494</v>
      </c>
      <c r="AP285" s="293">
        <f>ROUND(AO285*(1+取值表!$D$14),0)</f>
        <v>151471</v>
      </c>
      <c r="AQ285" s="293">
        <f t="shared" ref="AQ285" si="6297">AP285</f>
        <v>151471</v>
      </c>
      <c r="AR285" s="293">
        <f t="shared" ref="AR285" si="6298">AQ285</f>
        <v>151471</v>
      </c>
      <c r="AS285" s="293">
        <f t="shared" ref="AS285" si="6299">AR285</f>
        <v>151471</v>
      </c>
      <c r="AT285" s="293">
        <f>ROUND(AS285*(1+取值表!$D$14),0)</f>
        <v>161014</v>
      </c>
      <c r="AU285" s="293">
        <f t="shared" ref="AU285" si="6300">AT285</f>
        <v>161014</v>
      </c>
      <c r="AV285" s="293">
        <f t="shared" ref="AV285" si="6301">AU285</f>
        <v>161014</v>
      </c>
      <c r="AW285" s="293">
        <f t="shared" ref="AW285" si="6302">AV285</f>
        <v>161014</v>
      </c>
      <c r="AX285" s="293">
        <f>ROUND(AW285*(1+取值表!$D$14),0)</f>
        <v>171158</v>
      </c>
      <c r="AY285" s="293">
        <f t="shared" ref="AY285" si="6303">AX285</f>
        <v>171158</v>
      </c>
      <c r="AZ285" s="293">
        <f t="shared" ref="AZ285" si="6304">AY285</f>
        <v>171158</v>
      </c>
      <c r="BA285" s="293">
        <f t="shared" ref="BA285" si="6305">AZ285</f>
        <v>171158</v>
      </c>
      <c r="BB285" s="293">
        <f>ROUND(BA285*(1+取值表!$D$14),0)</f>
        <v>181941</v>
      </c>
      <c r="BC285" s="293">
        <f>BB285</f>
        <v>181941</v>
      </c>
      <c r="BD285" s="293">
        <f t="shared" ref="BD285" si="6306">BC285</f>
        <v>181941</v>
      </c>
      <c r="BE285" s="293">
        <f>BD285</f>
        <v>181941</v>
      </c>
      <c r="BF285" s="293">
        <f>ROUND(BE285*(1+取值表!$D$14),0)</f>
        <v>193403</v>
      </c>
      <c r="BG285" s="293">
        <f>BF285</f>
        <v>193403</v>
      </c>
      <c r="BH285" s="293">
        <f t="shared" ref="BH285" si="6307">BG285</f>
        <v>193403</v>
      </c>
      <c r="BI285" s="293">
        <f t="shared" ref="BI285" si="6308">BH285</f>
        <v>193403</v>
      </c>
      <c r="BJ285" s="293">
        <f>ROUND(BI285*(1+取值表!$D$14),0)</f>
        <v>205587</v>
      </c>
      <c r="BK285" s="293">
        <f t="shared" ref="BK285" si="6309">BJ285</f>
        <v>205587</v>
      </c>
      <c r="BL285" s="293">
        <f t="shared" ref="BL285" si="6310">BK285</f>
        <v>205587</v>
      </c>
      <c r="BM285" s="293">
        <f t="shared" ref="BM285" si="6311">BL285</f>
        <v>205587</v>
      </c>
      <c r="BN285" s="293">
        <f>ROUND(BM285*(1+取值表!$D$14),0)</f>
        <v>218539</v>
      </c>
      <c r="BO285" s="293">
        <f t="shared" ref="BO285" si="6312">BN285</f>
        <v>218539</v>
      </c>
      <c r="BP285" s="293">
        <f t="shared" ref="BP285" si="6313">BO285</f>
        <v>218539</v>
      </c>
      <c r="BQ285" s="293">
        <f t="shared" ref="BQ285" si="6314">BP285</f>
        <v>218539</v>
      </c>
      <c r="BR285" s="293">
        <f>ROUND(BQ285*(1+取值表!$D$14),0)</f>
        <v>232307</v>
      </c>
      <c r="BS285" s="293">
        <f t="shared" ref="BS285" si="6315">BR285</f>
        <v>232307</v>
      </c>
      <c r="BT285" s="293">
        <f t="shared" ref="BT285" si="6316">BS285</f>
        <v>232307</v>
      </c>
      <c r="BU285" s="293">
        <f t="shared" ref="BU285" si="6317">BT285</f>
        <v>232307</v>
      </c>
      <c r="BV285" s="293">
        <f>ROUND(BU285*(1+取值表!$D$14),0)</f>
        <v>246942</v>
      </c>
      <c r="BW285" s="293">
        <f t="shared" ref="BW285" si="6318">BV285</f>
        <v>246942</v>
      </c>
      <c r="BX285" s="293">
        <f t="shared" ref="BX285" si="6319">BW285</f>
        <v>246942</v>
      </c>
      <c r="BY285" s="293">
        <f t="shared" ref="BY285" si="6320">BX285</f>
        <v>246942</v>
      </c>
      <c r="BZ285" s="293">
        <f>ROUND(BY285*(1+取值表!$D$14),0)</f>
        <v>262499</v>
      </c>
      <c r="CA285" s="293">
        <f t="shared" ref="CA285" si="6321">BZ285</f>
        <v>262499</v>
      </c>
      <c r="CB285" s="293">
        <f t="shared" ref="CB285" si="6322">CA285</f>
        <v>262499</v>
      </c>
      <c r="CC285" s="293">
        <f t="shared" ref="CC285" si="6323">CB285</f>
        <v>262499</v>
      </c>
      <c r="CD285" s="293">
        <f>ROUND(CC285*(1+取值表!$D$14),0)</f>
        <v>279036</v>
      </c>
      <c r="CE285" s="293">
        <f t="shared" ref="CE285" si="6324">CD285</f>
        <v>279036</v>
      </c>
      <c r="CF285" s="293">
        <f t="shared" ref="CF285" si="6325">CE285</f>
        <v>279036</v>
      </c>
      <c r="CG285" s="293">
        <f t="shared" ref="CG285" si="6326">CF285</f>
        <v>279036</v>
      </c>
      <c r="CH285" s="293">
        <f>ROUND(CG285*(1+取值表!$D$14),0)</f>
        <v>296615</v>
      </c>
      <c r="CI285" s="293">
        <f>CH285</f>
        <v>296615</v>
      </c>
      <c r="CJ285" s="293">
        <f t="shared" ref="CJ285" si="6327">CI285</f>
        <v>296615</v>
      </c>
      <c r="CK285" s="293">
        <f t="shared" ref="CK285" si="6328">CJ285</f>
        <v>296615</v>
      </c>
      <c r="CL285" s="293">
        <f>ROUND(CK285*(1+取值表!$D$14),0)</f>
        <v>315302</v>
      </c>
      <c r="CM285" s="293">
        <f>CL285</f>
        <v>315302</v>
      </c>
      <c r="CN285" s="293">
        <f t="shared" ref="CN285" si="6329">CM285</f>
        <v>315302</v>
      </c>
      <c r="CO285" s="293">
        <f t="shared" ref="CO285" si="6330">CN285</f>
        <v>315302</v>
      </c>
      <c r="CP285" s="293">
        <f t="shared" si="5740"/>
        <v>15404692</v>
      </c>
    </row>
    <row r="286" spans="1:94">
      <c r="A286" s="680"/>
      <c r="B286" s="645"/>
      <c r="C286" s="646"/>
      <c r="D286" s="647"/>
      <c r="E286" s="648"/>
      <c r="F286" s="642"/>
      <c r="G286" s="642"/>
      <c r="H286" s="643"/>
      <c r="I286" s="291"/>
      <c r="J286" s="295"/>
      <c r="K286" s="293"/>
      <c r="L286" s="293"/>
      <c r="M286" s="293"/>
      <c r="N286" s="293"/>
      <c r="O286" s="293"/>
      <c r="P286" s="293"/>
      <c r="Q286" s="293"/>
      <c r="R286" s="293"/>
      <c r="S286" s="293"/>
      <c r="T286" s="293"/>
      <c r="U286" s="293"/>
      <c r="V286" s="293"/>
      <c r="W286" s="293"/>
      <c r="X286" s="293"/>
      <c r="Y286" s="293"/>
      <c r="Z286" s="293"/>
      <c r="AA286" s="293"/>
      <c r="AB286" s="293"/>
      <c r="AC286" s="293"/>
      <c r="AD286" s="293"/>
      <c r="AE286" s="293"/>
      <c r="AF286" s="293"/>
      <c r="AG286" s="293"/>
      <c r="AH286" s="293"/>
      <c r="AI286" s="293"/>
      <c r="AJ286" s="293"/>
      <c r="AK286" s="293"/>
      <c r="AL286" s="293"/>
      <c r="AM286" s="293"/>
      <c r="AN286" s="293"/>
      <c r="AO286" s="293"/>
      <c r="AP286" s="293"/>
      <c r="AQ286" s="293"/>
      <c r="AR286" s="293"/>
      <c r="AS286" s="293"/>
      <c r="AT286" s="293"/>
      <c r="AU286" s="293"/>
      <c r="AV286" s="293"/>
      <c r="AW286" s="293"/>
      <c r="AX286" s="293"/>
      <c r="AY286" s="293"/>
      <c r="AZ286" s="293"/>
      <c r="BA286" s="293"/>
      <c r="BB286" s="293"/>
      <c r="BC286" s="293"/>
      <c r="BD286" s="293"/>
      <c r="BE286" s="293"/>
      <c r="BF286" s="293"/>
      <c r="BG286" s="293"/>
      <c r="BH286" s="293"/>
      <c r="BI286" s="293"/>
      <c r="BJ286" s="293"/>
      <c r="BK286" s="293"/>
      <c r="BL286" s="293"/>
      <c r="BM286" s="293"/>
      <c r="BN286" s="293"/>
      <c r="BO286" s="293"/>
      <c r="BP286" s="293"/>
      <c r="BQ286" s="293"/>
      <c r="BR286" s="293"/>
      <c r="BS286" s="293"/>
      <c r="BT286" s="293"/>
      <c r="BU286" s="293"/>
      <c r="BV286" s="293"/>
      <c r="BW286" s="293"/>
      <c r="BX286" s="293"/>
      <c r="BY286" s="293"/>
      <c r="BZ286" s="293"/>
      <c r="CA286" s="293"/>
      <c r="CB286" s="293"/>
      <c r="CC286" s="293"/>
      <c r="CD286" s="293"/>
      <c r="CE286" s="293"/>
      <c r="CF286" s="293"/>
      <c r="CG286" s="293"/>
      <c r="CH286" s="293"/>
      <c r="CI286" s="293"/>
      <c r="CJ286" s="293"/>
      <c r="CK286" s="293"/>
      <c r="CL286" s="293"/>
      <c r="CM286" s="293"/>
      <c r="CN286" s="293"/>
      <c r="CO286" s="293"/>
      <c r="CP286" s="293">
        <f t="shared" si="5740"/>
        <v>0</v>
      </c>
    </row>
    <row r="287" spans="1:94" ht="12" customHeight="1">
      <c r="A287" s="679">
        <v>145</v>
      </c>
      <c r="B287" s="645" t="s">
        <v>276</v>
      </c>
      <c r="C287" s="646" t="s">
        <v>746</v>
      </c>
      <c r="D287" s="647" t="s">
        <v>515</v>
      </c>
      <c r="E287" s="648" t="s">
        <v>505</v>
      </c>
      <c r="F287" s="642">
        <v>34.5</v>
      </c>
      <c r="G287" s="642">
        <v>18</v>
      </c>
      <c r="H287" s="643">
        <f>F287*G287*365</f>
        <v>226665</v>
      </c>
      <c r="I287" s="291">
        <v>56666.25</v>
      </c>
      <c r="J287" s="295">
        <f>ROUND(G287*F287*365/4,0)</f>
        <v>56666</v>
      </c>
      <c r="K287" s="293">
        <f>J287</f>
        <v>56666</v>
      </c>
      <c r="L287" s="292">
        <f>K287</f>
        <v>56666</v>
      </c>
      <c r="M287" s="293">
        <f>L287</f>
        <v>56666</v>
      </c>
      <c r="N287" s="293">
        <f>ROUND(M287*(1+取值表!$D$14)*取值表!$I$14,0)</f>
        <v>56682</v>
      </c>
      <c r="O287" s="293">
        <f>N287</f>
        <v>56682</v>
      </c>
      <c r="P287" s="293">
        <f>O287</f>
        <v>56682</v>
      </c>
      <c r="Q287" s="293">
        <f>P287</f>
        <v>56682</v>
      </c>
      <c r="R287" s="294">
        <f>ROUND(Q287*(1+取值表!$D$14),0)</f>
        <v>60253</v>
      </c>
      <c r="S287" s="293">
        <f>R287</f>
        <v>60253</v>
      </c>
      <c r="T287" s="293">
        <f>S287</f>
        <v>60253</v>
      </c>
      <c r="U287" s="293">
        <f>T287</f>
        <v>60253</v>
      </c>
      <c r="V287" s="293">
        <f>ROUND(U287*(1+取值表!$D$14),0)</f>
        <v>64049</v>
      </c>
      <c r="W287" s="293">
        <f t="shared" ref="W287:Y287" si="6331">V287</f>
        <v>64049</v>
      </c>
      <c r="X287" s="293">
        <f t="shared" si="6331"/>
        <v>64049</v>
      </c>
      <c r="Y287" s="293">
        <f t="shared" si="6331"/>
        <v>64049</v>
      </c>
      <c r="Z287" s="293">
        <f>ROUND(Y287*(1+取值表!$D$14),0)</f>
        <v>68084</v>
      </c>
      <c r="AA287" s="293">
        <f t="shared" ref="AA287" si="6332">Z287</f>
        <v>68084</v>
      </c>
      <c r="AB287" s="293">
        <f t="shared" ref="AB287" si="6333">AA287</f>
        <v>68084</v>
      </c>
      <c r="AC287" s="293">
        <f>AB287</f>
        <v>68084</v>
      </c>
      <c r="AD287" s="293">
        <f>ROUND(AC287*(1+取值表!$D$14),0)</f>
        <v>72373</v>
      </c>
      <c r="AE287" s="293">
        <f t="shared" ref="AE287" si="6334">AD287</f>
        <v>72373</v>
      </c>
      <c r="AF287" s="293">
        <f t="shared" ref="AF287" si="6335">AE287</f>
        <v>72373</v>
      </c>
      <c r="AG287" s="293">
        <f t="shared" ref="AG287" si="6336">AF287</f>
        <v>72373</v>
      </c>
      <c r="AH287" s="293">
        <f>ROUND(AG287*(1+取值表!$D$14),0)</f>
        <v>76932</v>
      </c>
      <c r="AI287" s="293">
        <f t="shared" ref="AI287" si="6337">AH287</f>
        <v>76932</v>
      </c>
      <c r="AJ287" s="293">
        <f t="shared" ref="AJ287" si="6338">AI287</f>
        <v>76932</v>
      </c>
      <c r="AK287" s="293">
        <f t="shared" ref="AK287" si="6339">AJ287</f>
        <v>76932</v>
      </c>
      <c r="AL287" s="293">
        <f>ROUND(AK287*(1+取值表!$D$14),0)</f>
        <v>81779</v>
      </c>
      <c r="AM287" s="293">
        <f t="shared" ref="AM287" si="6340">AL287</f>
        <v>81779</v>
      </c>
      <c r="AN287" s="293">
        <f t="shared" ref="AN287" si="6341">AM287</f>
        <v>81779</v>
      </c>
      <c r="AO287" s="293">
        <f t="shared" ref="AO287" si="6342">AN287</f>
        <v>81779</v>
      </c>
      <c r="AP287" s="293">
        <f>ROUND(AO287*(1+取值表!$D$14),0)</f>
        <v>86931</v>
      </c>
      <c r="AQ287" s="293">
        <f t="shared" ref="AQ287" si="6343">AP287</f>
        <v>86931</v>
      </c>
      <c r="AR287" s="293">
        <f t="shared" ref="AR287" si="6344">AQ287</f>
        <v>86931</v>
      </c>
      <c r="AS287" s="293">
        <f t="shared" ref="AS287" si="6345">AR287</f>
        <v>86931</v>
      </c>
      <c r="AT287" s="293">
        <f>ROUND(AS287*(1+取值表!$D$14),0)</f>
        <v>92408</v>
      </c>
      <c r="AU287" s="293">
        <f t="shared" ref="AU287" si="6346">AT287</f>
        <v>92408</v>
      </c>
      <c r="AV287" s="293">
        <f t="shared" ref="AV287" si="6347">AU287</f>
        <v>92408</v>
      </c>
      <c r="AW287" s="293">
        <f t="shared" ref="AW287" si="6348">AV287</f>
        <v>92408</v>
      </c>
      <c r="AX287" s="293">
        <f>ROUND(AW287*(1+取值表!$D$14),0)</f>
        <v>98230</v>
      </c>
      <c r="AY287" s="293">
        <f t="shared" ref="AY287" si="6349">AX287</f>
        <v>98230</v>
      </c>
      <c r="AZ287" s="293">
        <f t="shared" ref="AZ287" si="6350">AY287</f>
        <v>98230</v>
      </c>
      <c r="BA287" s="293">
        <f t="shared" ref="BA287" si="6351">AZ287</f>
        <v>98230</v>
      </c>
      <c r="BB287" s="293">
        <f>ROUND(BA287*(1+取值表!$D$14),0)</f>
        <v>104418</v>
      </c>
      <c r="BC287" s="293">
        <f>BB287</f>
        <v>104418</v>
      </c>
      <c r="BD287" s="293">
        <f t="shared" ref="BD287" si="6352">BC287</f>
        <v>104418</v>
      </c>
      <c r="BE287" s="293">
        <f>BD287</f>
        <v>104418</v>
      </c>
      <c r="BF287" s="293">
        <f>ROUND(BE287*(1+取值表!$D$14),0)</f>
        <v>110996</v>
      </c>
      <c r="BG287" s="293">
        <f>BF287</f>
        <v>110996</v>
      </c>
      <c r="BH287" s="293">
        <f t="shared" ref="BH287" si="6353">BG287</f>
        <v>110996</v>
      </c>
      <c r="BI287" s="293">
        <f t="shared" ref="BI287" si="6354">BH287</f>
        <v>110996</v>
      </c>
      <c r="BJ287" s="293">
        <f>ROUND(BI287*(1+取值表!$D$14),0)</f>
        <v>117989</v>
      </c>
      <c r="BK287" s="293">
        <f t="shared" ref="BK287" si="6355">BJ287</f>
        <v>117989</v>
      </c>
      <c r="BL287" s="293">
        <f t="shared" ref="BL287" si="6356">BK287</f>
        <v>117989</v>
      </c>
      <c r="BM287" s="293">
        <f t="shared" ref="BM287" si="6357">BL287</f>
        <v>117989</v>
      </c>
      <c r="BN287" s="293">
        <f>ROUND(BM287*(1+取值表!$D$14),0)</f>
        <v>125422</v>
      </c>
      <c r="BO287" s="293">
        <f t="shared" ref="BO287" si="6358">BN287</f>
        <v>125422</v>
      </c>
      <c r="BP287" s="293">
        <f t="shared" ref="BP287" si="6359">BO287</f>
        <v>125422</v>
      </c>
      <c r="BQ287" s="293">
        <f t="shared" ref="BQ287" si="6360">BP287</f>
        <v>125422</v>
      </c>
      <c r="BR287" s="293">
        <f>ROUND(BQ287*(1+取值表!$D$14),0)</f>
        <v>133324</v>
      </c>
      <c r="BS287" s="293">
        <f t="shared" ref="BS287" si="6361">BR287</f>
        <v>133324</v>
      </c>
      <c r="BT287" s="293">
        <f t="shared" ref="BT287" si="6362">BS287</f>
        <v>133324</v>
      </c>
      <c r="BU287" s="293">
        <f t="shared" ref="BU287" si="6363">BT287</f>
        <v>133324</v>
      </c>
      <c r="BV287" s="293">
        <f>ROUND(BU287*(1+取值表!$D$14),0)</f>
        <v>141723</v>
      </c>
      <c r="BW287" s="293">
        <f t="shared" ref="BW287" si="6364">BV287</f>
        <v>141723</v>
      </c>
      <c r="BX287" s="293">
        <f t="shared" ref="BX287" si="6365">BW287</f>
        <v>141723</v>
      </c>
      <c r="BY287" s="293">
        <f t="shared" ref="BY287" si="6366">BX287</f>
        <v>141723</v>
      </c>
      <c r="BZ287" s="293">
        <f>ROUND(BY287*(1+取值表!$D$14),0)</f>
        <v>150652</v>
      </c>
      <c r="CA287" s="293">
        <f t="shared" ref="CA287" si="6367">BZ287</f>
        <v>150652</v>
      </c>
      <c r="CB287" s="293">
        <f t="shared" ref="CB287" si="6368">CA287</f>
        <v>150652</v>
      </c>
      <c r="CC287" s="293">
        <f t="shared" ref="CC287" si="6369">CB287</f>
        <v>150652</v>
      </c>
      <c r="CD287" s="293">
        <f>ROUND(CC287*(1+取值表!$D$14),0)</f>
        <v>160143</v>
      </c>
      <c r="CE287" s="293">
        <f t="shared" ref="CE287" si="6370">CD287</f>
        <v>160143</v>
      </c>
      <c r="CF287" s="293">
        <f t="shared" ref="CF287" si="6371">CE287</f>
        <v>160143</v>
      </c>
      <c r="CG287" s="293">
        <f t="shared" ref="CG287" si="6372">CF287</f>
        <v>160143</v>
      </c>
      <c r="CH287" s="293">
        <f>ROUND(CG287*(1+取值表!$D$14),0)</f>
        <v>170232</v>
      </c>
      <c r="CI287" s="293">
        <f>CH287</f>
        <v>170232</v>
      </c>
      <c r="CJ287" s="293">
        <f t="shared" ref="CJ287" si="6373">CI287</f>
        <v>170232</v>
      </c>
      <c r="CK287" s="293">
        <f t="shared" ref="CK287" si="6374">CJ287</f>
        <v>170232</v>
      </c>
      <c r="CL287" s="293">
        <f>ROUND(CK287*(1+取值表!$D$14),0)</f>
        <v>180957</v>
      </c>
      <c r="CM287" s="293">
        <f>CL287</f>
        <v>180957</v>
      </c>
      <c r="CN287" s="293">
        <f t="shared" ref="CN287" si="6375">CM287</f>
        <v>180957</v>
      </c>
      <c r="CO287" s="293">
        <f t="shared" ref="CO287" si="6376">CN287</f>
        <v>180957</v>
      </c>
      <c r="CP287" s="293">
        <f t="shared" si="5740"/>
        <v>8840972</v>
      </c>
    </row>
    <row r="288" spans="1:94">
      <c r="A288" s="680"/>
      <c r="B288" s="645"/>
      <c r="C288" s="646"/>
      <c r="D288" s="647"/>
      <c r="E288" s="648"/>
      <c r="F288" s="642"/>
      <c r="G288" s="642"/>
      <c r="H288" s="643"/>
      <c r="I288" s="291"/>
      <c r="J288" s="295"/>
      <c r="K288" s="293"/>
      <c r="L288" s="293"/>
      <c r="M288" s="293"/>
      <c r="N288" s="293"/>
      <c r="O288" s="293"/>
      <c r="P288" s="293"/>
      <c r="Q288" s="293"/>
      <c r="R288" s="293"/>
      <c r="S288" s="293"/>
      <c r="T288" s="293"/>
      <c r="U288" s="293"/>
      <c r="V288" s="293"/>
      <c r="W288" s="293"/>
      <c r="X288" s="293"/>
      <c r="Y288" s="293"/>
      <c r="Z288" s="293"/>
      <c r="AA288" s="293"/>
      <c r="AB288" s="293"/>
      <c r="AC288" s="293"/>
      <c r="AD288" s="293"/>
      <c r="AE288" s="293"/>
      <c r="AF288" s="293"/>
      <c r="AG288" s="293"/>
      <c r="AH288" s="293"/>
      <c r="AI288" s="293"/>
      <c r="AJ288" s="293"/>
      <c r="AK288" s="293"/>
      <c r="AL288" s="293"/>
      <c r="AM288" s="293"/>
      <c r="AN288" s="293"/>
      <c r="AO288" s="293"/>
      <c r="AP288" s="293"/>
      <c r="AQ288" s="293"/>
      <c r="AR288" s="293"/>
      <c r="AS288" s="293"/>
      <c r="AT288" s="293"/>
      <c r="AU288" s="293"/>
      <c r="AV288" s="293"/>
      <c r="AW288" s="293"/>
      <c r="AX288" s="293"/>
      <c r="AY288" s="293"/>
      <c r="AZ288" s="293"/>
      <c r="BA288" s="293"/>
      <c r="BB288" s="293"/>
      <c r="BC288" s="293"/>
      <c r="BD288" s="293"/>
      <c r="BE288" s="293"/>
      <c r="BF288" s="293"/>
      <c r="BG288" s="293"/>
      <c r="BH288" s="293"/>
      <c r="BI288" s="293"/>
      <c r="BJ288" s="293"/>
      <c r="BK288" s="293"/>
      <c r="BL288" s="293"/>
      <c r="BM288" s="293"/>
      <c r="BN288" s="293"/>
      <c r="BO288" s="293"/>
      <c r="BP288" s="293"/>
      <c r="BQ288" s="293"/>
      <c r="BR288" s="293"/>
      <c r="BS288" s="293"/>
      <c r="BT288" s="293"/>
      <c r="BU288" s="293"/>
      <c r="BV288" s="293"/>
      <c r="BW288" s="293"/>
      <c r="BX288" s="293"/>
      <c r="BY288" s="293"/>
      <c r="BZ288" s="293"/>
      <c r="CA288" s="293"/>
      <c r="CB288" s="293"/>
      <c r="CC288" s="293"/>
      <c r="CD288" s="293"/>
      <c r="CE288" s="293"/>
      <c r="CF288" s="293"/>
      <c r="CG288" s="293"/>
      <c r="CH288" s="293"/>
      <c r="CI288" s="293"/>
      <c r="CJ288" s="293"/>
      <c r="CK288" s="293"/>
      <c r="CL288" s="293"/>
      <c r="CM288" s="293"/>
      <c r="CN288" s="293"/>
      <c r="CO288" s="293"/>
      <c r="CP288" s="293">
        <f t="shared" si="5740"/>
        <v>0</v>
      </c>
    </row>
    <row r="289" spans="1:94" ht="12" customHeight="1">
      <c r="A289" s="679">
        <v>146</v>
      </c>
      <c r="B289" s="645" t="s">
        <v>277</v>
      </c>
      <c r="C289" s="646" t="s">
        <v>278</v>
      </c>
      <c r="D289" s="647" t="s">
        <v>516</v>
      </c>
      <c r="E289" s="648" t="s">
        <v>505</v>
      </c>
      <c r="F289" s="642">
        <v>34.770000000000003</v>
      </c>
      <c r="G289" s="642">
        <v>15.5</v>
      </c>
      <c r="H289" s="643">
        <f>F289*G289*365</f>
        <v>196711.27500000002</v>
      </c>
      <c r="I289" s="291">
        <v>52350.58</v>
      </c>
      <c r="J289" s="295">
        <f>ROUND(G289*F289*365/4,0)</f>
        <v>49178</v>
      </c>
      <c r="K289" s="292">
        <f>J289</f>
        <v>49178</v>
      </c>
      <c r="L289" s="293">
        <f>K289</f>
        <v>49178</v>
      </c>
      <c r="M289" s="293">
        <f>L289</f>
        <v>49178</v>
      </c>
      <c r="N289" s="293">
        <f>ROUND(M289*(1+取值表!$D$14)*取值表!$I$14,0)</f>
        <v>49192</v>
      </c>
      <c r="O289" s="293">
        <f>N289</f>
        <v>49192</v>
      </c>
      <c r="P289" s="293">
        <f>O289</f>
        <v>49192</v>
      </c>
      <c r="Q289" s="293">
        <f>P289</f>
        <v>49192</v>
      </c>
      <c r="R289" s="294">
        <f>ROUND(Q289*(1+取值表!$D$14),0)</f>
        <v>52291</v>
      </c>
      <c r="S289" s="293">
        <f t="shared" ref="S289:T289" si="6377">R289</f>
        <v>52291</v>
      </c>
      <c r="T289" s="293">
        <f t="shared" si="6377"/>
        <v>52291</v>
      </c>
      <c r="U289" s="293">
        <f>T289</f>
        <v>52291</v>
      </c>
      <c r="V289" s="293">
        <f>ROUND(U289*(1+取值表!$D$14),0)</f>
        <v>55585</v>
      </c>
      <c r="W289" s="293">
        <f t="shared" ref="W289:Y289" si="6378">V289</f>
        <v>55585</v>
      </c>
      <c r="X289" s="293">
        <f t="shared" si="6378"/>
        <v>55585</v>
      </c>
      <c r="Y289" s="293">
        <f t="shared" si="6378"/>
        <v>55585</v>
      </c>
      <c r="Z289" s="293">
        <f>ROUND(Y289*(1+取值表!$D$14),0)</f>
        <v>59087</v>
      </c>
      <c r="AA289" s="293">
        <f t="shared" ref="AA289" si="6379">Z289</f>
        <v>59087</v>
      </c>
      <c r="AB289" s="293">
        <f t="shared" ref="AB289" si="6380">AA289</f>
        <v>59087</v>
      </c>
      <c r="AC289" s="293">
        <f>AB289</f>
        <v>59087</v>
      </c>
      <c r="AD289" s="293">
        <f>ROUND(AC289*(1+取值表!$D$14),0)</f>
        <v>62809</v>
      </c>
      <c r="AE289" s="293">
        <f t="shared" ref="AE289" si="6381">AD289</f>
        <v>62809</v>
      </c>
      <c r="AF289" s="293">
        <f t="shared" ref="AF289" si="6382">AE289</f>
        <v>62809</v>
      </c>
      <c r="AG289" s="293">
        <f t="shared" ref="AG289" si="6383">AF289</f>
        <v>62809</v>
      </c>
      <c r="AH289" s="293">
        <f>ROUND(AG289*(1+取值表!$D$14),0)</f>
        <v>66766</v>
      </c>
      <c r="AI289" s="293">
        <f t="shared" ref="AI289" si="6384">AH289</f>
        <v>66766</v>
      </c>
      <c r="AJ289" s="293">
        <f t="shared" ref="AJ289" si="6385">AI289</f>
        <v>66766</v>
      </c>
      <c r="AK289" s="293">
        <f t="shared" ref="AK289" si="6386">AJ289</f>
        <v>66766</v>
      </c>
      <c r="AL289" s="293">
        <f>ROUND(AK289*(1+取值表!$D$14),0)</f>
        <v>70972</v>
      </c>
      <c r="AM289" s="293">
        <f t="shared" ref="AM289" si="6387">AL289</f>
        <v>70972</v>
      </c>
      <c r="AN289" s="293">
        <f t="shared" ref="AN289" si="6388">AM289</f>
        <v>70972</v>
      </c>
      <c r="AO289" s="293">
        <f t="shared" ref="AO289" si="6389">AN289</f>
        <v>70972</v>
      </c>
      <c r="AP289" s="293">
        <f>ROUND(AO289*(1+取值表!$D$14),0)</f>
        <v>75443</v>
      </c>
      <c r="AQ289" s="293">
        <f t="shared" ref="AQ289" si="6390">AP289</f>
        <v>75443</v>
      </c>
      <c r="AR289" s="293">
        <f t="shared" ref="AR289" si="6391">AQ289</f>
        <v>75443</v>
      </c>
      <c r="AS289" s="293">
        <f t="shared" ref="AS289" si="6392">AR289</f>
        <v>75443</v>
      </c>
      <c r="AT289" s="293">
        <f>ROUND(AS289*(1+取值表!$D$14),0)</f>
        <v>80196</v>
      </c>
      <c r="AU289" s="293">
        <f t="shared" ref="AU289" si="6393">AT289</f>
        <v>80196</v>
      </c>
      <c r="AV289" s="293">
        <f t="shared" ref="AV289" si="6394">AU289</f>
        <v>80196</v>
      </c>
      <c r="AW289" s="293">
        <f t="shared" ref="AW289" si="6395">AV289</f>
        <v>80196</v>
      </c>
      <c r="AX289" s="293">
        <f>ROUND(AW289*(1+取值表!$D$14),0)</f>
        <v>85248</v>
      </c>
      <c r="AY289" s="293">
        <f t="shared" ref="AY289" si="6396">AX289</f>
        <v>85248</v>
      </c>
      <c r="AZ289" s="293">
        <f t="shared" ref="AZ289" si="6397">AY289</f>
        <v>85248</v>
      </c>
      <c r="BA289" s="293">
        <f t="shared" ref="BA289" si="6398">AZ289</f>
        <v>85248</v>
      </c>
      <c r="BB289" s="293">
        <f>ROUND(BA289*(1+取值表!$D$14),0)</f>
        <v>90619</v>
      </c>
      <c r="BC289" s="293">
        <f>BB289</f>
        <v>90619</v>
      </c>
      <c r="BD289" s="293">
        <f t="shared" ref="BD289" si="6399">BC289</f>
        <v>90619</v>
      </c>
      <c r="BE289" s="293">
        <f>BD289</f>
        <v>90619</v>
      </c>
      <c r="BF289" s="293">
        <f>ROUND(BE289*(1+取值表!$D$14),0)</f>
        <v>96328</v>
      </c>
      <c r="BG289" s="293">
        <f>BF289</f>
        <v>96328</v>
      </c>
      <c r="BH289" s="293">
        <f t="shared" ref="BH289" si="6400">BG289</f>
        <v>96328</v>
      </c>
      <c r="BI289" s="293">
        <f t="shared" ref="BI289" si="6401">BH289</f>
        <v>96328</v>
      </c>
      <c r="BJ289" s="293">
        <f>ROUND(BI289*(1+取值表!$D$14),0)</f>
        <v>102397</v>
      </c>
      <c r="BK289" s="293">
        <f t="shared" ref="BK289" si="6402">BJ289</f>
        <v>102397</v>
      </c>
      <c r="BL289" s="293">
        <f t="shared" ref="BL289" si="6403">BK289</f>
        <v>102397</v>
      </c>
      <c r="BM289" s="293">
        <f t="shared" ref="BM289" si="6404">BL289</f>
        <v>102397</v>
      </c>
      <c r="BN289" s="293">
        <f>ROUND(BM289*(1+取值表!$D$14),0)</f>
        <v>108848</v>
      </c>
      <c r="BO289" s="293">
        <f t="shared" ref="BO289" si="6405">BN289</f>
        <v>108848</v>
      </c>
      <c r="BP289" s="293">
        <f t="shared" ref="BP289" si="6406">BO289</f>
        <v>108848</v>
      </c>
      <c r="BQ289" s="293">
        <f t="shared" ref="BQ289" si="6407">BP289</f>
        <v>108848</v>
      </c>
      <c r="BR289" s="293">
        <f>ROUND(BQ289*(1+取值表!$D$14),0)</f>
        <v>115705</v>
      </c>
      <c r="BS289" s="293">
        <f t="shared" ref="BS289" si="6408">BR289</f>
        <v>115705</v>
      </c>
      <c r="BT289" s="293">
        <f t="shared" ref="BT289" si="6409">BS289</f>
        <v>115705</v>
      </c>
      <c r="BU289" s="293">
        <f t="shared" ref="BU289" si="6410">BT289</f>
        <v>115705</v>
      </c>
      <c r="BV289" s="293">
        <f>ROUND(BU289*(1+取值表!$D$14),0)</f>
        <v>122994</v>
      </c>
      <c r="BW289" s="293">
        <f t="shared" ref="BW289" si="6411">BV289</f>
        <v>122994</v>
      </c>
      <c r="BX289" s="293">
        <f t="shared" ref="BX289" si="6412">BW289</f>
        <v>122994</v>
      </c>
      <c r="BY289" s="293">
        <f t="shared" ref="BY289" si="6413">BX289</f>
        <v>122994</v>
      </c>
      <c r="BZ289" s="293">
        <f>ROUND(BY289*(1+取值表!$D$14),0)</f>
        <v>130743</v>
      </c>
      <c r="CA289" s="293">
        <f t="shared" ref="CA289" si="6414">BZ289</f>
        <v>130743</v>
      </c>
      <c r="CB289" s="293">
        <f t="shared" ref="CB289" si="6415">CA289</f>
        <v>130743</v>
      </c>
      <c r="CC289" s="293">
        <f t="shared" ref="CC289" si="6416">CB289</f>
        <v>130743</v>
      </c>
      <c r="CD289" s="293">
        <f>ROUND(CC289*(1+取值表!$D$14),0)</f>
        <v>138980</v>
      </c>
      <c r="CE289" s="293">
        <f t="shared" ref="CE289" si="6417">CD289</f>
        <v>138980</v>
      </c>
      <c r="CF289" s="293">
        <f t="shared" ref="CF289" si="6418">CE289</f>
        <v>138980</v>
      </c>
      <c r="CG289" s="293">
        <f t="shared" ref="CG289" si="6419">CF289</f>
        <v>138980</v>
      </c>
      <c r="CH289" s="293">
        <f>ROUND(CG289*(1+取值表!$D$14),0)</f>
        <v>147736</v>
      </c>
      <c r="CI289" s="293">
        <f>CH289</f>
        <v>147736</v>
      </c>
      <c r="CJ289" s="293">
        <f t="shared" ref="CJ289" si="6420">CI289</f>
        <v>147736</v>
      </c>
      <c r="CK289" s="293">
        <f t="shared" ref="CK289" si="6421">CJ289</f>
        <v>147736</v>
      </c>
      <c r="CL289" s="293">
        <f>ROUND(CK289*(1+取值表!$D$14),0)</f>
        <v>157043</v>
      </c>
      <c r="CM289" s="293">
        <f>CL289</f>
        <v>157043</v>
      </c>
      <c r="CN289" s="293">
        <f t="shared" ref="CN289" si="6422">CM289</f>
        <v>157043</v>
      </c>
      <c r="CO289" s="293">
        <f t="shared" ref="CO289" si="6423">CN289</f>
        <v>157043</v>
      </c>
      <c r="CP289" s="293">
        <f t="shared" si="5740"/>
        <v>7672640</v>
      </c>
    </row>
    <row r="290" spans="1:94">
      <c r="A290" s="680"/>
      <c r="B290" s="645"/>
      <c r="C290" s="646"/>
      <c r="D290" s="647"/>
      <c r="E290" s="648"/>
      <c r="F290" s="642"/>
      <c r="G290" s="642"/>
      <c r="H290" s="643"/>
      <c r="I290" s="291"/>
      <c r="J290" s="295"/>
      <c r="K290" s="293"/>
      <c r="L290" s="293"/>
      <c r="M290" s="293"/>
      <c r="N290" s="293"/>
      <c r="O290" s="293"/>
      <c r="P290" s="293"/>
      <c r="Q290" s="293"/>
      <c r="R290" s="293"/>
      <c r="S290" s="293"/>
      <c r="T290" s="293"/>
      <c r="U290" s="293"/>
      <c r="V290" s="293"/>
      <c r="W290" s="293"/>
      <c r="X290" s="293"/>
      <c r="Y290" s="293"/>
      <c r="Z290" s="293"/>
      <c r="AA290" s="293"/>
      <c r="AB290" s="293"/>
      <c r="AC290" s="293"/>
      <c r="AD290" s="293"/>
      <c r="AE290" s="293"/>
      <c r="AF290" s="293"/>
      <c r="AG290" s="293"/>
      <c r="AH290" s="293"/>
      <c r="AI290" s="293"/>
      <c r="AJ290" s="293"/>
      <c r="AK290" s="293"/>
      <c r="AL290" s="293"/>
      <c r="AM290" s="293"/>
      <c r="AN290" s="293"/>
      <c r="AO290" s="293"/>
      <c r="AP290" s="293"/>
      <c r="AQ290" s="293"/>
      <c r="AR290" s="293"/>
      <c r="AS290" s="293"/>
      <c r="AT290" s="293"/>
      <c r="AU290" s="293"/>
      <c r="AV290" s="293"/>
      <c r="AW290" s="293"/>
      <c r="AX290" s="293"/>
      <c r="AY290" s="293"/>
      <c r="AZ290" s="293"/>
      <c r="BA290" s="293"/>
      <c r="BB290" s="293"/>
      <c r="BC290" s="293"/>
      <c r="BD290" s="293"/>
      <c r="BE290" s="293"/>
      <c r="BF290" s="293"/>
      <c r="BG290" s="293"/>
      <c r="BH290" s="293"/>
      <c r="BI290" s="293"/>
      <c r="BJ290" s="293"/>
      <c r="BK290" s="293"/>
      <c r="BL290" s="293"/>
      <c r="BM290" s="293"/>
      <c r="BN290" s="293"/>
      <c r="BO290" s="293"/>
      <c r="BP290" s="293"/>
      <c r="BQ290" s="293"/>
      <c r="BR290" s="293"/>
      <c r="BS290" s="293"/>
      <c r="BT290" s="293"/>
      <c r="BU290" s="293"/>
      <c r="BV290" s="293"/>
      <c r="BW290" s="293"/>
      <c r="BX290" s="293"/>
      <c r="BY290" s="293"/>
      <c r="BZ290" s="293"/>
      <c r="CA290" s="293"/>
      <c r="CB290" s="293"/>
      <c r="CC290" s="293"/>
      <c r="CD290" s="293"/>
      <c r="CE290" s="293"/>
      <c r="CF290" s="293"/>
      <c r="CG290" s="293"/>
      <c r="CH290" s="293"/>
      <c r="CI290" s="293"/>
      <c r="CJ290" s="293"/>
      <c r="CK290" s="293"/>
      <c r="CL290" s="293"/>
      <c r="CM290" s="293"/>
      <c r="CN290" s="293"/>
      <c r="CO290" s="293"/>
      <c r="CP290" s="293">
        <f t="shared" si="5740"/>
        <v>0</v>
      </c>
    </row>
    <row r="291" spans="1:94">
      <c r="A291" s="679">
        <v>147</v>
      </c>
      <c r="B291" s="645" t="s">
        <v>279</v>
      </c>
      <c r="C291" s="646" t="s">
        <v>747</v>
      </c>
      <c r="D291" s="647" t="s">
        <v>517</v>
      </c>
      <c r="E291" s="648" t="s">
        <v>505</v>
      </c>
      <c r="F291" s="642">
        <v>36.630000000000003</v>
      </c>
      <c r="G291" s="642">
        <v>16</v>
      </c>
      <c r="H291" s="643">
        <f>F291*G291*365</f>
        <v>213919.2</v>
      </c>
      <c r="I291" s="291">
        <v>53479.8</v>
      </c>
      <c r="J291" s="295">
        <f>ROUND(G291*F291*365/4,0)</f>
        <v>53480</v>
      </c>
      <c r="K291" s="292">
        <f>J291</f>
        <v>53480</v>
      </c>
      <c r="L291" s="293">
        <f>K291</f>
        <v>53480</v>
      </c>
      <c r="M291" s="293">
        <f>L291</f>
        <v>53480</v>
      </c>
      <c r="N291" s="293">
        <f>ROUND(M291*(1+取值表!$D$14)*取值表!$I$14,0)</f>
        <v>53495</v>
      </c>
      <c r="O291" s="293">
        <f>N291</f>
        <v>53495</v>
      </c>
      <c r="P291" s="293">
        <f>O291</f>
        <v>53495</v>
      </c>
      <c r="Q291" s="293">
        <f>P291</f>
        <v>53495</v>
      </c>
      <c r="R291" s="294">
        <f>ROUND(Q291*(1+取值表!$D$14),0)</f>
        <v>56865</v>
      </c>
      <c r="S291" s="293">
        <f t="shared" ref="S291:T291" si="6424">R291</f>
        <v>56865</v>
      </c>
      <c r="T291" s="293">
        <f t="shared" si="6424"/>
        <v>56865</v>
      </c>
      <c r="U291" s="293">
        <f>T291</f>
        <v>56865</v>
      </c>
      <c r="V291" s="293">
        <f>ROUND(U291*(1+取值表!$D$14),0)</f>
        <v>60447</v>
      </c>
      <c r="W291" s="293">
        <f t="shared" ref="W291:Y291" si="6425">V291</f>
        <v>60447</v>
      </c>
      <c r="X291" s="293">
        <f t="shared" si="6425"/>
        <v>60447</v>
      </c>
      <c r="Y291" s="293">
        <f t="shared" si="6425"/>
        <v>60447</v>
      </c>
      <c r="Z291" s="293">
        <f>ROUND(Y291*(1+取值表!$D$14),0)</f>
        <v>64255</v>
      </c>
      <c r="AA291" s="293">
        <f t="shared" ref="AA291" si="6426">Z291</f>
        <v>64255</v>
      </c>
      <c r="AB291" s="293">
        <f t="shared" ref="AB291" si="6427">AA291</f>
        <v>64255</v>
      </c>
      <c r="AC291" s="293">
        <f>AB291</f>
        <v>64255</v>
      </c>
      <c r="AD291" s="293">
        <f>ROUND(AC291*(1+取值表!$D$14),0)</f>
        <v>68303</v>
      </c>
      <c r="AE291" s="293">
        <f t="shared" ref="AE291" si="6428">AD291</f>
        <v>68303</v>
      </c>
      <c r="AF291" s="293">
        <f t="shared" ref="AF291" si="6429">AE291</f>
        <v>68303</v>
      </c>
      <c r="AG291" s="293">
        <f t="shared" ref="AG291" si="6430">AF291</f>
        <v>68303</v>
      </c>
      <c r="AH291" s="293">
        <f>ROUND(AG291*(1+取值表!$D$14),0)</f>
        <v>72606</v>
      </c>
      <c r="AI291" s="293">
        <f t="shared" ref="AI291" si="6431">AH291</f>
        <v>72606</v>
      </c>
      <c r="AJ291" s="293">
        <f t="shared" ref="AJ291" si="6432">AI291</f>
        <v>72606</v>
      </c>
      <c r="AK291" s="293">
        <f t="shared" ref="AK291" si="6433">AJ291</f>
        <v>72606</v>
      </c>
      <c r="AL291" s="293">
        <f>ROUND(AK291*(1+取值表!$D$14),0)</f>
        <v>77180</v>
      </c>
      <c r="AM291" s="293">
        <f t="shared" ref="AM291" si="6434">AL291</f>
        <v>77180</v>
      </c>
      <c r="AN291" s="293">
        <f t="shared" ref="AN291" si="6435">AM291</f>
        <v>77180</v>
      </c>
      <c r="AO291" s="293">
        <f t="shared" ref="AO291" si="6436">AN291</f>
        <v>77180</v>
      </c>
      <c r="AP291" s="293">
        <f>ROUND(AO291*(1+取值表!$D$14),0)</f>
        <v>82042</v>
      </c>
      <c r="AQ291" s="293">
        <f t="shared" ref="AQ291" si="6437">AP291</f>
        <v>82042</v>
      </c>
      <c r="AR291" s="293">
        <f t="shared" ref="AR291" si="6438">AQ291</f>
        <v>82042</v>
      </c>
      <c r="AS291" s="293">
        <f t="shared" ref="AS291" si="6439">AR291</f>
        <v>82042</v>
      </c>
      <c r="AT291" s="293">
        <f>ROUND(AS291*(1+取值表!$D$14),0)</f>
        <v>87211</v>
      </c>
      <c r="AU291" s="293">
        <f t="shared" ref="AU291" si="6440">AT291</f>
        <v>87211</v>
      </c>
      <c r="AV291" s="293">
        <f t="shared" ref="AV291" si="6441">AU291</f>
        <v>87211</v>
      </c>
      <c r="AW291" s="293">
        <f t="shared" ref="AW291" si="6442">AV291</f>
        <v>87211</v>
      </c>
      <c r="AX291" s="293">
        <f>ROUND(AW291*(1+取值表!$D$14),0)</f>
        <v>92705</v>
      </c>
      <c r="AY291" s="293">
        <f t="shared" ref="AY291" si="6443">AX291</f>
        <v>92705</v>
      </c>
      <c r="AZ291" s="293">
        <f t="shared" ref="AZ291" si="6444">AY291</f>
        <v>92705</v>
      </c>
      <c r="BA291" s="293">
        <f t="shared" ref="BA291" si="6445">AZ291</f>
        <v>92705</v>
      </c>
      <c r="BB291" s="293">
        <f>ROUND(BA291*(1+取值表!$D$14),0)</f>
        <v>98545</v>
      </c>
      <c r="BC291" s="293">
        <f>BB291</f>
        <v>98545</v>
      </c>
      <c r="BD291" s="293">
        <f t="shared" ref="BD291" si="6446">BC291</f>
        <v>98545</v>
      </c>
      <c r="BE291" s="293">
        <f>BD291</f>
        <v>98545</v>
      </c>
      <c r="BF291" s="293">
        <f>ROUND(BE291*(1+取值表!$D$14),0)</f>
        <v>104753</v>
      </c>
      <c r="BG291" s="293">
        <f>BF291</f>
        <v>104753</v>
      </c>
      <c r="BH291" s="293">
        <f t="shared" ref="BH291" si="6447">BG291</f>
        <v>104753</v>
      </c>
      <c r="BI291" s="293">
        <f t="shared" ref="BI291" si="6448">BH291</f>
        <v>104753</v>
      </c>
      <c r="BJ291" s="293">
        <f>ROUND(BI291*(1+取值表!$D$14),0)</f>
        <v>111352</v>
      </c>
      <c r="BK291" s="293">
        <f t="shared" ref="BK291" si="6449">BJ291</f>
        <v>111352</v>
      </c>
      <c r="BL291" s="293">
        <f t="shared" ref="BL291" si="6450">BK291</f>
        <v>111352</v>
      </c>
      <c r="BM291" s="293">
        <f t="shared" ref="BM291" si="6451">BL291</f>
        <v>111352</v>
      </c>
      <c r="BN291" s="293">
        <f>ROUND(BM291*(1+取值表!$D$14),0)</f>
        <v>118367</v>
      </c>
      <c r="BO291" s="293">
        <f t="shared" ref="BO291" si="6452">BN291</f>
        <v>118367</v>
      </c>
      <c r="BP291" s="293">
        <f t="shared" ref="BP291" si="6453">BO291</f>
        <v>118367</v>
      </c>
      <c r="BQ291" s="293">
        <f t="shared" ref="BQ291" si="6454">BP291</f>
        <v>118367</v>
      </c>
      <c r="BR291" s="293">
        <f>ROUND(BQ291*(1+取值表!$D$14),0)</f>
        <v>125824</v>
      </c>
      <c r="BS291" s="293">
        <f t="shared" ref="BS291" si="6455">BR291</f>
        <v>125824</v>
      </c>
      <c r="BT291" s="293">
        <f t="shared" ref="BT291" si="6456">BS291</f>
        <v>125824</v>
      </c>
      <c r="BU291" s="293">
        <f t="shared" ref="BU291" si="6457">BT291</f>
        <v>125824</v>
      </c>
      <c r="BV291" s="293">
        <f>ROUND(BU291*(1+取值表!$D$14),0)</f>
        <v>133751</v>
      </c>
      <c r="BW291" s="293">
        <f t="shared" ref="BW291" si="6458">BV291</f>
        <v>133751</v>
      </c>
      <c r="BX291" s="293">
        <f t="shared" ref="BX291" si="6459">BW291</f>
        <v>133751</v>
      </c>
      <c r="BY291" s="293">
        <f t="shared" ref="BY291" si="6460">BX291</f>
        <v>133751</v>
      </c>
      <c r="BZ291" s="293">
        <f>ROUND(BY291*(1+取值表!$D$14),0)</f>
        <v>142177</v>
      </c>
      <c r="CA291" s="293">
        <f t="shared" ref="CA291" si="6461">BZ291</f>
        <v>142177</v>
      </c>
      <c r="CB291" s="293">
        <f t="shared" ref="CB291" si="6462">CA291</f>
        <v>142177</v>
      </c>
      <c r="CC291" s="293">
        <f t="shared" ref="CC291" si="6463">CB291</f>
        <v>142177</v>
      </c>
      <c r="CD291" s="293">
        <f>ROUND(CC291*(1+取值表!$D$14),0)</f>
        <v>151134</v>
      </c>
      <c r="CE291" s="293">
        <f t="shared" ref="CE291" si="6464">CD291</f>
        <v>151134</v>
      </c>
      <c r="CF291" s="293">
        <f t="shared" ref="CF291" si="6465">CE291</f>
        <v>151134</v>
      </c>
      <c r="CG291" s="293">
        <f t="shared" ref="CG291" si="6466">CF291</f>
        <v>151134</v>
      </c>
      <c r="CH291" s="293">
        <f>ROUND(CG291*(1+取值表!$D$14),0)</f>
        <v>160655</v>
      </c>
      <c r="CI291" s="293">
        <f>CH291</f>
        <v>160655</v>
      </c>
      <c r="CJ291" s="293">
        <f t="shared" ref="CJ291" si="6467">CI291</f>
        <v>160655</v>
      </c>
      <c r="CK291" s="293">
        <f t="shared" ref="CK291" si="6468">CJ291</f>
        <v>160655</v>
      </c>
      <c r="CL291" s="293">
        <f>ROUND(CK291*(1+取值表!$D$14),0)</f>
        <v>170776</v>
      </c>
      <c r="CM291" s="293">
        <f>CL291</f>
        <v>170776</v>
      </c>
      <c r="CN291" s="293">
        <f t="shared" ref="CN291" si="6469">CM291</f>
        <v>170776</v>
      </c>
      <c r="CO291" s="293">
        <f t="shared" ref="CO291" si="6470">CN291</f>
        <v>170776</v>
      </c>
      <c r="CP291" s="293">
        <f t="shared" si="5740"/>
        <v>8343692</v>
      </c>
    </row>
    <row r="292" spans="1:94">
      <c r="A292" s="680"/>
      <c r="B292" s="645"/>
      <c r="C292" s="646"/>
      <c r="D292" s="647"/>
      <c r="E292" s="648"/>
      <c r="F292" s="642"/>
      <c r="G292" s="642"/>
      <c r="H292" s="643"/>
      <c r="I292" s="291"/>
      <c r="J292" s="295"/>
      <c r="K292" s="293"/>
      <c r="L292" s="293"/>
      <c r="M292" s="293"/>
      <c r="N292" s="293"/>
      <c r="O292" s="293"/>
      <c r="P292" s="293"/>
      <c r="Q292" s="293"/>
      <c r="R292" s="293"/>
      <c r="S292" s="293"/>
      <c r="T292" s="293"/>
      <c r="U292" s="293"/>
      <c r="V292" s="293"/>
      <c r="W292" s="293"/>
      <c r="X292" s="293"/>
      <c r="Y292" s="293"/>
      <c r="Z292" s="293"/>
      <c r="AA292" s="293"/>
      <c r="AB292" s="293"/>
      <c r="AC292" s="293"/>
      <c r="AD292" s="293"/>
      <c r="AE292" s="293"/>
      <c r="AF292" s="293"/>
      <c r="AG292" s="293"/>
      <c r="AH292" s="293"/>
      <c r="AI292" s="293"/>
      <c r="AJ292" s="293"/>
      <c r="AK292" s="293"/>
      <c r="AL292" s="293"/>
      <c r="AM292" s="293"/>
      <c r="AN292" s="293"/>
      <c r="AO292" s="293"/>
      <c r="AP292" s="293"/>
      <c r="AQ292" s="293"/>
      <c r="AR292" s="293"/>
      <c r="AS292" s="293"/>
      <c r="AT292" s="293"/>
      <c r="AU292" s="293"/>
      <c r="AV292" s="293"/>
      <c r="AW292" s="293"/>
      <c r="AX292" s="293"/>
      <c r="AY292" s="293"/>
      <c r="AZ292" s="293"/>
      <c r="BA292" s="293"/>
      <c r="BB292" s="293"/>
      <c r="BC292" s="293"/>
      <c r="BD292" s="293"/>
      <c r="BE292" s="293"/>
      <c r="BF292" s="293"/>
      <c r="BG292" s="293"/>
      <c r="BH292" s="293"/>
      <c r="BI292" s="293"/>
      <c r="BJ292" s="293"/>
      <c r="BK292" s="293"/>
      <c r="BL292" s="293"/>
      <c r="BM292" s="293"/>
      <c r="BN292" s="293"/>
      <c r="BO292" s="293"/>
      <c r="BP292" s="293"/>
      <c r="BQ292" s="293"/>
      <c r="BR292" s="293"/>
      <c r="BS292" s="293"/>
      <c r="BT292" s="293"/>
      <c r="BU292" s="293"/>
      <c r="BV292" s="293"/>
      <c r="BW292" s="293"/>
      <c r="BX292" s="293"/>
      <c r="BY292" s="293"/>
      <c r="BZ292" s="293"/>
      <c r="CA292" s="293"/>
      <c r="CB292" s="293"/>
      <c r="CC292" s="293"/>
      <c r="CD292" s="293"/>
      <c r="CE292" s="293"/>
      <c r="CF292" s="293"/>
      <c r="CG292" s="293"/>
      <c r="CH292" s="293"/>
      <c r="CI292" s="293"/>
      <c r="CJ292" s="293"/>
      <c r="CK292" s="293"/>
      <c r="CL292" s="293"/>
      <c r="CM292" s="293"/>
      <c r="CN292" s="293"/>
      <c r="CO292" s="293"/>
      <c r="CP292" s="293">
        <f t="shared" si="5740"/>
        <v>0</v>
      </c>
    </row>
    <row r="293" spans="1:94">
      <c r="A293" s="679">
        <v>148</v>
      </c>
      <c r="B293" s="645" t="s">
        <v>280</v>
      </c>
      <c r="C293" s="646" t="s">
        <v>748</v>
      </c>
      <c r="D293" s="647" t="s">
        <v>518</v>
      </c>
      <c r="E293" s="648" t="s">
        <v>505</v>
      </c>
      <c r="F293" s="642">
        <v>244.27</v>
      </c>
      <c r="G293" s="642">
        <v>13.5</v>
      </c>
      <c r="H293" s="643">
        <f>F293*G293*365</f>
        <v>1203640.425</v>
      </c>
      <c r="I293" s="291">
        <v>300910.11</v>
      </c>
      <c r="J293" s="295">
        <f>ROUND(G293*F293*365/4,0)</f>
        <v>300910</v>
      </c>
      <c r="K293" s="293">
        <f>J293</f>
        <v>300910</v>
      </c>
      <c r="L293" s="293">
        <f t="shared" ref="L293:V293" si="6471">K293</f>
        <v>300910</v>
      </c>
      <c r="M293" s="293">
        <f t="shared" si="6471"/>
        <v>300910</v>
      </c>
      <c r="N293" s="293">
        <f t="shared" si="6471"/>
        <v>300910</v>
      </c>
      <c r="O293" s="293">
        <f>N293</f>
        <v>300910</v>
      </c>
      <c r="P293" s="293">
        <f>O293</f>
        <v>300910</v>
      </c>
      <c r="Q293" s="293">
        <f>P293</f>
        <v>300910</v>
      </c>
      <c r="R293" s="293">
        <f t="shared" si="6471"/>
        <v>300910</v>
      </c>
      <c r="S293" s="293">
        <f t="shared" si="6471"/>
        <v>300910</v>
      </c>
      <c r="T293" s="293">
        <f t="shared" si="6471"/>
        <v>300910</v>
      </c>
      <c r="U293" s="293">
        <f>T293</f>
        <v>300910</v>
      </c>
      <c r="V293" s="292">
        <f t="shared" si="6471"/>
        <v>300910</v>
      </c>
      <c r="W293" s="293">
        <f t="shared" ref="W293:AB293" si="6472">V293</f>
        <v>300910</v>
      </c>
      <c r="X293" s="293">
        <f t="shared" si="6472"/>
        <v>300910</v>
      </c>
      <c r="Y293" s="293">
        <f t="shared" si="6472"/>
        <v>300910</v>
      </c>
      <c r="Z293" s="293">
        <f>ROUND(Y293*(1+取值表!$E$14)*取值表!$I$14,0)</f>
        <v>300995</v>
      </c>
      <c r="AA293" s="293">
        <f t="shared" si="6472"/>
        <v>300995</v>
      </c>
      <c r="AB293" s="293">
        <f t="shared" si="6472"/>
        <v>300995</v>
      </c>
      <c r="AC293" s="293">
        <f>AB293</f>
        <v>300995</v>
      </c>
      <c r="AD293" s="294">
        <f>ROUND(AC293*(1+取值表!$E$14),0)</f>
        <v>319958</v>
      </c>
      <c r="AE293" s="293">
        <f t="shared" ref="AE293:AG293" si="6473">AD293</f>
        <v>319958</v>
      </c>
      <c r="AF293" s="293">
        <f t="shared" si="6473"/>
        <v>319958</v>
      </c>
      <c r="AG293" s="293">
        <f t="shared" si="6473"/>
        <v>319958</v>
      </c>
      <c r="AH293" s="293">
        <f>ROUND(AG293*(1+取值表!$E$14),0)</f>
        <v>340115</v>
      </c>
      <c r="AI293" s="293">
        <f t="shared" ref="AI293" si="6474">AH293</f>
        <v>340115</v>
      </c>
      <c r="AJ293" s="293">
        <f t="shared" ref="AJ293" si="6475">AI293</f>
        <v>340115</v>
      </c>
      <c r="AK293" s="293">
        <f t="shared" ref="AK293" si="6476">AJ293</f>
        <v>340115</v>
      </c>
      <c r="AL293" s="293">
        <f>ROUND(AK293*(1+取值表!$E$14),0)</f>
        <v>361542</v>
      </c>
      <c r="AM293" s="293">
        <f t="shared" ref="AM293" si="6477">AL293</f>
        <v>361542</v>
      </c>
      <c r="AN293" s="293">
        <f t="shared" ref="AN293" si="6478">AM293</f>
        <v>361542</v>
      </c>
      <c r="AO293" s="293">
        <f t="shared" ref="AO293" si="6479">AN293</f>
        <v>361542</v>
      </c>
      <c r="AP293" s="293">
        <f>ROUND(AO293*(1+取值表!$E$14),0)</f>
        <v>384319</v>
      </c>
      <c r="AQ293" s="293">
        <f t="shared" ref="AQ293" si="6480">AP293</f>
        <v>384319</v>
      </c>
      <c r="AR293" s="293">
        <f t="shared" ref="AR293" si="6481">AQ293</f>
        <v>384319</v>
      </c>
      <c r="AS293" s="293">
        <f t="shared" ref="AS293" si="6482">AR293</f>
        <v>384319</v>
      </c>
      <c r="AT293" s="293">
        <f>ROUND(AS293*(1+取值表!$E$14),0)</f>
        <v>408531</v>
      </c>
      <c r="AU293" s="293">
        <f t="shared" ref="AU293" si="6483">AT293</f>
        <v>408531</v>
      </c>
      <c r="AV293" s="293">
        <f t="shared" ref="AV293" si="6484">AU293</f>
        <v>408531</v>
      </c>
      <c r="AW293" s="293">
        <f t="shared" ref="AW293" si="6485">AV293</f>
        <v>408531</v>
      </c>
      <c r="AX293" s="293">
        <f>ROUND(AW293*(1+取值表!$E$14),0)</f>
        <v>434268</v>
      </c>
      <c r="AY293" s="293">
        <f t="shared" ref="AY293" si="6486">AX293</f>
        <v>434268</v>
      </c>
      <c r="AZ293" s="293">
        <f t="shared" ref="AZ293" si="6487">AY293</f>
        <v>434268</v>
      </c>
      <c r="BA293" s="293">
        <f t="shared" ref="BA293" si="6488">AZ293</f>
        <v>434268</v>
      </c>
      <c r="BB293" s="293">
        <f>ROUND(BA293*(1+取值表!$E$14),0)</f>
        <v>461627</v>
      </c>
      <c r="BC293" s="293">
        <f>BB293</f>
        <v>461627</v>
      </c>
      <c r="BD293" s="293">
        <f t="shared" ref="BD293" si="6489">BC293</f>
        <v>461627</v>
      </c>
      <c r="BE293" s="293">
        <f>BD293</f>
        <v>461627</v>
      </c>
      <c r="BF293" s="293">
        <f>ROUND(BE293*(1+取值表!$E$14),0)</f>
        <v>490710</v>
      </c>
      <c r="BG293" s="293">
        <f>BF293</f>
        <v>490710</v>
      </c>
      <c r="BH293" s="293">
        <f t="shared" ref="BH293" si="6490">BG293</f>
        <v>490710</v>
      </c>
      <c r="BI293" s="293">
        <f t="shared" ref="BI293" si="6491">BH293</f>
        <v>490710</v>
      </c>
      <c r="BJ293" s="293">
        <f>ROUND(BI293*(1+取值表!$E$14),0)</f>
        <v>521625</v>
      </c>
      <c r="BK293" s="293">
        <f t="shared" ref="BK293" si="6492">BJ293</f>
        <v>521625</v>
      </c>
      <c r="BL293" s="293">
        <f t="shared" ref="BL293" si="6493">BK293</f>
        <v>521625</v>
      </c>
      <c r="BM293" s="293">
        <f t="shared" ref="BM293" si="6494">BL293</f>
        <v>521625</v>
      </c>
      <c r="BN293" s="293">
        <f>ROUND(BM293*(1+取值表!$E$14),0)</f>
        <v>554487</v>
      </c>
      <c r="BO293" s="293">
        <f t="shared" ref="BO293" si="6495">BN293</f>
        <v>554487</v>
      </c>
      <c r="BP293" s="293">
        <f t="shared" ref="BP293" si="6496">BO293</f>
        <v>554487</v>
      </c>
      <c r="BQ293" s="293">
        <f t="shared" ref="BQ293" si="6497">BP293</f>
        <v>554487</v>
      </c>
      <c r="BR293" s="293">
        <f>ROUND(BQ293*(1+取值表!$E$14),0)</f>
        <v>589420</v>
      </c>
      <c r="BS293" s="293">
        <f t="shared" ref="BS293" si="6498">BR293</f>
        <v>589420</v>
      </c>
      <c r="BT293" s="293">
        <f t="shared" ref="BT293" si="6499">BS293</f>
        <v>589420</v>
      </c>
      <c r="BU293" s="293">
        <f t="shared" ref="BU293" si="6500">BT293</f>
        <v>589420</v>
      </c>
      <c r="BV293" s="293">
        <f>ROUND(BU293*(1+取值表!$E$14),0)</f>
        <v>626553</v>
      </c>
      <c r="BW293" s="293">
        <f t="shared" ref="BW293" si="6501">BV293</f>
        <v>626553</v>
      </c>
      <c r="BX293" s="293">
        <f t="shared" ref="BX293" si="6502">BW293</f>
        <v>626553</v>
      </c>
      <c r="BY293" s="293">
        <f t="shared" ref="BY293" si="6503">BX293</f>
        <v>626553</v>
      </c>
      <c r="BZ293" s="293">
        <f>ROUND(BY293*(1+取值表!$E$14),0)</f>
        <v>666026</v>
      </c>
      <c r="CA293" s="293">
        <f t="shared" ref="CA293" si="6504">BZ293</f>
        <v>666026</v>
      </c>
      <c r="CB293" s="293">
        <f t="shared" ref="CB293" si="6505">CA293</f>
        <v>666026</v>
      </c>
      <c r="CC293" s="293">
        <f t="shared" ref="CC293" si="6506">CB293</f>
        <v>666026</v>
      </c>
      <c r="CD293" s="293">
        <f>ROUND(CC293*(1+取值表!$E$14),0)</f>
        <v>707986</v>
      </c>
      <c r="CE293" s="293">
        <f t="shared" ref="CE293" si="6507">CD293</f>
        <v>707986</v>
      </c>
      <c r="CF293" s="293">
        <f t="shared" ref="CF293" si="6508">CE293</f>
        <v>707986</v>
      </c>
      <c r="CG293" s="293">
        <f t="shared" ref="CG293" si="6509">CF293</f>
        <v>707986</v>
      </c>
      <c r="CH293" s="293">
        <f>ROUND(CG293*(1+取值表!$E$14),0)</f>
        <v>752589</v>
      </c>
      <c r="CI293" s="293">
        <f>CH293</f>
        <v>752589</v>
      </c>
      <c r="CJ293" s="293">
        <f t="shared" ref="CJ293" si="6510">CI293</f>
        <v>752589</v>
      </c>
      <c r="CK293" s="293">
        <f t="shared" ref="CK293" si="6511">CJ293</f>
        <v>752589</v>
      </c>
      <c r="CL293" s="293">
        <f>ROUND(CK293*(1+取值表!$E$14),0)</f>
        <v>800002</v>
      </c>
      <c r="CM293" s="293">
        <f>CL293</f>
        <v>800002</v>
      </c>
      <c r="CN293" s="293">
        <f t="shared" ref="CN293" si="6512">CM293</f>
        <v>800002</v>
      </c>
      <c r="CO293" s="293">
        <f t="shared" ref="CO293" si="6513">CN293</f>
        <v>800002</v>
      </c>
      <c r="CP293" s="293">
        <f t="shared" si="5740"/>
        <v>39697572</v>
      </c>
    </row>
    <row r="294" spans="1:94">
      <c r="A294" s="680"/>
      <c r="B294" s="645"/>
      <c r="C294" s="646"/>
      <c r="D294" s="647"/>
      <c r="E294" s="648"/>
      <c r="F294" s="642"/>
      <c r="G294" s="642"/>
      <c r="H294" s="643"/>
      <c r="I294" s="291"/>
      <c r="J294" s="295"/>
      <c r="K294" s="293"/>
      <c r="L294" s="293"/>
      <c r="M294" s="293"/>
      <c r="N294" s="293"/>
      <c r="O294" s="293"/>
      <c r="P294" s="293"/>
      <c r="Q294" s="293"/>
      <c r="R294" s="293"/>
      <c r="S294" s="293"/>
      <c r="T294" s="293"/>
      <c r="U294" s="293"/>
      <c r="V294" s="293"/>
      <c r="W294" s="293"/>
      <c r="X294" s="293"/>
      <c r="Y294" s="293"/>
      <c r="Z294" s="293"/>
      <c r="AA294" s="293"/>
      <c r="AB294" s="293"/>
      <c r="AC294" s="293"/>
      <c r="AD294" s="293"/>
      <c r="AE294" s="293"/>
      <c r="AF294" s="293"/>
      <c r="AG294" s="293"/>
      <c r="AH294" s="293"/>
      <c r="AI294" s="293"/>
      <c r="AJ294" s="293"/>
      <c r="AK294" s="293"/>
      <c r="AL294" s="293"/>
      <c r="AM294" s="293"/>
      <c r="AN294" s="293"/>
      <c r="AO294" s="293"/>
      <c r="AP294" s="293"/>
      <c r="AQ294" s="293"/>
      <c r="AR294" s="293"/>
      <c r="AS294" s="293"/>
      <c r="AT294" s="293"/>
      <c r="AU294" s="293"/>
      <c r="AV294" s="293"/>
      <c r="AW294" s="293"/>
      <c r="AX294" s="293"/>
      <c r="AY294" s="293"/>
      <c r="AZ294" s="293"/>
      <c r="BA294" s="293"/>
      <c r="BB294" s="293"/>
      <c r="BC294" s="293"/>
      <c r="BD294" s="293"/>
      <c r="BE294" s="293"/>
      <c r="BF294" s="293"/>
      <c r="BG294" s="293"/>
      <c r="BH294" s="293"/>
      <c r="BI294" s="293"/>
      <c r="BJ294" s="293"/>
      <c r="BK294" s="293"/>
      <c r="BL294" s="293"/>
      <c r="BM294" s="293"/>
      <c r="BN294" s="293"/>
      <c r="BO294" s="293"/>
      <c r="BP294" s="293"/>
      <c r="BQ294" s="293"/>
      <c r="BR294" s="293"/>
      <c r="BS294" s="293"/>
      <c r="BT294" s="293"/>
      <c r="BU294" s="293"/>
      <c r="BV294" s="293"/>
      <c r="BW294" s="293"/>
      <c r="BX294" s="293"/>
      <c r="BY294" s="293"/>
      <c r="BZ294" s="293"/>
      <c r="CA294" s="293"/>
      <c r="CB294" s="293"/>
      <c r="CC294" s="293"/>
      <c r="CD294" s="293"/>
      <c r="CE294" s="293"/>
      <c r="CF294" s="293"/>
      <c r="CG294" s="293"/>
      <c r="CH294" s="293"/>
      <c r="CI294" s="293"/>
      <c r="CJ294" s="293"/>
      <c r="CK294" s="293"/>
      <c r="CL294" s="293"/>
      <c r="CM294" s="293"/>
      <c r="CN294" s="293"/>
      <c r="CO294" s="293"/>
      <c r="CP294" s="293">
        <f t="shared" si="5740"/>
        <v>0</v>
      </c>
    </row>
    <row r="295" spans="1:94" s="299" customFormat="1">
      <c r="A295" s="679">
        <v>149</v>
      </c>
      <c r="B295" s="658" t="s">
        <v>281</v>
      </c>
      <c r="C295" s="659" t="s">
        <v>282</v>
      </c>
      <c r="D295" s="647" t="s">
        <v>519</v>
      </c>
      <c r="E295" s="660" t="s">
        <v>505</v>
      </c>
      <c r="F295" s="661">
        <v>33.5</v>
      </c>
      <c r="G295" s="661">
        <v>16</v>
      </c>
      <c r="H295" s="643">
        <f>F295*G295*365</f>
        <v>195640</v>
      </c>
      <c r="I295" s="298">
        <v>56552.19</v>
      </c>
      <c r="J295" s="295">
        <f>ROUND(G295*F295*365/4,0)</f>
        <v>48910</v>
      </c>
      <c r="K295" s="295">
        <f>J295</f>
        <v>48910</v>
      </c>
      <c r="L295" s="292">
        <f>K295</f>
        <v>48910</v>
      </c>
      <c r="M295" s="295">
        <f>L295</f>
        <v>48910</v>
      </c>
      <c r="N295" s="293">
        <f>ROUND(M295*(1+取值表!$D$14)*取值表!$I$14,0)</f>
        <v>48924</v>
      </c>
      <c r="O295" s="295">
        <f>N295</f>
        <v>48924</v>
      </c>
      <c r="P295" s="295">
        <f>O295</f>
        <v>48924</v>
      </c>
      <c r="Q295" s="295">
        <f>P295</f>
        <v>48924</v>
      </c>
      <c r="R295" s="294">
        <f>ROUND(Q295*(1+取值表!$D$14),0)</f>
        <v>52006</v>
      </c>
      <c r="S295" s="295">
        <f t="shared" ref="S295:T295" si="6514">R295</f>
        <v>52006</v>
      </c>
      <c r="T295" s="295">
        <f t="shared" si="6514"/>
        <v>52006</v>
      </c>
      <c r="U295" s="295">
        <f>T295</f>
        <v>52006</v>
      </c>
      <c r="V295" s="293">
        <f>ROUND(U295*(1+取值表!$D$14),0)</f>
        <v>55282</v>
      </c>
      <c r="W295" s="295">
        <f t="shared" ref="W295:Y295" si="6515">V295</f>
        <v>55282</v>
      </c>
      <c r="X295" s="295">
        <f t="shared" si="6515"/>
        <v>55282</v>
      </c>
      <c r="Y295" s="295">
        <f t="shared" si="6515"/>
        <v>55282</v>
      </c>
      <c r="Z295" s="293">
        <f>ROUND(Y295*(1+取值表!$D$14),0)</f>
        <v>58765</v>
      </c>
      <c r="AA295" s="295">
        <f t="shared" ref="AA295" si="6516">Z295</f>
        <v>58765</v>
      </c>
      <c r="AB295" s="295">
        <f t="shared" ref="AB295" si="6517">AA295</f>
        <v>58765</v>
      </c>
      <c r="AC295" s="295">
        <f>AB295</f>
        <v>58765</v>
      </c>
      <c r="AD295" s="293">
        <f>ROUND(AC295*(1+取值表!$D$14),0)</f>
        <v>62467</v>
      </c>
      <c r="AE295" s="295">
        <f t="shared" ref="AE295" si="6518">AD295</f>
        <v>62467</v>
      </c>
      <c r="AF295" s="295">
        <f t="shared" ref="AF295" si="6519">AE295</f>
        <v>62467</v>
      </c>
      <c r="AG295" s="295">
        <f t="shared" ref="AG295" si="6520">AF295</f>
        <v>62467</v>
      </c>
      <c r="AH295" s="293">
        <f>ROUND(AG295*(1+取值表!$D$14),0)</f>
        <v>66402</v>
      </c>
      <c r="AI295" s="295">
        <f t="shared" ref="AI295" si="6521">AH295</f>
        <v>66402</v>
      </c>
      <c r="AJ295" s="295">
        <f t="shared" ref="AJ295" si="6522">AI295</f>
        <v>66402</v>
      </c>
      <c r="AK295" s="295">
        <f t="shared" ref="AK295" si="6523">AJ295</f>
        <v>66402</v>
      </c>
      <c r="AL295" s="293">
        <f>ROUND(AK295*(1+取值表!$D$14),0)</f>
        <v>70585</v>
      </c>
      <c r="AM295" s="295">
        <f t="shared" ref="AM295" si="6524">AL295</f>
        <v>70585</v>
      </c>
      <c r="AN295" s="295">
        <f t="shared" ref="AN295" si="6525">AM295</f>
        <v>70585</v>
      </c>
      <c r="AO295" s="295">
        <f t="shared" ref="AO295" si="6526">AN295</f>
        <v>70585</v>
      </c>
      <c r="AP295" s="293">
        <f>ROUND(AO295*(1+取值表!$D$14),0)</f>
        <v>75032</v>
      </c>
      <c r="AQ295" s="295">
        <f t="shared" ref="AQ295" si="6527">AP295</f>
        <v>75032</v>
      </c>
      <c r="AR295" s="295">
        <f t="shared" ref="AR295" si="6528">AQ295</f>
        <v>75032</v>
      </c>
      <c r="AS295" s="295">
        <f t="shared" ref="AS295" si="6529">AR295</f>
        <v>75032</v>
      </c>
      <c r="AT295" s="293">
        <f>ROUND(AS295*(1+取值表!$D$14),0)</f>
        <v>79759</v>
      </c>
      <c r="AU295" s="295">
        <f t="shared" ref="AU295" si="6530">AT295</f>
        <v>79759</v>
      </c>
      <c r="AV295" s="295">
        <f t="shared" ref="AV295" si="6531">AU295</f>
        <v>79759</v>
      </c>
      <c r="AW295" s="295">
        <f t="shared" ref="AW295" si="6532">AV295</f>
        <v>79759</v>
      </c>
      <c r="AX295" s="293">
        <f>ROUND(AW295*(1+取值表!$D$14),0)</f>
        <v>84784</v>
      </c>
      <c r="AY295" s="295">
        <f t="shared" ref="AY295" si="6533">AX295</f>
        <v>84784</v>
      </c>
      <c r="AZ295" s="295">
        <f t="shared" ref="AZ295" si="6534">AY295</f>
        <v>84784</v>
      </c>
      <c r="BA295" s="295">
        <f t="shared" ref="BA295" si="6535">AZ295</f>
        <v>84784</v>
      </c>
      <c r="BB295" s="293">
        <f>ROUND(BA295*(1+取值表!$D$14),0)</f>
        <v>90125</v>
      </c>
      <c r="BC295" s="295">
        <f>BB295</f>
        <v>90125</v>
      </c>
      <c r="BD295" s="295">
        <f t="shared" ref="BD295" si="6536">BC295</f>
        <v>90125</v>
      </c>
      <c r="BE295" s="295">
        <f>BD295</f>
        <v>90125</v>
      </c>
      <c r="BF295" s="293">
        <f>ROUND(BE295*(1+取值表!$D$14),0)</f>
        <v>95803</v>
      </c>
      <c r="BG295" s="295">
        <f>BF295</f>
        <v>95803</v>
      </c>
      <c r="BH295" s="295">
        <f t="shared" ref="BH295" si="6537">BG295</f>
        <v>95803</v>
      </c>
      <c r="BI295" s="295">
        <f t="shared" ref="BI295" si="6538">BH295</f>
        <v>95803</v>
      </c>
      <c r="BJ295" s="293">
        <f>ROUND(BI295*(1+取值表!$D$14),0)</f>
        <v>101839</v>
      </c>
      <c r="BK295" s="295">
        <f t="shared" ref="BK295" si="6539">BJ295</f>
        <v>101839</v>
      </c>
      <c r="BL295" s="295">
        <f t="shared" ref="BL295" si="6540">BK295</f>
        <v>101839</v>
      </c>
      <c r="BM295" s="295">
        <f t="shared" ref="BM295" si="6541">BL295</f>
        <v>101839</v>
      </c>
      <c r="BN295" s="293">
        <f>ROUND(BM295*(1+取值表!$D$14),0)</f>
        <v>108255</v>
      </c>
      <c r="BO295" s="295">
        <f t="shared" ref="BO295" si="6542">BN295</f>
        <v>108255</v>
      </c>
      <c r="BP295" s="295">
        <f t="shared" ref="BP295" si="6543">BO295</f>
        <v>108255</v>
      </c>
      <c r="BQ295" s="295">
        <f t="shared" ref="BQ295" si="6544">BP295</f>
        <v>108255</v>
      </c>
      <c r="BR295" s="293">
        <f>ROUND(BQ295*(1+取值表!$D$14),0)</f>
        <v>115075</v>
      </c>
      <c r="BS295" s="295">
        <f t="shared" ref="BS295" si="6545">BR295</f>
        <v>115075</v>
      </c>
      <c r="BT295" s="295">
        <f t="shared" ref="BT295" si="6546">BS295</f>
        <v>115075</v>
      </c>
      <c r="BU295" s="295">
        <f t="shared" ref="BU295" si="6547">BT295</f>
        <v>115075</v>
      </c>
      <c r="BV295" s="293">
        <f>ROUND(BU295*(1+取值表!$D$14),0)</f>
        <v>122325</v>
      </c>
      <c r="BW295" s="295">
        <f t="shared" ref="BW295" si="6548">BV295</f>
        <v>122325</v>
      </c>
      <c r="BX295" s="295">
        <f t="shared" ref="BX295" si="6549">BW295</f>
        <v>122325</v>
      </c>
      <c r="BY295" s="295">
        <f t="shared" ref="BY295" si="6550">BX295</f>
        <v>122325</v>
      </c>
      <c r="BZ295" s="293">
        <f>ROUND(BY295*(1+取值表!$D$14),0)</f>
        <v>130031</v>
      </c>
      <c r="CA295" s="295">
        <f t="shared" ref="CA295" si="6551">BZ295</f>
        <v>130031</v>
      </c>
      <c r="CB295" s="295">
        <f t="shared" ref="CB295" si="6552">CA295</f>
        <v>130031</v>
      </c>
      <c r="CC295" s="295">
        <f t="shared" ref="CC295" si="6553">CB295</f>
        <v>130031</v>
      </c>
      <c r="CD295" s="293">
        <f>ROUND(CC295*(1+取值表!$D$14),0)</f>
        <v>138223</v>
      </c>
      <c r="CE295" s="295">
        <f t="shared" ref="CE295" si="6554">CD295</f>
        <v>138223</v>
      </c>
      <c r="CF295" s="295">
        <f t="shared" ref="CF295" si="6555">CE295</f>
        <v>138223</v>
      </c>
      <c r="CG295" s="295">
        <f t="shared" ref="CG295" si="6556">CF295</f>
        <v>138223</v>
      </c>
      <c r="CH295" s="293">
        <f>ROUND(CG295*(1+取值表!$D$14),0)</f>
        <v>146931</v>
      </c>
      <c r="CI295" s="295">
        <f>CH295</f>
        <v>146931</v>
      </c>
      <c r="CJ295" s="295">
        <f t="shared" ref="CJ295" si="6557">CI295</f>
        <v>146931</v>
      </c>
      <c r="CK295" s="295">
        <f t="shared" ref="CK295" si="6558">CJ295</f>
        <v>146931</v>
      </c>
      <c r="CL295" s="293">
        <f>ROUND(CK295*(1+取值表!$D$14),0)</f>
        <v>156188</v>
      </c>
      <c r="CM295" s="295">
        <f>CL295</f>
        <v>156188</v>
      </c>
      <c r="CN295" s="295">
        <f t="shared" ref="CN295" si="6559">CM295</f>
        <v>156188</v>
      </c>
      <c r="CO295" s="295">
        <f t="shared" ref="CO295" si="6560">CN295</f>
        <v>156188</v>
      </c>
      <c r="CP295" s="293">
        <f t="shared" si="5740"/>
        <v>7630844</v>
      </c>
    </row>
    <row r="296" spans="1:94" s="299" customFormat="1">
      <c r="A296" s="680"/>
      <c r="B296" s="658"/>
      <c r="C296" s="659"/>
      <c r="D296" s="647"/>
      <c r="E296" s="660"/>
      <c r="F296" s="661"/>
      <c r="G296" s="661"/>
      <c r="H296" s="643"/>
      <c r="I296" s="298"/>
      <c r="J296" s="295"/>
      <c r="K296" s="295"/>
      <c r="L296" s="295"/>
      <c r="M296" s="295"/>
      <c r="N296" s="295"/>
      <c r="O296" s="295"/>
      <c r="P296" s="295"/>
      <c r="Q296" s="295"/>
      <c r="R296" s="295"/>
      <c r="S296" s="295"/>
      <c r="T296" s="295"/>
      <c r="U296" s="295"/>
      <c r="V296" s="295"/>
      <c r="W296" s="295"/>
      <c r="X296" s="295"/>
      <c r="Y296" s="295"/>
      <c r="Z296" s="295"/>
      <c r="AA296" s="295"/>
      <c r="AB296" s="295"/>
      <c r="AC296" s="295"/>
      <c r="AD296" s="295"/>
      <c r="AE296" s="295"/>
      <c r="AF296" s="295"/>
      <c r="AG296" s="295"/>
      <c r="AH296" s="295"/>
      <c r="AI296" s="295"/>
      <c r="AJ296" s="295"/>
      <c r="AK296" s="295"/>
      <c r="AL296" s="295"/>
      <c r="AM296" s="295"/>
      <c r="AN296" s="295"/>
      <c r="AO296" s="295"/>
      <c r="AP296" s="295"/>
      <c r="AQ296" s="295"/>
      <c r="AR296" s="295"/>
      <c r="AS296" s="295"/>
      <c r="AT296" s="295"/>
      <c r="AU296" s="295"/>
      <c r="AV296" s="295"/>
      <c r="AW296" s="295"/>
      <c r="AX296" s="295"/>
      <c r="AY296" s="295"/>
      <c r="AZ296" s="295"/>
      <c r="BA296" s="295"/>
      <c r="BB296" s="295"/>
      <c r="BC296" s="295"/>
      <c r="BD296" s="295"/>
      <c r="BE296" s="295"/>
      <c r="BF296" s="295"/>
      <c r="BG296" s="295"/>
      <c r="BH296" s="295"/>
      <c r="BI296" s="295"/>
      <c r="BJ296" s="295"/>
      <c r="BK296" s="295"/>
      <c r="BL296" s="295"/>
      <c r="BM296" s="295"/>
      <c r="BN296" s="295"/>
      <c r="BO296" s="295"/>
      <c r="BP296" s="295"/>
      <c r="BQ296" s="295"/>
      <c r="BR296" s="295"/>
      <c r="BS296" s="295"/>
      <c r="BT296" s="295"/>
      <c r="BU296" s="295"/>
      <c r="BV296" s="295"/>
      <c r="BW296" s="295"/>
      <c r="BX296" s="295"/>
      <c r="BY296" s="295"/>
      <c r="BZ296" s="295"/>
      <c r="CA296" s="295"/>
      <c r="CB296" s="295"/>
      <c r="CC296" s="295"/>
      <c r="CD296" s="295"/>
      <c r="CE296" s="295"/>
      <c r="CF296" s="295"/>
      <c r="CG296" s="295"/>
      <c r="CH296" s="295"/>
      <c r="CI296" s="295"/>
      <c r="CJ296" s="295"/>
      <c r="CK296" s="295"/>
      <c r="CL296" s="295"/>
      <c r="CM296" s="295"/>
      <c r="CN296" s="295"/>
      <c r="CO296" s="295"/>
      <c r="CP296" s="293">
        <f t="shared" si="5740"/>
        <v>0</v>
      </c>
    </row>
    <row r="297" spans="1:94" ht="12" customHeight="1">
      <c r="A297" s="679">
        <v>150</v>
      </c>
      <c r="B297" s="645" t="s">
        <v>283</v>
      </c>
      <c r="C297" s="646" t="s">
        <v>284</v>
      </c>
      <c r="D297" s="647" t="s">
        <v>520</v>
      </c>
      <c r="E297" s="648" t="s">
        <v>505</v>
      </c>
      <c r="F297" s="642">
        <v>112.94</v>
      </c>
      <c r="G297" s="642">
        <v>14.5</v>
      </c>
      <c r="H297" s="643">
        <f>F297*G297*365</f>
        <v>597734.94999999995</v>
      </c>
      <c r="I297" s="291">
        <v>149433.74</v>
      </c>
      <c r="J297" s="295">
        <f>ROUND(G297*F297*365/4,0)</f>
        <v>149434</v>
      </c>
      <c r="K297" s="293">
        <f t="shared" ref="K297:S297" si="6561">J297</f>
        <v>149434</v>
      </c>
      <c r="L297" s="293">
        <f t="shared" si="6561"/>
        <v>149434</v>
      </c>
      <c r="M297" s="293">
        <f t="shared" si="6561"/>
        <v>149434</v>
      </c>
      <c r="N297" s="293">
        <f t="shared" si="6561"/>
        <v>149434</v>
      </c>
      <c r="O297" s="293">
        <f>N297</f>
        <v>149434</v>
      </c>
      <c r="P297" s="293">
        <f>O297</f>
        <v>149434</v>
      </c>
      <c r="Q297" s="293">
        <f>P297</f>
        <v>149434</v>
      </c>
      <c r="R297" s="293">
        <f t="shared" si="6561"/>
        <v>149434</v>
      </c>
      <c r="S297" s="292">
        <f t="shared" si="6561"/>
        <v>149434</v>
      </c>
      <c r="T297" s="293">
        <f>S297</f>
        <v>149434</v>
      </c>
      <c r="U297" s="293">
        <f>T297</f>
        <v>149434</v>
      </c>
      <c r="V297" s="293">
        <f>ROUND(U297*(1+取值表!$D$14)*取值表!$I$14,0)</f>
        <v>149476</v>
      </c>
      <c r="W297" s="293">
        <f>V297</f>
        <v>149476</v>
      </c>
      <c r="X297" s="293">
        <f>W297</f>
        <v>149476</v>
      </c>
      <c r="Y297" s="293">
        <f>X297</f>
        <v>149476</v>
      </c>
      <c r="Z297" s="294">
        <f>ROUND(Y297*(1+取值表!$D$14),0)</f>
        <v>158893</v>
      </c>
      <c r="AA297" s="293">
        <f t="shared" ref="AA297:AB297" si="6562">Z297</f>
        <v>158893</v>
      </c>
      <c r="AB297" s="293">
        <f t="shared" si="6562"/>
        <v>158893</v>
      </c>
      <c r="AC297" s="293">
        <f>AB297</f>
        <v>158893</v>
      </c>
      <c r="AD297" s="293">
        <f>ROUND(AC297*(1+取值表!$E$14),0)</f>
        <v>168903</v>
      </c>
      <c r="AE297" s="293">
        <f t="shared" ref="AE297:AG297" si="6563">AD297</f>
        <v>168903</v>
      </c>
      <c r="AF297" s="293">
        <f t="shared" si="6563"/>
        <v>168903</v>
      </c>
      <c r="AG297" s="293">
        <f t="shared" si="6563"/>
        <v>168903</v>
      </c>
      <c r="AH297" s="293">
        <f>ROUND(AG297*(1+取值表!$E$14),0)</f>
        <v>179544</v>
      </c>
      <c r="AI297" s="293">
        <f t="shared" ref="AI297" si="6564">AH297</f>
        <v>179544</v>
      </c>
      <c r="AJ297" s="293">
        <f t="shared" ref="AJ297" si="6565">AI297</f>
        <v>179544</v>
      </c>
      <c r="AK297" s="293">
        <f t="shared" ref="AK297" si="6566">AJ297</f>
        <v>179544</v>
      </c>
      <c r="AL297" s="293">
        <f>ROUND(AK297*(1+取值表!$E$14),0)</f>
        <v>190855</v>
      </c>
      <c r="AM297" s="293">
        <f t="shared" ref="AM297" si="6567">AL297</f>
        <v>190855</v>
      </c>
      <c r="AN297" s="293">
        <f t="shared" ref="AN297" si="6568">AM297</f>
        <v>190855</v>
      </c>
      <c r="AO297" s="293">
        <f t="shared" ref="AO297" si="6569">AN297</f>
        <v>190855</v>
      </c>
      <c r="AP297" s="293">
        <f>ROUND(AO297*(1+取值表!$E$14),0)</f>
        <v>202879</v>
      </c>
      <c r="AQ297" s="293">
        <f t="shared" ref="AQ297" si="6570">AP297</f>
        <v>202879</v>
      </c>
      <c r="AR297" s="293">
        <f t="shared" ref="AR297" si="6571">AQ297</f>
        <v>202879</v>
      </c>
      <c r="AS297" s="293">
        <f t="shared" ref="AS297" si="6572">AR297</f>
        <v>202879</v>
      </c>
      <c r="AT297" s="293">
        <f>ROUND(AS297*(1+取值表!$E$14),0)</f>
        <v>215660</v>
      </c>
      <c r="AU297" s="293">
        <f t="shared" ref="AU297" si="6573">AT297</f>
        <v>215660</v>
      </c>
      <c r="AV297" s="293">
        <f t="shared" ref="AV297" si="6574">AU297</f>
        <v>215660</v>
      </c>
      <c r="AW297" s="293">
        <f t="shared" ref="AW297" si="6575">AV297</f>
        <v>215660</v>
      </c>
      <c r="AX297" s="293">
        <f>ROUND(AW297*(1+取值表!$E$14),0)</f>
        <v>229247</v>
      </c>
      <c r="AY297" s="293">
        <f t="shared" ref="AY297" si="6576">AX297</f>
        <v>229247</v>
      </c>
      <c r="AZ297" s="293">
        <f t="shared" ref="AZ297" si="6577">AY297</f>
        <v>229247</v>
      </c>
      <c r="BA297" s="293">
        <f t="shared" ref="BA297" si="6578">AZ297</f>
        <v>229247</v>
      </c>
      <c r="BB297" s="293">
        <f>ROUND(BA297*(1+取值表!$E$14),0)</f>
        <v>243690</v>
      </c>
      <c r="BC297" s="293">
        <f>BB297</f>
        <v>243690</v>
      </c>
      <c r="BD297" s="293">
        <f t="shared" ref="BD297" si="6579">BC297</f>
        <v>243690</v>
      </c>
      <c r="BE297" s="293">
        <f>BD297</f>
        <v>243690</v>
      </c>
      <c r="BF297" s="293">
        <f>ROUND(BE297*(1+取值表!$E$14),0)</f>
        <v>259042</v>
      </c>
      <c r="BG297" s="293">
        <f>BF297</f>
        <v>259042</v>
      </c>
      <c r="BH297" s="293">
        <f t="shared" ref="BH297" si="6580">BG297</f>
        <v>259042</v>
      </c>
      <c r="BI297" s="293">
        <f t="shared" ref="BI297" si="6581">BH297</f>
        <v>259042</v>
      </c>
      <c r="BJ297" s="293">
        <f>ROUND(BI297*(1+取值表!$E$14),0)</f>
        <v>275362</v>
      </c>
      <c r="BK297" s="293">
        <f t="shared" ref="BK297" si="6582">BJ297</f>
        <v>275362</v>
      </c>
      <c r="BL297" s="293">
        <f t="shared" ref="BL297" si="6583">BK297</f>
        <v>275362</v>
      </c>
      <c r="BM297" s="293">
        <f t="shared" ref="BM297" si="6584">BL297</f>
        <v>275362</v>
      </c>
      <c r="BN297" s="293">
        <f>ROUND(BM297*(1+取值表!$E$14),0)</f>
        <v>292710</v>
      </c>
      <c r="BO297" s="293">
        <f t="shared" ref="BO297" si="6585">BN297</f>
        <v>292710</v>
      </c>
      <c r="BP297" s="293">
        <f t="shared" ref="BP297" si="6586">BO297</f>
        <v>292710</v>
      </c>
      <c r="BQ297" s="293">
        <f t="shared" ref="BQ297" si="6587">BP297</f>
        <v>292710</v>
      </c>
      <c r="BR297" s="293">
        <f>ROUND(BQ297*(1+取值表!$E$14),0)</f>
        <v>311151</v>
      </c>
      <c r="BS297" s="293">
        <f t="shared" ref="BS297" si="6588">BR297</f>
        <v>311151</v>
      </c>
      <c r="BT297" s="293">
        <f t="shared" ref="BT297" si="6589">BS297</f>
        <v>311151</v>
      </c>
      <c r="BU297" s="293">
        <f t="shared" ref="BU297" si="6590">BT297</f>
        <v>311151</v>
      </c>
      <c r="BV297" s="293">
        <f>ROUND(BU297*(1+取值表!$E$14),0)</f>
        <v>330754</v>
      </c>
      <c r="BW297" s="293">
        <f t="shared" ref="BW297" si="6591">BV297</f>
        <v>330754</v>
      </c>
      <c r="BX297" s="293">
        <f t="shared" ref="BX297" si="6592">BW297</f>
        <v>330754</v>
      </c>
      <c r="BY297" s="293">
        <f t="shared" ref="BY297" si="6593">BX297</f>
        <v>330754</v>
      </c>
      <c r="BZ297" s="293">
        <f>ROUND(BY297*(1+取值表!$E$14),0)</f>
        <v>351592</v>
      </c>
      <c r="CA297" s="293">
        <f t="shared" ref="CA297" si="6594">BZ297</f>
        <v>351592</v>
      </c>
      <c r="CB297" s="293">
        <f t="shared" ref="CB297" si="6595">CA297</f>
        <v>351592</v>
      </c>
      <c r="CC297" s="293">
        <f t="shared" ref="CC297" si="6596">CB297</f>
        <v>351592</v>
      </c>
      <c r="CD297" s="293">
        <f>ROUND(CC297*(1+取值表!$E$14),0)</f>
        <v>373742</v>
      </c>
      <c r="CE297" s="293">
        <f t="shared" ref="CE297" si="6597">CD297</f>
        <v>373742</v>
      </c>
      <c r="CF297" s="293">
        <f t="shared" ref="CF297" si="6598">CE297</f>
        <v>373742</v>
      </c>
      <c r="CG297" s="293">
        <f t="shared" ref="CG297" si="6599">CF297</f>
        <v>373742</v>
      </c>
      <c r="CH297" s="293">
        <f>ROUND(CG297*(1+取值表!$E$14),0)</f>
        <v>397288</v>
      </c>
      <c r="CI297" s="293">
        <f>CH297</f>
        <v>397288</v>
      </c>
      <c r="CJ297" s="293">
        <f t="shared" ref="CJ297" si="6600">CI297</f>
        <v>397288</v>
      </c>
      <c r="CK297" s="293">
        <f t="shared" ref="CK297" si="6601">CJ297</f>
        <v>397288</v>
      </c>
      <c r="CL297" s="293">
        <f>ROUND(CK297*(1+取值表!$E$14),0)</f>
        <v>422317</v>
      </c>
      <c r="CM297" s="293">
        <f>CL297</f>
        <v>422317</v>
      </c>
      <c r="CN297" s="293">
        <f t="shared" ref="CN297" si="6602">CM297</f>
        <v>422317</v>
      </c>
      <c r="CO297" s="293">
        <f t="shared" ref="CO297" si="6603">CN297</f>
        <v>422317</v>
      </c>
      <c r="CP297" s="293">
        <f t="shared" si="5740"/>
        <v>20805628</v>
      </c>
    </row>
    <row r="298" spans="1:94">
      <c r="A298" s="680"/>
      <c r="B298" s="645"/>
      <c r="C298" s="646"/>
      <c r="D298" s="647"/>
      <c r="E298" s="648"/>
      <c r="F298" s="642"/>
      <c r="G298" s="642"/>
      <c r="H298" s="643"/>
      <c r="I298" s="291"/>
      <c r="J298" s="295"/>
      <c r="K298" s="293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3"/>
      <c r="W298" s="293"/>
      <c r="X298" s="293"/>
      <c r="Y298" s="293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3"/>
      <c r="AK298" s="293"/>
      <c r="AL298" s="293"/>
      <c r="AM298" s="293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3"/>
      <c r="AY298" s="293"/>
      <c r="AZ298" s="293"/>
      <c r="BA298" s="293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3"/>
      <c r="BM298" s="293"/>
      <c r="BN298" s="293"/>
      <c r="BO298" s="293"/>
      <c r="BP298" s="293"/>
      <c r="BQ298" s="293"/>
      <c r="BR298" s="293"/>
      <c r="BS298" s="293"/>
      <c r="BT298" s="293"/>
      <c r="BU298" s="293"/>
      <c r="BV298" s="293"/>
      <c r="BW298" s="293"/>
      <c r="BX298" s="293"/>
      <c r="BY298" s="293"/>
      <c r="BZ298" s="293"/>
      <c r="CA298" s="293"/>
      <c r="CB298" s="293"/>
      <c r="CC298" s="293"/>
      <c r="CD298" s="293"/>
      <c r="CE298" s="293"/>
      <c r="CF298" s="293"/>
      <c r="CG298" s="293"/>
      <c r="CH298" s="293"/>
      <c r="CI298" s="293"/>
      <c r="CJ298" s="293"/>
      <c r="CK298" s="293"/>
      <c r="CL298" s="293"/>
      <c r="CM298" s="293"/>
      <c r="CN298" s="293"/>
      <c r="CO298" s="293"/>
      <c r="CP298" s="293">
        <f t="shared" si="5740"/>
        <v>0</v>
      </c>
    </row>
    <row r="299" spans="1:94" ht="12" customHeight="1">
      <c r="A299" s="679">
        <v>151</v>
      </c>
      <c r="B299" s="645" t="s">
        <v>285</v>
      </c>
      <c r="C299" s="646" t="s">
        <v>284</v>
      </c>
      <c r="D299" s="647" t="s">
        <v>286</v>
      </c>
      <c r="E299" s="648" t="s">
        <v>505</v>
      </c>
      <c r="F299" s="642">
        <v>53.82</v>
      </c>
      <c r="G299" s="642">
        <v>15.5</v>
      </c>
      <c r="H299" s="643">
        <f>F299*G299*365</f>
        <v>304486.65000000002</v>
      </c>
      <c r="I299" s="291">
        <v>73666.13</v>
      </c>
      <c r="J299" s="295">
        <f>ROUND(G299*F299*365/4,0)</f>
        <v>76122</v>
      </c>
      <c r="K299" s="292">
        <f>J299</f>
        <v>76122</v>
      </c>
      <c r="L299" s="293">
        <f>K299</f>
        <v>76122</v>
      </c>
      <c r="M299" s="293">
        <f>L299</f>
        <v>76122</v>
      </c>
      <c r="N299" s="293">
        <f>ROUND(M299*(1+取值表!$D$14)*取值表!$I$14,0)</f>
        <v>76144</v>
      </c>
      <c r="O299" s="293">
        <f>N299</f>
        <v>76144</v>
      </c>
      <c r="P299" s="293">
        <f>O299</f>
        <v>76144</v>
      </c>
      <c r="Q299" s="293">
        <f>P299</f>
        <v>76144</v>
      </c>
      <c r="R299" s="294">
        <f>ROUND(Q299*(1+取值表!$D$14),0)</f>
        <v>80941</v>
      </c>
      <c r="S299" s="293">
        <f t="shared" ref="S299:T299" si="6604">R299</f>
        <v>80941</v>
      </c>
      <c r="T299" s="293">
        <f t="shared" si="6604"/>
        <v>80941</v>
      </c>
      <c r="U299" s="293">
        <f>T299</f>
        <v>80941</v>
      </c>
      <c r="V299" s="293">
        <f>ROUND(U299*(1+取值表!$D$14),0)</f>
        <v>86040</v>
      </c>
      <c r="W299" s="293">
        <f t="shared" ref="W299:Y299" si="6605">V299</f>
        <v>86040</v>
      </c>
      <c r="X299" s="293">
        <f t="shared" si="6605"/>
        <v>86040</v>
      </c>
      <c r="Y299" s="293">
        <f t="shared" si="6605"/>
        <v>86040</v>
      </c>
      <c r="Z299" s="293">
        <f>ROUND(Y299*(1+取值表!$D$14),0)</f>
        <v>91461</v>
      </c>
      <c r="AA299" s="293">
        <f t="shared" ref="AA299" si="6606">Z299</f>
        <v>91461</v>
      </c>
      <c r="AB299" s="293">
        <f t="shared" ref="AB299" si="6607">AA299</f>
        <v>91461</v>
      </c>
      <c r="AC299" s="293">
        <f>AB299</f>
        <v>91461</v>
      </c>
      <c r="AD299" s="293">
        <f>ROUND(AC299*(1+取值表!$D$14),0)</f>
        <v>97223</v>
      </c>
      <c r="AE299" s="293">
        <f t="shared" ref="AE299" si="6608">AD299</f>
        <v>97223</v>
      </c>
      <c r="AF299" s="293">
        <f t="shared" ref="AF299" si="6609">AE299</f>
        <v>97223</v>
      </c>
      <c r="AG299" s="293">
        <f t="shared" ref="AG299" si="6610">AF299</f>
        <v>97223</v>
      </c>
      <c r="AH299" s="293">
        <f>ROUND(AG299*(1+取值表!$D$14),0)</f>
        <v>103348</v>
      </c>
      <c r="AI299" s="293">
        <f t="shared" ref="AI299" si="6611">AH299</f>
        <v>103348</v>
      </c>
      <c r="AJ299" s="293">
        <f t="shared" ref="AJ299" si="6612">AI299</f>
        <v>103348</v>
      </c>
      <c r="AK299" s="293">
        <f t="shared" ref="AK299" si="6613">AJ299</f>
        <v>103348</v>
      </c>
      <c r="AL299" s="293">
        <f>ROUND(AK299*(1+取值表!$D$14),0)</f>
        <v>109859</v>
      </c>
      <c r="AM299" s="293">
        <f t="shared" ref="AM299" si="6614">AL299</f>
        <v>109859</v>
      </c>
      <c r="AN299" s="293">
        <f t="shared" ref="AN299" si="6615">AM299</f>
        <v>109859</v>
      </c>
      <c r="AO299" s="293">
        <f t="shared" ref="AO299" si="6616">AN299</f>
        <v>109859</v>
      </c>
      <c r="AP299" s="293">
        <f>ROUND(AO299*(1+取值表!$D$14),0)</f>
        <v>116780</v>
      </c>
      <c r="AQ299" s="293">
        <f t="shared" ref="AQ299" si="6617">AP299</f>
        <v>116780</v>
      </c>
      <c r="AR299" s="293">
        <f t="shared" ref="AR299" si="6618">AQ299</f>
        <v>116780</v>
      </c>
      <c r="AS299" s="293">
        <f t="shared" ref="AS299" si="6619">AR299</f>
        <v>116780</v>
      </c>
      <c r="AT299" s="293">
        <f>ROUND(AS299*(1+取值表!$D$14),0)</f>
        <v>124137</v>
      </c>
      <c r="AU299" s="293">
        <f t="shared" ref="AU299" si="6620">AT299</f>
        <v>124137</v>
      </c>
      <c r="AV299" s="293">
        <f t="shared" ref="AV299" si="6621">AU299</f>
        <v>124137</v>
      </c>
      <c r="AW299" s="293">
        <f t="shared" ref="AW299" si="6622">AV299</f>
        <v>124137</v>
      </c>
      <c r="AX299" s="293">
        <f>ROUND(AW299*(1+取值表!$D$14),0)</f>
        <v>131958</v>
      </c>
      <c r="AY299" s="293">
        <f t="shared" ref="AY299" si="6623">AX299</f>
        <v>131958</v>
      </c>
      <c r="AZ299" s="293">
        <f t="shared" ref="AZ299" si="6624">AY299</f>
        <v>131958</v>
      </c>
      <c r="BA299" s="293">
        <f t="shared" ref="BA299" si="6625">AZ299</f>
        <v>131958</v>
      </c>
      <c r="BB299" s="293">
        <f>ROUND(BA299*(1+取值表!$D$14),0)</f>
        <v>140271</v>
      </c>
      <c r="BC299" s="293">
        <f>BB299</f>
        <v>140271</v>
      </c>
      <c r="BD299" s="293">
        <f t="shared" ref="BD299" si="6626">BC299</f>
        <v>140271</v>
      </c>
      <c r="BE299" s="293">
        <f>BD299</f>
        <v>140271</v>
      </c>
      <c r="BF299" s="293">
        <f>ROUND(BE299*(1+取值表!$D$14),0)</f>
        <v>149108</v>
      </c>
      <c r="BG299" s="293">
        <f>BF299</f>
        <v>149108</v>
      </c>
      <c r="BH299" s="293">
        <f t="shared" ref="BH299" si="6627">BG299</f>
        <v>149108</v>
      </c>
      <c r="BI299" s="293">
        <f t="shared" ref="BI299" si="6628">BH299</f>
        <v>149108</v>
      </c>
      <c r="BJ299" s="293">
        <f>ROUND(BI299*(1+取值表!$D$14),0)</f>
        <v>158502</v>
      </c>
      <c r="BK299" s="293">
        <f t="shared" ref="BK299" si="6629">BJ299</f>
        <v>158502</v>
      </c>
      <c r="BL299" s="293">
        <f t="shared" ref="BL299" si="6630">BK299</f>
        <v>158502</v>
      </c>
      <c r="BM299" s="293">
        <f t="shared" ref="BM299" si="6631">BL299</f>
        <v>158502</v>
      </c>
      <c r="BN299" s="293">
        <f>ROUND(BM299*(1+取值表!$D$14),0)</f>
        <v>168488</v>
      </c>
      <c r="BO299" s="293">
        <f t="shared" ref="BO299" si="6632">BN299</f>
        <v>168488</v>
      </c>
      <c r="BP299" s="293">
        <f t="shared" ref="BP299" si="6633">BO299</f>
        <v>168488</v>
      </c>
      <c r="BQ299" s="293">
        <f t="shared" ref="BQ299" si="6634">BP299</f>
        <v>168488</v>
      </c>
      <c r="BR299" s="293">
        <f>ROUND(BQ299*(1+取值表!$D$14),0)</f>
        <v>179103</v>
      </c>
      <c r="BS299" s="293">
        <f t="shared" ref="BS299" si="6635">BR299</f>
        <v>179103</v>
      </c>
      <c r="BT299" s="293">
        <f t="shared" ref="BT299" si="6636">BS299</f>
        <v>179103</v>
      </c>
      <c r="BU299" s="293">
        <f t="shared" ref="BU299" si="6637">BT299</f>
        <v>179103</v>
      </c>
      <c r="BV299" s="293">
        <f>ROUND(BU299*(1+取值表!$D$14),0)</f>
        <v>190386</v>
      </c>
      <c r="BW299" s="293">
        <f t="shared" ref="BW299" si="6638">BV299</f>
        <v>190386</v>
      </c>
      <c r="BX299" s="293">
        <f t="shared" ref="BX299" si="6639">BW299</f>
        <v>190386</v>
      </c>
      <c r="BY299" s="293">
        <f t="shared" ref="BY299" si="6640">BX299</f>
        <v>190386</v>
      </c>
      <c r="BZ299" s="293">
        <f>ROUND(BY299*(1+取值表!$D$14),0)</f>
        <v>202380</v>
      </c>
      <c r="CA299" s="293">
        <f t="shared" ref="CA299" si="6641">BZ299</f>
        <v>202380</v>
      </c>
      <c r="CB299" s="293">
        <f t="shared" ref="CB299" si="6642">CA299</f>
        <v>202380</v>
      </c>
      <c r="CC299" s="293">
        <f t="shared" ref="CC299" si="6643">CB299</f>
        <v>202380</v>
      </c>
      <c r="CD299" s="293">
        <f>ROUND(CC299*(1+取值表!$D$14),0)</f>
        <v>215130</v>
      </c>
      <c r="CE299" s="293">
        <f t="shared" ref="CE299" si="6644">CD299</f>
        <v>215130</v>
      </c>
      <c r="CF299" s="293">
        <f t="shared" ref="CF299" si="6645">CE299</f>
        <v>215130</v>
      </c>
      <c r="CG299" s="293">
        <f t="shared" ref="CG299" si="6646">CF299</f>
        <v>215130</v>
      </c>
      <c r="CH299" s="293">
        <f>ROUND(CG299*(1+取值表!$D$14),0)</f>
        <v>228683</v>
      </c>
      <c r="CI299" s="293">
        <f>CH299</f>
        <v>228683</v>
      </c>
      <c r="CJ299" s="293">
        <f t="shared" ref="CJ299" si="6647">CI299</f>
        <v>228683</v>
      </c>
      <c r="CK299" s="293">
        <f t="shared" ref="CK299" si="6648">CJ299</f>
        <v>228683</v>
      </c>
      <c r="CL299" s="293">
        <f>ROUND(CK299*(1+取值表!$D$14),0)</f>
        <v>243090</v>
      </c>
      <c r="CM299" s="293">
        <f>CL299</f>
        <v>243090</v>
      </c>
      <c r="CN299" s="293">
        <f t="shared" ref="CN299" si="6649">CM299</f>
        <v>243090</v>
      </c>
      <c r="CO299" s="293">
        <f t="shared" ref="CO299" si="6650">CN299</f>
        <v>243090</v>
      </c>
      <c r="CP299" s="293">
        <f t="shared" si="5740"/>
        <v>11876616</v>
      </c>
    </row>
    <row r="300" spans="1:94">
      <c r="A300" s="680"/>
      <c r="B300" s="645"/>
      <c r="C300" s="646"/>
      <c r="D300" s="647"/>
      <c r="E300" s="648"/>
      <c r="F300" s="642"/>
      <c r="G300" s="642"/>
      <c r="H300" s="643"/>
      <c r="I300" s="291"/>
      <c r="J300" s="295"/>
      <c r="K300" s="293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3"/>
      <c r="W300" s="293"/>
      <c r="X300" s="293"/>
      <c r="Y300" s="293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3"/>
      <c r="AK300" s="293"/>
      <c r="AL300" s="293"/>
      <c r="AM300" s="293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3"/>
      <c r="AY300" s="293"/>
      <c r="AZ300" s="293"/>
      <c r="BA300" s="293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3"/>
      <c r="BM300" s="293"/>
      <c r="BN300" s="293"/>
      <c r="BO300" s="293"/>
      <c r="BP300" s="293"/>
      <c r="BQ300" s="293"/>
      <c r="BR300" s="293"/>
      <c r="BS300" s="293"/>
      <c r="BT300" s="293"/>
      <c r="BU300" s="293"/>
      <c r="BV300" s="293"/>
      <c r="BW300" s="293"/>
      <c r="BX300" s="293"/>
      <c r="BY300" s="293"/>
      <c r="BZ300" s="293"/>
      <c r="CA300" s="293"/>
      <c r="CB300" s="293"/>
      <c r="CC300" s="293"/>
      <c r="CD300" s="293"/>
      <c r="CE300" s="293"/>
      <c r="CF300" s="293"/>
      <c r="CG300" s="293"/>
      <c r="CH300" s="293"/>
      <c r="CI300" s="293"/>
      <c r="CJ300" s="293"/>
      <c r="CK300" s="293"/>
      <c r="CL300" s="293"/>
      <c r="CM300" s="293"/>
      <c r="CN300" s="293"/>
      <c r="CO300" s="293"/>
      <c r="CP300" s="293">
        <f t="shared" si="5740"/>
        <v>0</v>
      </c>
    </row>
    <row r="301" spans="1:94">
      <c r="A301" s="679">
        <v>152</v>
      </c>
      <c r="B301" s="645" t="s">
        <v>287</v>
      </c>
      <c r="C301" s="646" t="s">
        <v>16</v>
      </c>
      <c r="D301" s="647" t="s">
        <v>187</v>
      </c>
      <c r="E301" s="648" t="s">
        <v>505</v>
      </c>
      <c r="F301" s="642">
        <v>27.63</v>
      </c>
      <c r="G301" s="642">
        <v>17</v>
      </c>
      <c r="H301" s="643">
        <f>F301*G301*365</f>
        <v>171444.15</v>
      </c>
      <c r="I301" s="291">
        <v>42861.04</v>
      </c>
      <c r="J301" s="295">
        <f>ROUND(G301*F301*365/4,0)</f>
        <v>42861</v>
      </c>
      <c r="K301" s="293">
        <f>J301</f>
        <v>42861</v>
      </c>
      <c r="L301" s="292">
        <f>K301</f>
        <v>42861</v>
      </c>
      <c r="M301" s="293">
        <f>L301</f>
        <v>42861</v>
      </c>
      <c r="N301" s="293">
        <f>ROUND(M301*(1+取值表!$D$14)*取值表!$I$14,0)</f>
        <v>42873</v>
      </c>
      <c r="O301" s="293">
        <f>N301</f>
        <v>42873</v>
      </c>
      <c r="P301" s="293">
        <f>O301</f>
        <v>42873</v>
      </c>
      <c r="Q301" s="293">
        <f>P301</f>
        <v>42873</v>
      </c>
      <c r="R301" s="294">
        <f>ROUND(Q301*(1+取值表!$D$14),0)</f>
        <v>45574</v>
      </c>
      <c r="S301" s="293">
        <f t="shared" ref="S301:T301" si="6651">R301</f>
        <v>45574</v>
      </c>
      <c r="T301" s="293">
        <f t="shared" si="6651"/>
        <v>45574</v>
      </c>
      <c r="U301" s="293">
        <f>T301</f>
        <v>45574</v>
      </c>
      <c r="V301" s="293">
        <f>ROUND(U301*(1+取值表!$D$14),0)</f>
        <v>48445</v>
      </c>
      <c r="W301" s="293">
        <f t="shared" ref="W301:Y301" si="6652">V301</f>
        <v>48445</v>
      </c>
      <c r="X301" s="293">
        <f t="shared" si="6652"/>
        <v>48445</v>
      </c>
      <c r="Y301" s="293">
        <f t="shared" si="6652"/>
        <v>48445</v>
      </c>
      <c r="Z301" s="293">
        <f>ROUND(Y301*(1+取值表!$D$14),0)</f>
        <v>51497</v>
      </c>
      <c r="AA301" s="293">
        <f t="shared" ref="AA301" si="6653">Z301</f>
        <v>51497</v>
      </c>
      <c r="AB301" s="293">
        <f t="shared" ref="AB301" si="6654">AA301</f>
        <v>51497</v>
      </c>
      <c r="AC301" s="293">
        <f>AB301</f>
        <v>51497</v>
      </c>
      <c r="AD301" s="293">
        <f>ROUND(AC301*(1+取值表!$D$14),0)</f>
        <v>54741</v>
      </c>
      <c r="AE301" s="293">
        <f t="shared" ref="AE301" si="6655">AD301</f>
        <v>54741</v>
      </c>
      <c r="AF301" s="293">
        <f t="shared" ref="AF301" si="6656">AE301</f>
        <v>54741</v>
      </c>
      <c r="AG301" s="293">
        <f t="shared" ref="AG301" si="6657">AF301</f>
        <v>54741</v>
      </c>
      <c r="AH301" s="293">
        <f>ROUND(AG301*(1+取值表!$D$14),0)</f>
        <v>58190</v>
      </c>
      <c r="AI301" s="293">
        <f t="shared" ref="AI301" si="6658">AH301</f>
        <v>58190</v>
      </c>
      <c r="AJ301" s="293">
        <f t="shared" ref="AJ301" si="6659">AI301</f>
        <v>58190</v>
      </c>
      <c r="AK301" s="293">
        <f t="shared" ref="AK301" si="6660">AJ301</f>
        <v>58190</v>
      </c>
      <c r="AL301" s="293">
        <f>ROUND(AK301*(1+取值表!$D$14),0)</f>
        <v>61856</v>
      </c>
      <c r="AM301" s="293">
        <f t="shared" ref="AM301" si="6661">AL301</f>
        <v>61856</v>
      </c>
      <c r="AN301" s="293">
        <f t="shared" ref="AN301" si="6662">AM301</f>
        <v>61856</v>
      </c>
      <c r="AO301" s="293">
        <f t="shared" ref="AO301" si="6663">AN301</f>
        <v>61856</v>
      </c>
      <c r="AP301" s="293">
        <f>ROUND(AO301*(1+取值表!$D$14),0)</f>
        <v>65753</v>
      </c>
      <c r="AQ301" s="293">
        <f t="shared" ref="AQ301" si="6664">AP301</f>
        <v>65753</v>
      </c>
      <c r="AR301" s="293">
        <f t="shared" ref="AR301" si="6665">AQ301</f>
        <v>65753</v>
      </c>
      <c r="AS301" s="293">
        <f t="shared" ref="AS301" si="6666">AR301</f>
        <v>65753</v>
      </c>
      <c r="AT301" s="293">
        <f>ROUND(AS301*(1+取值表!$D$14),0)</f>
        <v>69895</v>
      </c>
      <c r="AU301" s="293">
        <f t="shared" ref="AU301" si="6667">AT301</f>
        <v>69895</v>
      </c>
      <c r="AV301" s="293">
        <f t="shared" ref="AV301" si="6668">AU301</f>
        <v>69895</v>
      </c>
      <c r="AW301" s="293">
        <f t="shared" ref="AW301" si="6669">AV301</f>
        <v>69895</v>
      </c>
      <c r="AX301" s="293">
        <f>ROUND(AW301*(1+取值表!$D$14),0)</f>
        <v>74298</v>
      </c>
      <c r="AY301" s="293">
        <f t="shared" ref="AY301" si="6670">AX301</f>
        <v>74298</v>
      </c>
      <c r="AZ301" s="293">
        <f t="shared" ref="AZ301" si="6671">AY301</f>
        <v>74298</v>
      </c>
      <c r="BA301" s="293">
        <f t="shared" ref="BA301" si="6672">AZ301</f>
        <v>74298</v>
      </c>
      <c r="BB301" s="293">
        <f>ROUND(BA301*(1+取值表!$D$14),0)</f>
        <v>78979</v>
      </c>
      <c r="BC301" s="293">
        <f>BB301</f>
        <v>78979</v>
      </c>
      <c r="BD301" s="293">
        <f t="shared" ref="BD301" si="6673">BC301</f>
        <v>78979</v>
      </c>
      <c r="BE301" s="293">
        <f>BD301</f>
        <v>78979</v>
      </c>
      <c r="BF301" s="293">
        <f>ROUND(BE301*(1+取值表!$D$14),0)</f>
        <v>83955</v>
      </c>
      <c r="BG301" s="293">
        <f>BF301</f>
        <v>83955</v>
      </c>
      <c r="BH301" s="293">
        <f t="shared" ref="BH301" si="6674">BG301</f>
        <v>83955</v>
      </c>
      <c r="BI301" s="293">
        <f t="shared" ref="BI301" si="6675">BH301</f>
        <v>83955</v>
      </c>
      <c r="BJ301" s="293">
        <f>ROUND(BI301*(1+取值表!$D$14),0)</f>
        <v>89244</v>
      </c>
      <c r="BK301" s="293">
        <f t="shared" ref="BK301" si="6676">BJ301</f>
        <v>89244</v>
      </c>
      <c r="BL301" s="293">
        <f t="shared" ref="BL301" si="6677">BK301</f>
        <v>89244</v>
      </c>
      <c r="BM301" s="293">
        <f t="shared" ref="BM301" si="6678">BL301</f>
        <v>89244</v>
      </c>
      <c r="BN301" s="293">
        <f>ROUND(BM301*(1+取值表!$D$14),0)</f>
        <v>94866</v>
      </c>
      <c r="BO301" s="293">
        <f t="shared" ref="BO301" si="6679">BN301</f>
        <v>94866</v>
      </c>
      <c r="BP301" s="293">
        <f t="shared" ref="BP301" si="6680">BO301</f>
        <v>94866</v>
      </c>
      <c r="BQ301" s="293">
        <f t="shared" ref="BQ301" si="6681">BP301</f>
        <v>94866</v>
      </c>
      <c r="BR301" s="293">
        <f>ROUND(BQ301*(1+取值表!$D$14),0)</f>
        <v>100843</v>
      </c>
      <c r="BS301" s="293">
        <f t="shared" ref="BS301" si="6682">BR301</f>
        <v>100843</v>
      </c>
      <c r="BT301" s="293">
        <f t="shared" ref="BT301" si="6683">BS301</f>
        <v>100843</v>
      </c>
      <c r="BU301" s="293">
        <f t="shared" ref="BU301" si="6684">BT301</f>
        <v>100843</v>
      </c>
      <c r="BV301" s="293">
        <f>ROUND(BU301*(1+取值表!$D$14),0)</f>
        <v>107196</v>
      </c>
      <c r="BW301" s="293">
        <f t="shared" ref="BW301" si="6685">BV301</f>
        <v>107196</v>
      </c>
      <c r="BX301" s="293">
        <f t="shared" ref="BX301" si="6686">BW301</f>
        <v>107196</v>
      </c>
      <c r="BY301" s="293">
        <f t="shared" ref="BY301" si="6687">BX301</f>
        <v>107196</v>
      </c>
      <c r="BZ301" s="293">
        <f>ROUND(BY301*(1+取值表!$D$14),0)</f>
        <v>113949</v>
      </c>
      <c r="CA301" s="293">
        <f t="shared" ref="CA301" si="6688">BZ301</f>
        <v>113949</v>
      </c>
      <c r="CB301" s="293">
        <f t="shared" ref="CB301" si="6689">CA301</f>
        <v>113949</v>
      </c>
      <c r="CC301" s="293">
        <f t="shared" ref="CC301" si="6690">CB301</f>
        <v>113949</v>
      </c>
      <c r="CD301" s="293">
        <f>ROUND(CC301*(1+取值表!$D$14),0)</f>
        <v>121128</v>
      </c>
      <c r="CE301" s="293">
        <f t="shared" ref="CE301" si="6691">CD301</f>
        <v>121128</v>
      </c>
      <c r="CF301" s="293">
        <f t="shared" ref="CF301" si="6692">CE301</f>
        <v>121128</v>
      </c>
      <c r="CG301" s="293">
        <f t="shared" ref="CG301" si="6693">CF301</f>
        <v>121128</v>
      </c>
      <c r="CH301" s="293">
        <f>ROUND(CG301*(1+取值表!$D$14),0)</f>
        <v>128759</v>
      </c>
      <c r="CI301" s="293">
        <f>CH301</f>
        <v>128759</v>
      </c>
      <c r="CJ301" s="293">
        <f t="shared" ref="CJ301" si="6694">CI301</f>
        <v>128759</v>
      </c>
      <c r="CK301" s="293">
        <f t="shared" ref="CK301" si="6695">CJ301</f>
        <v>128759</v>
      </c>
      <c r="CL301" s="293">
        <f>ROUND(CK301*(1+取值表!$D$14),0)</f>
        <v>136871</v>
      </c>
      <c r="CM301" s="293">
        <f>CL301</f>
        <v>136871</v>
      </c>
      <c r="CN301" s="293">
        <f t="shared" ref="CN301" si="6696">CM301</f>
        <v>136871</v>
      </c>
      <c r="CO301" s="293">
        <f t="shared" ref="CO301" si="6697">CN301</f>
        <v>136871</v>
      </c>
      <c r="CP301" s="293">
        <f t="shared" si="5740"/>
        <v>6687092</v>
      </c>
    </row>
    <row r="302" spans="1:94">
      <c r="A302" s="680"/>
      <c r="B302" s="645"/>
      <c r="C302" s="646"/>
      <c r="D302" s="647"/>
      <c r="E302" s="648"/>
      <c r="F302" s="642"/>
      <c r="G302" s="642"/>
      <c r="H302" s="643"/>
      <c r="I302" s="291"/>
      <c r="J302" s="295"/>
      <c r="K302" s="293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3"/>
      <c r="W302" s="293"/>
      <c r="X302" s="293"/>
      <c r="Y302" s="293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3"/>
      <c r="AK302" s="293"/>
      <c r="AL302" s="293"/>
      <c r="AM302" s="293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3"/>
      <c r="AY302" s="293"/>
      <c r="AZ302" s="293"/>
      <c r="BA302" s="293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3"/>
      <c r="BM302" s="293"/>
      <c r="BN302" s="293"/>
      <c r="BO302" s="293"/>
      <c r="BP302" s="293"/>
      <c r="BQ302" s="293"/>
      <c r="BR302" s="293"/>
      <c r="BS302" s="293"/>
      <c r="BT302" s="293"/>
      <c r="BU302" s="293"/>
      <c r="BV302" s="293"/>
      <c r="BW302" s="293"/>
      <c r="BX302" s="293"/>
      <c r="BY302" s="293"/>
      <c r="BZ302" s="293"/>
      <c r="CA302" s="293"/>
      <c r="CB302" s="293"/>
      <c r="CC302" s="293"/>
      <c r="CD302" s="293"/>
      <c r="CE302" s="293"/>
      <c r="CF302" s="293"/>
      <c r="CG302" s="293"/>
      <c r="CH302" s="293"/>
      <c r="CI302" s="293"/>
      <c r="CJ302" s="293"/>
      <c r="CK302" s="293"/>
      <c r="CL302" s="293"/>
      <c r="CM302" s="293"/>
      <c r="CN302" s="293"/>
      <c r="CO302" s="293"/>
      <c r="CP302" s="293">
        <f t="shared" si="5740"/>
        <v>0</v>
      </c>
    </row>
    <row r="303" spans="1:94">
      <c r="A303" s="679">
        <v>153</v>
      </c>
      <c r="B303" s="645" t="s">
        <v>288</v>
      </c>
      <c r="C303" s="646" t="s">
        <v>749</v>
      </c>
      <c r="D303" s="647" t="s">
        <v>521</v>
      </c>
      <c r="E303" s="648" t="s">
        <v>505</v>
      </c>
      <c r="F303" s="642">
        <v>210.6</v>
      </c>
      <c r="G303" s="642">
        <v>9.5</v>
      </c>
      <c r="H303" s="643">
        <f>F303*G303*365</f>
        <v>730255.5</v>
      </c>
      <c r="I303" s="291">
        <v>182563.88</v>
      </c>
      <c r="J303" s="295">
        <f>ROUND(G303*F303*365/4,0)</f>
        <v>182564</v>
      </c>
      <c r="K303" s="293">
        <f>J303</f>
        <v>182564</v>
      </c>
      <c r="L303" s="293">
        <f>K303</f>
        <v>182564</v>
      </c>
      <c r="M303" s="292">
        <f>L303</f>
        <v>182564</v>
      </c>
      <c r="N303" s="293">
        <f>ROUND(M303*(1+取值表!$D$14)*取值表!$I$14,0)</f>
        <v>182616</v>
      </c>
      <c r="O303" s="293">
        <f>N303</f>
        <v>182616</v>
      </c>
      <c r="P303" s="293">
        <f>O303</f>
        <v>182616</v>
      </c>
      <c r="Q303" s="293">
        <f>P303</f>
        <v>182616</v>
      </c>
      <c r="R303" s="294">
        <f>ROUND(Q303*(1+取值表!$D$14),0)</f>
        <v>194121</v>
      </c>
      <c r="S303" s="293">
        <f t="shared" ref="S303:T303" si="6698">R303</f>
        <v>194121</v>
      </c>
      <c r="T303" s="293">
        <f t="shared" si="6698"/>
        <v>194121</v>
      </c>
      <c r="U303" s="293">
        <f>T303</f>
        <v>194121</v>
      </c>
      <c r="V303" s="293">
        <f>ROUND(U303*(1+取值表!$D$14),0)</f>
        <v>206351</v>
      </c>
      <c r="W303" s="293">
        <f t="shared" ref="W303:Y303" si="6699">V303</f>
        <v>206351</v>
      </c>
      <c r="X303" s="293">
        <f t="shared" si="6699"/>
        <v>206351</v>
      </c>
      <c r="Y303" s="293">
        <f t="shared" si="6699"/>
        <v>206351</v>
      </c>
      <c r="Z303" s="293">
        <f>ROUND(Y303*(1+取值表!$D$14),0)</f>
        <v>219351</v>
      </c>
      <c r="AA303" s="293">
        <f t="shared" ref="AA303" si="6700">Z303</f>
        <v>219351</v>
      </c>
      <c r="AB303" s="293">
        <f t="shared" ref="AB303" si="6701">AA303</f>
        <v>219351</v>
      </c>
      <c r="AC303" s="293">
        <f>AB303</f>
        <v>219351</v>
      </c>
      <c r="AD303" s="293">
        <f>ROUND(AC303*(1+取值表!$D$14),0)</f>
        <v>233170</v>
      </c>
      <c r="AE303" s="293">
        <f t="shared" ref="AE303" si="6702">AD303</f>
        <v>233170</v>
      </c>
      <c r="AF303" s="293">
        <f t="shared" ref="AF303" si="6703">AE303</f>
        <v>233170</v>
      </c>
      <c r="AG303" s="293">
        <f t="shared" ref="AG303" si="6704">AF303</f>
        <v>233170</v>
      </c>
      <c r="AH303" s="293">
        <f>ROUND(AG303*(1+取值表!$D$14),0)</f>
        <v>247860</v>
      </c>
      <c r="AI303" s="293">
        <f t="shared" ref="AI303" si="6705">AH303</f>
        <v>247860</v>
      </c>
      <c r="AJ303" s="293">
        <f t="shared" ref="AJ303" si="6706">AI303</f>
        <v>247860</v>
      </c>
      <c r="AK303" s="293">
        <f t="shared" ref="AK303" si="6707">AJ303</f>
        <v>247860</v>
      </c>
      <c r="AL303" s="293">
        <f>ROUND(AK303*(1+取值表!$D$14),0)</f>
        <v>263475</v>
      </c>
      <c r="AM303" s="293">
        <f t="shared" ref="AM303" si="6708">AL303</f>
        <v>263475</v>
      </c>
      <c r="AN303" s="293">
        <f t="shared" ref="AN303" si="6709">AM303</f>
        <v>263475</v>
      </c>
      <c r="AO303" s="293">
        <f t="shared" ref="AO303" si="6710">AN303</f>
        <v>263475</v>
      </c>
      <c r="AP303" s="293">
        <f>ROUND(AO303*(1+取值表!$D$14),0)</f>
        <v>280074</v>
      </c>
      <c r="AQ303" s="293">
        <f t="shared" ref="AQ303" si="6711">AP303</f>
        <v>280074</v>
      </c>
      <c r="AR303" s="293">
        <f t="shared" ref="AR303" si="6712">AQ303</f>
        <v>280074</v>
      </c>
      <c r="AS303" s="293">
        <f t="shared" ref="AS303" si="6713">AR303</f>
        <v>280074</v>
      </c>
      <c r="AT303" s="293">
        <f>ROUND(AS303*(1+取值表!$D$14),0)</f>
        <v>297719</v>
      </c>
      <c r="AU303" s="293">
        <f t="shared" ref="AU303" si="6714">AT303</f>
        <v>297719</v>
      </c>
      <c r="AV303" s="293">
        <f t="shared" ref="AV303" si="6715">AU303</f>
        <v>297719</v>
      </c>
      <c r="AW303" s="293">
        <f t="shared" ref="AW303" si="6716">AV303</f>
        <v>297719</v>
      </c>
      <c r="AX303" s="293">
        <f>ROUND(AW303*(1+取值表!$D$14),0)</f>
        <v>316475</v>
      </c>
      <c r="AY303" s="293">
        <f t="shared" ref="AY303" si="6717">AX303</f>
        <v>316475</v>
      </c>
      <c r="AZ303" s="293">
        <f t="shared" ref="AZ303" si="6718">AY303</f>
        <v>316475</v>
      </c>
      <c r="BA303" s="293">
        <f t="shared" ref="BA303" si="6719">AZ303</f>
        <v>316475</v>
      </c>
      <c r="BB303" s="293">
        <f>ROUND(BA303*(1+取值表!$D$14),0)</f>
        <v>336413</v>
      </c>
      <c r="BC303" s="293">
        <f>BB303</f>
        <v>336413</v>
      </c>
      <c r="BD303" s="293">
        <f t="shared" ref="BD303" si="6720">BC303</f>
        <v>336413</v>
      </c>
      <c r="BE303" s="293">
        <f>BD303</f>
        <v>336413</v>
      </c>
      <c r="BF303" s="293">
        <f>ROUND(BE303*(1+取值表!$D$14),0)</f>
        <v>357607</v>
      </c>
      <c r="BG303" s="293">
        <f>BF303</f>
        <v>357607</v>
      </c>
      <c r="BH303" s="293">
        <f t="shared" ref="BH303" si="6721">BG303</f>
        <v>357607</v>
      </c>
      <c r="BI303" s="293">
        <f t="shared" ref="BI303" si="6722">BH303</f>
        <v>357607</v>
      </c>
      <c r="BJ303" s="293">
        <f>ROUND(BI303*(1+取值表!$D$14),0)</f>
        <v>380136</v>
      </c>
      <c r="BK303" s="293">
        <f t="shared" ref="BK303" si="6723">BJ303</f>
        <v>380136</v>
      </c>
      <c r="BL303" s="293">
        <f t="shared" ref="BL303" si="6724">BK303</f>
        <v>380136</v>
      </c>
      <c r="BM303" s="293">
        <f t="shared" ref="BM303" si="6725">BL303</f>
        <v>380136</v>
      </c>
      <c r="BN303" s="293">
        <f>ROUND(BM303*(1+取值表!$D$14),0)</f>
        <v>404085</v>
      </c>
      <c r="BO303" s="293">
        <f t="shared" ref="BO303" si="6726">BN303</f>
        <v>404085</v>
      </c>
      <c r="BP303" s="293">
        <f t="shared" ref="BP303" si="6727">BO303</f>
        <v>404085</v>
      </c>
      <c r="BQ303" s="293">
        <f t="shared" ref="BQ303" si="6728">BP303</f>
        <v>404085</v>
      </c>
      <c r="BR303" s="293">
        <f>ROUND(BQ303*(1+取值表!$D$14),0)</f>
        <v>429542</v>
      </c>
      <c r="BS303" s="293">
        <f t="shared" ref="BS303" si="6729">BR303</f>
        <v>429542</v>
      </c>
      <c r="BT303" s="293">
        <f t="shared" ref="BT303" si="6730">BS303</f>
        <v>429542</v>
      </c>
      <c r="BU303" s="293">
        <f t="shared" ref="BU303" si="6731">BT303</f>
        <v>429542</v>
      </c>
      <c r="BV303" s="293">
        <f>ROUND(BU303*(1+取值表!$D$14),0)</f>
        <v>456603</v>
      </c>
      <c r="BW303" s="293">
        <f t="shared" ref="BW303" si="6732">BV303</f>
        <v>456603</v>
      </c>
      <c r="BX303" s="293">
        <f t="shared" ref="BX303" si="6733">BW303</f>
        <v>456603</v>
      </c>
      <c r="BY303" s="293">
        <f t="shared" ref="BY303" si="6734">BX303</f>
        <v>456603</v>
      </c>
      <c r="BZ303" s="293">
        <f>ROUND(BY303*(1+取值表!$D$14),0)</f>
        <v>485369</v>
      </c>
      <c r="CA303" s="293">
        <f t="shared" ref="CA303" si="6735">BZ303</f>
        <v>485369</v>
      </c>
      <c r="CB303" s="293">
        <f t="shared" ref="CB303" si="6736">CA303</f>
        <v>485369</v>
      </c>
      <c r="CC303" s="293">
        <f t="shared" ref="CC303" si="6737">CB303</f>
        <v>485369</v>
      </c>
      <c r="CD303" s="293">
        <f>ROUND(CC303*(1+取值表!$D$14),0)</f>
        <v>515947</v>
      </c>
      <c r="CE303" s="293">
        <f t="shared" ref="CE303" si="6738">CD303</f>
        <v>515947</v>
      </c>
      <c r="CF303" s="293">
        <f t="shared" ref="CF303" si="6739">CE303</f>
        <v>515947</v>
      </c>
      <c r="CG303" s="293">
        <f t="shared" ref="CG303" si="6740">CF303</f>
        <v>515947</v>
      </c>
      <c r="CH303" s="293">
        <f>ROUND(CG303*(1+取值表!$D$14),0)</f>
        <v>548452</v>
      </c>
      <c r="CI303" s="293">
        <f>CH303</f>
        <v>548452</v>
      </c>
      <c r="CJ303" s="293">
        <f t="shared" ref="CJ303" si="6741">CI303</f>
        <v>548452</v>
      </c>
      <c r="CK303" s="293">
        <f t="shared" ref="CK303" si="6742">CJ303</f>
        <v>548452</v>
      </c>
      <c r="CL303" s="293">
        <f>ROUND(CK303*(1+取值表!$D$14),0)</f>
        <v>583004</v>
      </c>
      <c r="CM303" s="293">
        <f>CL303</f>
        <v>583004</v>
      </c>
      <c r="CN303" s="293">
        <f t="shared" ref="CN303" si="6743">CM303</f>
        <v>583004</v>
      </c>
      <c r="CO303" s="293">
        <f t="shared" ref="CO303" si="6744">CN303</f>
        <v>583004</v>
      </c>
      <c r="CP303" s="293">
        <f t="shared" si="5740"/>
        <v>28483736</v>
      </c>
    </row>
    <row r="304" spans="1:94">
      <c r="A304" s="680"/>
      <c r="B304" s="645"/>
      <c r="C304" s="646"/>
      <c r="D304" s="647"/>
      <c r="E304" s="648"/>
      <c r="F304" s="642"/>
      <c r="G304" s="642"/>
      <c r="H304" s="643"/>
      <c r="I304" s="291"/>
      <c r="J304" s="295"/>
      <c r="K304" s="293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3"/>
      <c r="AK304" s="293"/>
      <c r="AL304" s="293"/>
      <c r="AM304" s="293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3"/>
      <c r="AY304" s="293"/>
      <c r="AZ304" s="293"/>
      <c r="BA304" s="293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3"/>
      <c r="BM304" s="293"/>
      <c r="BN304" s="293"/>
      <c r="BO304" s="293"/>
      <c r="BP304" s="293"/>
      <c r="BQ304" s="293"/>
      <c r="BR304" s="293"/>
      <c r="BS304" s="293"/>
      <c r="BT304" s="293"/>
      <c r="BU304" s="293"/>
      <c r="BV304" s="293"/>
      <c r="BW304" s="293"/>
      <c r="BX304" s="293"/>
      <c r="BY304" s="293"/>
      <c r="BZ304" s="293"/>
      <c r="CA304" s="293"/>
      <c r="CB304" s="293"/>
      <c r="CC304" s="293"/>
      <c r="CD304" s="293"/>
      <c r="CE304" s="293"/>
      <c r="CF304" s="293"/>
      <c r="CG304" s="293"/>
      <c r="CH304" s="293"/>
      <c r="CI304" s="293"/>
      <c r="CJ304" s="293"/>
      <c r="CK304" s="293"/>
      <c r="CL304" s="293"/>
      <c r="CM304" s="293"/>
      <c r="CN304" s="293"/>
      <c r="CO304" s="293"/>
      <c r="CP304" s="293">
        <f t="shared" si="5740"/>
        <v>0</v>
      </c>
    </row>
    <row r="305" spans="1:212" ht="21" customHeight="1">
      <c r="A305" s="336">
        <v>154</v>
      </c>
      <c r="B305" s="301" t="s">
        <v>344</v>
      </c>
      <c r="C305" s="301" t="s">
        <v>345</v>
      </c>
      <c r="D305" s="337" t="s">
        <v>346</v>
      </c>
      <c r="E305" s="338" t="s">
        <v>505</v>
      </c>
      <c r="F305" s="339">
        <v>18.899999999999999</v>
      </c>
      <c r="G305" s="339">
        <v>20</v>
      </c>
      <c r="H305" s="320">
        <f t="shared" ref="H305:H307" si="6745">G305*F305*365</f>
        <v>137970</v>
      </c>
      <c r="I305" s="291">
        <v>34492.5</v>
      </c>
      <c r="J305" s="304">
        <f>ROUND(G305*F305*365/4,0)</f>
        <v>34493</v>
      </c>
      <c r="K305" s="303">
        <f t="shared" ref="K305:K306" si="6746">J305</f>
        <v>34493</v>
      </c>
      <c r="L305" s="323">
        <f>K305</f>
        <v>34493</v>
      </c>
      <c r="M305" s="303">
        <f>L305</f>
        <v>34493</v>
      </c>
      <c r="N305" s="293">
        <f>ROUND(M305*(1+取值表!$D$14)*取值表!$I$14,0)</f>
        <v>34503</v>
      </c>
      <c r="O305" s="303">
        <f>N305</f>
        <v>34503</v>
      </c>
      <c r="P305" s="303">
        <f>O305</f>
        <v>34503</v>
      </c>
      <c r="Q305" s="303">
        <f>P305</f>
        <v>34503</v>
      </c>
      <c r="R305" s="294">
        <f>ROUND(Q305*(1+取值表!$D$14),0)</f>
        <v>36677</v>
      </c>
      <c r="S305" s="303">
        <f t="shared" ref="S305:T308" si="6747">R305</f>
        <v>36677</v>
      </c>
      <c r="T305" s="340">
        <f t="shared" si="6747"/>
        <v>36677</v>
      </c>
      <c r="U305" s="341">
        <f t="shared" ref="U305:U310" si="6748">T305</f>
        <v>36677</v>
      </c>
      <c r="V305" s="293">
        <f>ROUND(U305*(1+取值表!$D$14),0)</f>
        <v>38988</v>
      </c>
      <c r="W305" s="303">
        <f t="shared" ref="W305:Y305" si="6749">V305</f>
        <v>38988</v>
      </c>
      <c r="X305" s="340">
        <f t="shared" si="6749"/>
        <v>38988</v>
      </c>
      <c r="Y305" s="341">
        <f t="shared" si="6749"/>
        <v>38988</v>
      </c>
      <c r="Z305" s="293">
        <f>ROUND(Y305*(1+取值表!$D$14),0)</f>
        <v>41444</v>
      </c>
      <c r="AA305" s="303">
        <f t="shared" ref="AA305" si="6750">Z305</f>
        <v>41444</v>
      </c>
      <c r="AB305" s="340">
        <f t="shared" ref="AB305" si="6751">AA305</f>
        <v>41444</v>
      </c>
      <c r="AC305" s="341">
        <f>AB305</f>
        <v>41444</v>
      </c>
      <c r="AD305" s="293">
        <f>ROUND(AC305*(1+取值表!$D$14),0)</f>
        <v>44055</v>
      </c>
      <c r="AE305" s="303">
        <f t="shared" ref="AE305:AE308" si="6752">AD305</f>
        <v>44055</v>
      </c>
      <c r="AF305" s="340">
        <f t="shared" ref="AF305:AF308" si="6753">AE305</f>
        <v>44055</v>
      </c>
      <c r="AG305" s="341">
        <f t="shared" ref="AG305:AG308" si="6754">AF305</f>
        <v>44055</v>
      </c>
      <c r="AH305" s="293">
        <f>ROUND(AG305*(1+取值表!$D$14),0)</f>
        <v>46830</v>
      </c>
      <c r="AI305" s="303">
        <f t="shared" ref="AI305:AI310" si="6755">AH305</f>
        <v>46830</v>
      </c>
      <c r="AJ305" s="340">
        <f t="shared" ref="AJ305:AJ310" si="6756">AI305</f>
        <v>46830</v>
      </c>
      <c r="AK305" s="341">
        <f t="shared" ref="AK305:AK310" si="6757">AJ305</f>
        <v>46830</v>
      </c>
      <c r="AL305" s="293">
        <f>ROUND(AK305*(1+取值表!$D$14),0)</f>
        <v>49780</v>
      </c>
      <c r="AM305" s="303">
        <f t="shared" ref="AM305:AM310" si="6758">AL305</f>
        <v>49780</v>
      </c>
      <c r="AN305" s="340">
        <f t="shared" ref="AN305:AN310" si="6759">AM305</f>
        <v>49780</v>
      </c>
      <c r="AO305" s="341">
        <f t="shared" ref="AO305:AO310" si="6760">AN305</f>
        <v>49780</v>
      </c>
      <c r="AP305" s="293">
        <f>ROUND(AO305*(1+取值表!$D$14),0)</f>
        <v>52916</v>
      </c>
      <c r="AQ305" s="303">
        <f t="shared" ref="AQ305:AQ310" si="6761">AP305</f>
        <v>52916</v>
      </c>
      <c r="AR305" s="340">
        <f t="shared" ref="AR305:AR310" si="6762">AQ305</f>
        <v>52916</v>
      </c>
      <c r="AS305" s="341">
        <f t="shared" ref="AS305:AS310" si="6763">AR305</f>
        <v>52916</v>
      </c>
      <c r="AT305" s="293">
        <f>ROUND(AS305*(1+取值表!$D$14),0)</f>
        <v>56250</v>
      </c>
      <c r="AU305" s="303">
        <f t="shared" ref="AU305:AU310" si="6764">AT305</f>
        <v>56250</v>
      </c>
      <c r="AV305" s="340">
        <f t="shared" ref="AV305:AV310" si="6765">AU305</f>
        <v>56250</v>
      </c>
      <c r="AW305" s="341">
        <f t="shared" ref="AW305:AW310" si="6766">AV305</f>
        <v>56250</v>
      </c>
      <c r="AX305" s="293">
        <f>ROUND(AW305*(1+取值表!$D$14),0)</f>
        <v>59794</v>
      </c>
      <c r="AY305" s="303">
        <f t="shared" ref="AY305:AY310" si="6767">AX305</f>
        <v>59794</v>
      </c>
      <c r="AZ305" s="340">
        <f t="shared" ref="AZ305:AZ310" si="6768">AY305</f>
        <v>59794</v>
      </c>
      <c r="BA305" s="341">
        <f t="shared" ref="BA305:BA310" si="6769">AZ305</f>
        <v>59794</v>
      </c>
      <c r="BB305" s="293">
        <f>ROUND(BA305*(1+取值表!$D$14),0)</f>
        <v>63561</v>
      </c>
      <c r="BC305" s="303">
        <f t="shared" ref="BC305:BC310" si="6770">BB305</f>
        <v>63561</v>
      </c>
      <c r="BD305" s="340">
        <f t="shared" ref="BD305:BD310" si="6771">BC305</f>
        <v>63561</v>
      </c>
      <c r="BE305" s="341">
        <f t="shared" ref="BE305:BE310" si="6772">BD305</f>
        <v>63561</v>
      </c>
      <c r="BF305" s="293">
        <f>ROUND(BE305*(1+取值表!$D$14),0)</f>
        <v>67565</v>
      </c>
      <c r="BG305" s="303">
        <f t="shared" ref="BG305:BG310" si="6773">BF305</f>
        <v>67565</v>
      </c>
      <c r="BH305" s="340">
        <f t="shared" ref="BH305:BH310" si="6774">BG305</f>
        <v>67565</v>
      </c>
      <c r="BI305" s="341">
        <f t="shared" ref="BI305:BI310" si="6775">BH305</f>
        <v>67565</v>
      </c>
      <c r="BJ305" s="293">
        <f>ROUND(BI305*(1+取值表!$D$14),0)</f>
        <v>71822</v>
      </c>
      <c r="BK305" s="303">
        <f t="shared" ref="BK305:BK310" si="6776">BJ305</f>
        <v>71822</v>
      </c>
      <c r="BL305" s="340">
        <f t="shared" ref="BL305:BL310" si="6777">BK305</f>
        <v>71822</v>
      </c>
      <c r="BM305" s="341">
        <f t="shared" ref="BM305:BM310" si="6778">BL305</f>
        <v>71822</v>
      </c>
      <c r="BN305" s="293">
        <f>ROUND(BM305*(1+取值表!$D$14),0)</f>
        <v>76347</v>
      </c>
      <c r="BO305" s="303">
        <f t="shared" ref="BO305:BO310" si="6779">BN305</f>
        <v>76347</v>
      </c>
      <c r="BP305" s="340">
        <f t="shared" ref="BP305:BP310" si="6780">BO305</f>
        <v>76347</v>
      </c>
      <c r="BQ305" s="341">
        <f t="shared" ref="BQ305:BQ310" si="6781">BP305</f>
        <v>76347</v>
      </c>
      <c r="BR305" s="293">
        <f>ROUND(BQ305*(1+取值表!$D$14),0)</f>
        <v>81157</v>
      </c>
      <c r="BS305" s="303">
        <f t="shared" ref="BS305:BS310" si="6782">BR305</f>
        <v>81157</v>
      </c>
      <c r="BT305" s="340">
        <f t="shared" ref="BT305:BT310" si="6783">BS305</f>
        <v>81157</v>
      </c>
      <c r="BU305" s="341">
        <f t="shared" ref="BU305:BU310" si="6784">BT305</f>
        <v>81157</v>
      </c>
      <c r="BV305" s="293">
        <f>ROUND(BU305*(1+取值表!$D$14),0)</f>
        <v>86270</v>
      </c>
      <c r="BW305" s="303">
        <f t="shared" ref="BW305:BW310" si="6785">BV305</f>
        <v>86270</v>
      </c>
      <c r="BX305" s="340">
        <f t="shared" ref="BX305:BX310" si="6786">BW305</f>
        <v>86270</v>
      </c>
      <c r="BY305" s="341">
        <f t="shared" ref="BY305:BY310" si="6787">BX305</f>
        <v>86270</v>
      </c>
      <c r="BZ305" s="293">
        <f>ROUND(BY305*(1+取值表!$D$14),0)</f>
        <v>91705</v>
      </c>
      <c r="CA305" s="303">
        <f t="shared" ref="CA305:CA310" si="6788">BZ305</f>
        <v>91705</v>
      </c>
      <c r="CB305" s="340">
        <f t="shared" ref="CB305:CB310" si="6789">CA305</f>
        <v>91705</v>
      </c>
      <c r="CC305" s="341">
        <f t="shared" ref="CC305:CC310" si="6790">CB305</f>
        <v>91705</v>
      </c>
      <c r="CD305" s="293">
        <f>ROUND(CC305*(1+取值表!$D$14),0)</f>
        <v>97482</v>
      </c>
      <c r="CE305" s="303">
        <f t="shared" ref="CE305:CE310" si="6791">CD305</f>
        <v>97482</v>
      </c>
      <c r="CF305" s="340">
        <f t="shared" ref="CF305:CF310" si="6792">CE305</f>
        <v>97482</v>
      </c>
      <c r="CG305" s="341">
        <f t="shared" ref="CG305:CG310" si="6793">CF305</f>
        <v>97482</v>
      </c>
      <c r="CH305" s="293">
        <f>ROUND(CG305*(1+取值表!$D$14),0)</f>
        <v>103623</v>
      </c>
      <c r="CI305" s="303">
        <f t="shared" ref="CI305:CI310" si="6794">CH305</f>
        <v>103623</v>
      </c>
      <c r="CJ305" s="340">
        <f t="shared" ref="CJ305:CJ310" si="6795">CI305</f>
        <v>103623</v>
      </c>
      <c r="CK305" s="341">
        <f t="shared" ref="CK305:CK310" si="6796">CJ305</f>
        <v>103623</v>
      </c>
      <c r="CL305" s="293">
        <f>ROUND(CK305*(1+取值表!$D$14),0)</f>
        <v>110151</v>
      </c>
      <c r="CM305" s="303">
        <f t="shared" ref="CM305:CM310" si="6797">CL305</f>
        <v>110151</v>
      </c>
      <c r="CN305" s="340">
        <f t="shared" ref="CN305:CN310" si="6798">CM305</f>
        <v>110151</v>
      </c>
      <c r="CO305" s="341">
        <f t="shared" ref="CO305:CO310" si="6799">CN305</f>
        <v>110151</v>
      </c>
      <c r="CP305" s="293">
        <f t="shared" si="5740"/>
        <v>5381652</v>
      </c>
    </row>
    <row r="306" spans="1:212" ht="21" customHeight="1">
      <c r="A306" s="325">
        <v>155</v>
      </c>
      <c r="B306" s="301" t="s">
        <v>343</v>
      </c>
      <c r="C306" s="301" t="s">
        <v>1159</v>
      </c>
      <c r="D306" s="342" t="s">
        <v>348</v>
      </c>
      <c r="E306" s="343" t="s">
        <v>505</v>
      </c>
      <c r="F306" s="291">
        <v>90</v>
      </c>
      <c r="G306" s="303">
        <v>6.75</v>
      </c>
      <c r="H306" s="311">
        <f t="shared" si="6745"/>
        <v>221737.5</v>
      </c>
      <c r="I306" s="302">
        <v>55434.375</v>
      </c>
      <c r="J306" s="304">
        <f>ROUND(G306*F306*365/4,0)</f>
        <v>55434</v>
      </c>
      <c r="K306" s="344">
        <f t="shared" si="6746"/>
        <v>55434</v>
      </c>
      <c r="L306" s="344">
        <f>K306</f>
        <v>55434</v>
      </c>
      <c r="M306" s="344">
        <f t="shared" ref="M306" si="6800">L306</f>
        <v>55434</v>
      </c>
      <c r="N306" s="344">
        <f t="shared" ref="N306" si="6801">M306</f>
        <v>55434</v>
      </c>
      <c r="O306" s="344">
        <f>N306</f>
        <v>55434</v>
      </c>
      <c r="P306" s="345">
        <f t="shared" ref="P306" si="6802">O306</f>
        <v>55434</v>
      </c>
      <c r="Q306" s="344">
        <f>P306</f>
        <v>55434</v>
      </c>
      <c r="R306" s="293">
        <f>ROUND(Q306*(1+取值表!$D$14)*取值表!$I$14,0)</f>
        <v>55450</v>
      </c>
      <c r="S306" s="324">
        <f t="shared" si="6747"/>
        <v>55450</v>
      </c>
      <c r="T306" s="324">
        <f t="shared" si="6747"/>
        <v>55450</v>
      </c>
      <c r="U306" s="324">
        <f t="shared" si="6748"/>
        <v>55450</v>
      </c>
      <c r="V306" s="294">
        <f>ROUND(U306*(1+取值表!$D$14),0)</f>
        <v>58943</v>
      </c>
      <c r="W306" s="324">
        <f t="shared" ref="W306:Y306" si="6803">V306</f>
        <v>58943</v>
      </c>
      <c r="X306" s="324">
        <f t="shared" si="6803"/>
        <v>58943</v>
      </c>
      <c r="Y306" s="324">
        <f t="shared" si="6803"/>
        <v>58943</v>
      </c>
      <c r="Z306" s="293">
        <f>ROUND(Y306*(1+取值表!$D$14),0)</f>
        <v>62656</v>
      </c>
      <c r="AA306" s="324">
        <f t="shared" ref="AA306:AB306" si="6804">Z306</f>
        <v>62656</v>
      </c>
      <c r="AB306" s="324">
        <f t="shared" si="6804"/>
        <v>62656</v>
      </c>
      <c r="AC306" s="324">
        <f>AB306</f>
        <v>62656</v>
      </c>
      <c r="AD306" s="293">
        <f>ROUND(AC306*(1+取值表!$D$14),0)</f>
        <v>66603</v>
      </c>
      <c r="AE306" s="324">
        <f t="shared" si="6752"/>
        <v>66603</v>
      </c>
      <c r="AF306" s="324">
        <f t="shared" si="6753"/>
        <v>66603</v>
      </c>
      <c r="AG306" s="324">
        <f t="shared" si="6754"/>
        <v>66603</v>
      </c>
      <c r="AH306" s="293">
        <f>ROUND(AG306*(1+取值表!$D$14),0)</f>
        <v>70799</v>
      </c>
      <c r="AI306" s="324">
        <f t="shared" si="6755"/>
        <v>70799</v>
      </c>
      <c r="AJ306" s="324">
        <f t="shared" si="6756"/>
        <v>70799</v>
      </c>
      <c r="AK306" s="324">
        <f t="shared" si="6757"/>
        <v>70799</v>
      </c>
      <c r="AL306" s="293">
        <f>ROUND(AK306*(1+取值表!$D$14),0)</f>
        <v>75259</v>
      </c>
      <c r="AM306" s="324">
        <f t="shared" si="6758"/>
        <v>75259</v>
      </c>
      <c r="AN306" s="324">
        <f t="shared" si="6759"/>
        <v>75259</v>
      </c>
      <c r="AO306" s="324">
        <f t="shared" si="6760"/>
        <v>75259</v>
      </c>
      <c r="AP306" s="293">
        <f>ROUND(AO306*(1+取值表!$D$14),0)</f>
        <v>80000</v>
      </c>
      <c r="AQ306" s="324">
        <f t="shared" si="6761"/>
        <v>80000</v>
      </c>
      <c r="AR306" s="324">
        <f t="shared" si="6762"/>
        <v>80000</v>
      </c>
      <c r="AS306" s="324">
        <f t="shared" si="6763"/>
        <v>80000</v>
      </c>
      <c r="AT306" s="293">
        <f>ROUND(AS306*(1+取值表!$D$14),0)</f>
        <v>85040</v>
      </c>
      <c r="AU306" s="324">
        <f t="shared" si="6764"/>
        <v>85040</v>
      </c>
      <c r="AV306" s="324">
        <f t="shared" si="6765"/>
        <v>85040</v>
      </c>
      <c r="AW306" s="324">
        <f t="shared" si="6766"/>
        <v>85040</v>
      </c>
      <c r="AX306" s="293">
        <f>ROUND(AW306*(1+取值表!$D$14),0)</f>
        <v>90398</v>
      </c>
      <c r="AY306" s="324">
        <f t="shared" si="6767"/>
        <v>90398</v>
      </c>
      <c r="AZ306" s="324">
        <f t="shared" si="6768"/>
        <v>90398</v>
      </c>
      <c r="BA306" s="324">
        <f t="shared" si="6769"/>
        <v>90398</v>
      </c>
      <c r="BB306" s="293">
        <f>ROUND(BA306*(1+取值表!$D$14),0)</f>
        <v>96093</v>
      </c>
      <c r="BC306" s="324">
        <f t="shared" si="6770"/>
        <v>96093</v>
      </c>
      <c r="BD306" s="324">
        <f t="shared" si="6771"/>
        <v>96093</v>
      </c>
      <c r="BE306" s="324">
        <f t="shared" si="6772"/>
        <v>96093</v>
      </c>
      <c r="BF306" s="293">
        <f>ROUND(BE306*(1+取值表!$D$14),0)</f>
        <v>102147</v>
      </c>
      <c r="BG306" s="324">
        <f t="shared" si="6773"/>
        <v>102147</v>
      </c>
      <c r="BH306" s="324">
        <f t="shared" si="6774"/>
        <v>102147</v>
      </c>
      <c r="BI306" s="324">
        <f t="shared" si="6775"/>
        <v>102147</v>
      </c>
      <c r="BJ306" s="293">
        <f>ROUND(BI306*(1+取值表!$D$14),0)</f>
        <v>108582</v>
      </c>
      <c r="BK306" s="324">
        <f t="shared" si="6776"/>
        <v>108582</v>
      </c>
      <c r="BL306" s="324">
        <f t="shared" si="6777"/>
        <v>108582</v>
      </c>
      <c r="BM306" s="324">
        <f t="shared" si="6778"/>
        <v>108582</v>
      </c>
      <c r="BN306" s="293">
        <f>ROUND(BM306*(1+取值表!$D$14),0)</f>
        <v>115423</v>
      </c>
      <c r="BO306" s="324">
        <f t="shared" si="6779"/>
        <v>115423</v>
      </c>
      <c r="BP306" s="324">
        <f t="shared" si="6780"/>
        <v>115423</v>
      </c>
      <c r="BQ306" s="324">
        <f t="shared" si="6781"/>
        <v>115423</v>
      </c>
      <c r="BR306" s="293">
        <f>ROUND(BQ306*(1+取值表!$D$14),0)</f>
        <v>122695</v>
      </c>
      <c r="BS306" s="324">
        <f t="shared" si="6782"/>
        <v>122695</v>
      </c>
      <c r="BT306" s="324">
        <f t="shared" si="6783"/>
        <v>122695</v>
      </c>
      <c r="BU306" s="324">
        <f t="shared" si="6784"/>
        <v>122695</v>
      </c>
      <c r="BV306" s="293">
        <f>ROUND(BU306*(1+取值表!$D$14),0)</f>
        <v>130425</v>
      </c>
      <c r="BW306" s="324">
        <f t="shared" si="6785"/>
        <v>130425</v>
      </c>
      <c r="BX306" s="324">
        <f t="shared" si="6786"/>
        <v>130425</v>
      </c>
      <c r="BY306" s="324">
        <f t="shared" si="6787"/>
        <v>130425</v>
      </c>
      <c r="BZ306" s="293">
        <f>ROUND(BY306*(1+取值表!$D$14),0)</f>
        <v>138642</v>
      </c>
      <c r="CA306" s="324">
        <f t="shared" si="6788"/>
        <v>138642</v>
      </c>
      <c r="CB306" s="324">
        <f t="shared" si="6789"/>
        <v>138642</v>
      </c>
      <c r="CC306" s="324">
        <f t="shared" si="6790"/>
        <v>138642</v>
      </c>
      <c r="CD306" s="293">
        <f>ROUND(CC306*(1+取值表!$D$14),0)</f>
        <v>147376</v>
      </c>
      <c r="CE306" s="324">
        <f t="shared" si="6791"/>
        <v>147376</v>
      </c>
      <c r="CF306" s="324">
        <f t="shared" si="6792"/>
        <v>147376</v>
      </c>
      <c r="CG306" s="324">
        <f t="shared" si="6793"/>
        <v>147376</v>
      </c>
      <c r="CH306" s="293">
        <f>ROUND(CG306*(1+取值表!$D$14),0)</f>
        <v>156661</v>
      </c>
      <c r="CI306" s="324">
        <f t="shared" si="6794"/>
        <v>156661</v>
      </c>
      <c r="CJ306" s="324">
        <f t="shared" si="6795"/>
        <v>156661</v>
      </c>
      <c r="CK306" s="324">
        <f t="shared" si="6796"/>
        <v>156661</v>
      </c>
      <c r="CL306" s="293">
        <f>ROUND(CK306*(1+取值表!$D$14),0)</f>
        <v>166531</v>
      </c>
      <c r="CM306" s="324">
        <f t="shared" si="6797"/>
        <v>166531</v>
      </c>
      <c r="CN306" s="324">
        <f t="shared" si="6798"/>
        <v>166531</v>
      </c>
      <c r="CO306" s="324">
        <f t="shared" si="6799"/>
        <v>166531</v>
      </c>
      <c r="CP306" s="293">
        <f t="shared" si="5740"/>
        <v>8162364</v>
      </c>
    </row>
    <row r="307" spans="1:212" ht="21" customHeight="1">
      <c r="A307" s="336">
        <v>156</v>
      </c>
      <c r="B307" s="301" t="s">
        <v>349</v>
      </c>
      <c r="C307" s="301" t="s">
        <v>1168</v>
      </c>
      <c r="D307" s="346" t="s">
        <v>351</v>
      </c>
      <c r="E307" s="338" t="s">
        <v>505</v>
      </c>
      <c r="F307" s="347">
        <v>166.37</v>
      </c>
      <c r="G307" s="348">
        <v>5.5</v>
      </c>
      <c r="H307" s="320">
        <f t="shared" si="6745"/>
        <v>333987.77500000002</v>
      </c>
      <c r="I307" s="291">
        <v>83496.94</v>
      </c>
      <c r="J307" s="304">
        <f>ROUND(G307*F307*365/4,0)</f>
        <v>83497</v>
      </c>
      <c r="K307" s="345">
        <f>J307</f>
        <v>83497</v>
      </c>
      <c r="L307" s="344">
        <f>K307</f>
        <v>83497</v>
      </c>
      <c r="M307" s="303">
        <f>L307</f>
        <v>83497</v>
      </c>
      <c r="N307" s="293">
        <f>ROUND(M307*(1+取值表!$D$14)*取值表!$I$14,0)</f>
        <v>83521</v>
      </c>
      <c r="O307" s="324">
        <f>N307</f>
        <v>83521</v>
      </c>
      <c r="P307" s="324">
        <f>O307</f>
        <v>83521</v>
      </c>
      <c r="Q307" s="324">
        <f>P307</f>
        <v>83521</v>
      </c>
      <c r="R307" s="294">
        <f>ROUND(Q307*(1+取值表!$D$14),0)</f>
        <v>88783</v>
      </c>
      <c r="S307" s="324">
        <f t="shared" si="6747"/>
        <v>88783</v>
      </c>
      <c r="T307" s="324">
        <f t="shared" si="6747"/>
        <v>88783</v>
      </c>
      <c r="U307" s="324">
        <f t="shared" si="6748"/>
        <v>88783</v>
      </c>
      <c r="V307" s="293">
        <f>ROUND(U307*(1+取值表!$D$14),0)</f>
        <v>94376</v>
      </c>
      <c r="W307" s="324">
        <f t="shared" ref="W307:Y307" si="6805">V307</f>
        <v>94376</v>
      </c>
      <c r="X307" s="324">
        <f t="shared" si="6805"/>
        <v>94376</v>
      </c>
      <c r="Y307" s="324">
        <f t="shared" si="6805"/>
        <v>94376</v>
      </c>
      <c r="Z307" s="293">
        <f>ROUND(Y307*(1+取值表!$D$14),0)</f>
        <v>100322</v>
      </c>
      <c r="AA307" s="324">
        <f t="shared" ref="AA307:AB308" si="6806">Z307</f>
        <v>100322</v>
      </c>
      <c r="AB307" s="324">
        <f t="shared" si="6806"/>
        <v>100322</v>
      </c>
      <c r="AC307" s="324">
        <f>AB307</f>
        <v>100322</v>
      </c>
      <c r="AD307" s="293">
        <f>ROUND(AC307*(1+取值表!$D$14),0)</f>
        <v>106642</v>
      </c>
      <c r="AE307" s="324">
        <f t="shared" si="6752"/>
        <v>106642</v>
      </c>
      <c r="AF307" s="324">
        <f t="shared" si="6753"/>
        <v>106642</v>
      </c>
      <c r="AG307" s="324">
        <f t="shared" si="6754"/>
        <v>106642</v>
      </c>
      <c r="AH307" s="293">
        <f>ROUND(AG307*(1+取值表!$D$14),0)</f>
        <v>113360</v>
      </c>
      <c r="AI307" s="324">
        <f t="shared" si="6755"/>
        <v>113360</v>
      </c>
      <c r="AJ307" s="324">
        <f t="shared" si="6756"/>
        <v>113360</v>
      </c>
      <c r="AK307" s="324">
        <f t="shared" si="6757"/>
        <v>113360</v>
      </c>
      <c r="AL307" s="293">
        <f>ROUND(AK307*(1+取值表!$D$14),0)</f>
        <v>120502</v>
      </c>
      <c r="AM307" s="324">
        <f t="shared" si="6758"/>
        <v>120502</v>
      </c>
      <c r="AN307" s="324">
        <f t="shared" si="6759"/>
        <v>120502</v>
      </c>
      <c r="AO307" s="324">
        <f t="shared" si="6760"/>
        <v>120502</v>
      </c>
      <c r="AP307" s="293">
        <f>ROUND(AO307*(1+取值表!$D$14),0)</f>
        <v>128094</v>
      </c>
      <c r="AQ307" s="324">
        <f t="shared" si="6761"/>
        <v>128094</v>
      </c>
      <c r="AR307" s="324">
        <f t="shared" si="6762"/>
        <v>128094</v>
      </c>
      <c r="AS307" s="324">
        <f t="shared" si="6763"/>
        <v>128094</v>
      </c>
      <c r="AT307" s="293">
        <f>ROUND(AS307*(1+取值表!$D$14),0)</f>
        <v>136164</v>
      </c>
      <c r="AU307" s="324">
        <f t="shared" si="6764"/>
        <v>136164</v>
      </c>
      <c r="AV307" s="324">
        <f t="shared" si="6765"/>
        <v>136164</v>
      </c>
      <c r="AW307" s="324">
        <f t="shared" si="6766"/>
        <v>136164</v>
      </c>
      <c r="AX307" s="293">
        <f>ROUND(AW307*(1+取值表!$D$14),0)</f>
        <v>144742</v>
      </c>
      <c r="AY307" s="324">
        <f t="shared" si="6767"/>
        <v>144742</v>
      </c>
      <c r="AZ307" s="324">
        <f t="shared" si="6768"/>
        <v>144742</v>
      </c>
      <c r="BA307" s="324">
        <f t="shared" si="6769"/>
        <v>144742</v>
      </c>
      <c r="BB307" s="293">
        <f>ROUND(BA307*(1+取值表!$D$14),0)</f>
        <v>153861</v>
      </c>
      <c r="BC307" s="324">
        <f t="shared" si="6770"/>
        <v>153861</v>
      </c>
      <c r="BD307" s="324">
        <f t="shared" si="6771"/>
        <v>153861</v>
      </c>
      <c r="BE307" s="324">
        <f t="shared" si="6772"/>
        <v>153861</v>
      </c>
      <c r="BF307" s="293">
        <f>ROUND(BE307*(1+取值表!$D$14),0)</f>
        <v>163554</v>
      </c>
      <c r="BG307" s="324">
        <f t="shared" si="6773"/>
        <v>163554</v>
      </c>
      <c r="BH307" s="324">
        <f t="shared" si="6774"/>
        <v>163554</v>
      </c>
      <c r="BI307" s="324">
        <f t="shared" si="6775"/>
        <v>163554</v>
      </c>
      <c r="BJ307" s="293">
        <f>ROUND(BI307*(1+取值表!$D$14),0)</f>
        <v>173858</v>
      </c>
      <c r="BK307" s="324">
        <f t="shared" si="6776"/>
        <v>173858</v>
      </c>
      <c r="BL307" s="324">
        <f t="shared" si="6777"/>
        <v>173858</v>
      </c>
      <c r="BM307" s="324">
        <f t="shared" si="6778"/>
        <v>173858</v>
      </c>
      <c r="BN307" s="293">
        <f>ROUND(BM307*(1+取值表!$D$14),0)</f>
        <v>184811</v>
      </c>
      <c r="BO307" s="324">
        <f t="shared" si="6779"/>
        <v>184811</v>
      </c>
      <c r="BP307" s="324">
        <f t="shared" si="6780"/>
        <v>184811</v>
      </c>
      <c r="BQ307" s="324">
        <f t="shared" si="6781"/>
        <v>184811</v>
      </c>
      <c r="BR307" s="293">
        <f>ROUND(BQ307*(1+取值表!$D$14),0)</f>
        <v>196454</v>
      </c>
      <c r="BS307" s="324">
        <f t="shared" si="6782"/>
        <v>196454</v>
      </c>
      <c r="BT307" s="324">
        <f t="shared" si="6783"/>
        <v>196454</v>
      </c>
      <c r="BU307" s="324">
        <f t="shared" si="6784"/>
        <v>196454</v>
      </c>
      <c r="BV307" s="293">
        <f>ROUND(BU307*(1+取值表!$D$14),0)</f>
        <v>208831</v>
      </c>
      <c r="BW307" s="324">
        <f t="shared" si="6785"/>
        <v>208831</v>
      </c>
      <c r="BX307" s="324">
        <f t="shared" si="6786"/>
        <v>208831</v>
      </c>
      <c r="BY307" s="324">
        <f t="shared" si="6787"/>
        <v>208831</v>
      </c>
      <c r="BZ307" s="293">
        <f>ROUND(BY307*(1+取值表!$D$14),0)</f>
        <v>221987</v>
      </c>
      <c r="CA307" s="324">
        <f t="shared" si="6788"/>
        <v>221987</v>
      </c>
      <c r="CB307" s="324">
        <f t="shared" si="6789"/>
        <v>221987</v>
      </c>
      <c r="CC307" s="324">
        <f t="shared" si="6790"/>
        <v>221987</v>
      </c>
      <c r="CD307" s="293">
        <f>ROUND(CC307*(1+取值表!$D$14),0)</f>
        <v>235972</v>
      </c>
      <c r="CE307" s="324">
        <f t="shared" si="6791"/>
        <v>235972</v>
      </c>
      <c r="CF307" s="324">
        <f t="shared" si="6792"/>
        <v>235972</v>
      </c>
      <c r="CG307" s="324">
        <f t="shared" si="6793"/>
        <v>235972</v>
      </c>
      <c r="CH307" s="293">
        <f>ROUND(CG307*(1+取值表!$D$14),0)</f>
        <v>250838</v>
      </c>
      <c r="CI307" s="324">
        <f t="shared" si="6794"/>
        <v>250838</v>
      </c>
      <c r="CJ307" s="324">
        <f t="shared" si="6795"/>
        <v>250838</v>
      </c>
      <c r="CK307" s="324">
        <f t="shared" si="6796"/>
        <v>250838</v>
      </c>
      <c r="CL307" s="293">
        <f>ROUND(CK307*(1+取值表!$D$14),0)</f>
        <v>266641</v>
      </c>
      <c r="CM307" s="324">
        <f t="shared" si="6797"/>
        <v>266641</v>
      </c>
      <c r="CN307" s="324">
        <f t="shared" si="6798"/>
        <v>266641</v>
      </c>
      <c r="CO307" s="324">
        <f t="shared" si="6799"/>
        <v>266641</v>
      </c>
      <c r="CP307" s="293">
        <f t="shared" si="5740"/>
        <v>13027240</v>
      </c>
    </row>
    <row r="308" spans="1:212" ht="21" customHeight="1">
      <c r="A308" s="325">
        <v>157</v>
      </c>
      <c r="B308" s="301" t="s">
        <v>352</v>
      </c>
      <c r="C308" s="301" t="s">
        <v>350</v>
      </c>
      <c r="D308" s="329" t="s">
        <v>1169</v>
      </c>
      <c r="E308" s="319" t="s">
        <v>1170</v>
      </c>
      <c r="F308" s="291">
        <v>246.71</v>
      </c>
      <c r="G308" s="303">
        <v>5.5</v>
      </c>
      <c r="H308" s="320">
        <f>G308*F308*365</f>
        <v>495270.32500000001</v>
      </c>
      <c r="I308" s="291">
        <v>123817.58</v>
      </c>
      <c r="J308" s="304">
        <f>ROUND(G308*F308*365/4,0)</f>
        <v>123818</v>
      </c>
      <c r="K308" s="345">
        <f>J308</f>
        <v>123818</v>
      </c>
      <c r="L308" s="344">
        <f>K308</f>
        <v>123818</v>
      </c>
      <c r="M308" s="303">
        <f>L308</f>
        <v>123818</v>
      </c>
      <c r="N308" s="293">
        <f>ROUND(M308*(1+取值表!$D$14)*取值表!$I$14,0)</f>
        <v>123853</v>
      </c>
      <c r="O308" s="324">
        <f>N308</f>
        <v>123853</v>
      </c>
      <c r="P308" s="290">
        <f>O308</f>
        <v>123853</v>
      </c>
      <c r="Q308" s="290">
        <f>P308</f>
        <v>123853</v>
      </c>
      <c r="R308" s="294">
        <f>ROUND(Q308*(1+取值表!$D$14),0)</f>
        <v>131656</v>
      </c>
      <c r="S308" s="324">
        <f t="shared" si="6747"/>
        <v>131656</v>
      </c>
      <c r="T308" s="290">
        <f t="shared" si="6747"/>
        <v>131656</v>
      </c>
      <c r="U308" s="290">
        <f t="shared" si="6748"/>
        <v>131656</v>
      </c>
      <c r="V308" s="293">
        <f>ROUND(U308*(1+取值表!$D$14),0)</f>
        <v>139950</v>
      </c>
      <c r="W308" s="324">
        <f t="shared" ref="W308:AG310" si="6807">V308</f>
        <v>139950</v>
      </c>
      <c r="X308" s="290">
        <f t="shared" si="6807"/>
        <v>139950</v>
      </c>
      <c r="Y308" s="290">
        <f t="shared" si="6807"/>
        <v>139950</v>
      </c>
      <c r="Z308" s="293">
        <f>ROUND(Y308*(1+取值表!$D$14),0)</f>
        <v>148767</v>
      </c>
      <c r="AA308" s="324">
        <f t="shared" si="6806"/>
        <v>148767</v>
      </c>
      <c r="AB308" s="290">
        <f t="shared" si="6806"/>
        <v>148767</v>
      </c>
      <c r="AC308" s="290">
        <f>AB308</f>
        <v>148767</v>
      </c>
      <c r="AD308" s="293">
        <f>ROUND(AC308*(1+取值表!$D$14),0)</f>
        <v>158139</v>
      </c>
      <c r="AE308" s="324">
        <f t="shared" si="6752"/>
        <v>158139</v>
      </c>
      <c r="AF308" s="290">
        <f t="shared" si="6753"/>
        <v>158139</v>
      </c>
      <c r="AG308" s="290">
        <f t="shared" si="6754"/>
        <v>158139</v>
      </c>
      <c r="AH308" s="293">
        <f>ROUND(AG308*(1+取值表!$D$14),0)</f>
        <v>168102</v>
      </c>
      <c r="AI308" s="324">
        <f t="shared" si="6755"/>
        <v>168102</v>
      </c>
      <c r="AJ308" s="290">
        <f t="shared" si="6756"/>
        <v>168102</v>
      </c>
      <c r="AK308" s="290">
        <f t="shared" si="6757"/>
        <v>168102</v>
      </c>
      <c r="AL308" s="293">
        <f>ROUND(AK308*(1+取值表!$D$14),0)</f>
        <v>178692</v>
      </c>
      <c r="AM308" s="324">
        <f t="shared" si="6758"/>
        <v>178692</v>
      </c>
      <c r="AN308" s="290">
        <f t="shared" si="6759"/>
        <v>178692</v>
      </c>
      <c r="AO308" s="290">
        <f t="shared" si="6760"/>
        <v>178692</v>
      </c>
      <c r="AP308" s="293">
        <f>ROUND(AO308*(1+取值表!$D$14),0)</f>
        <v>189950</v>
      </c>
      <c r="AQ308" s="324">
        <f t="shared" si="6761"/>
        <v>189950</v>
      </c>
      <c r="AR308" s="290">
        <f t="shared" si="6762"/>
        <v>189950</v>
      </c>
      <c r="AS308" s="290">
        <f t="shared" si="6763"/>
        <v>189950</v>
      </c>
      <c r="AT308" s="293">
        <f>ROUND(AS308*(1+取值表!$D$14),0)</f>
        <v>201917</v>
      </c>
      <c r="AU308" s="324">
        <f t="shared" si="6764"/>
        <v>201917</v>
      </c>
      <c r="AV308" s="290">
        <f t="shared" si="6765"/>
        <v>201917</v>
      </c>
      <c r="AW308" s="290">
        <f t="shared" si="6766"/>
        <v>201917</v>
      </c>
      <c r="AX308" s="293">
        <f>ROUND(AW308*(1+取值表!$D$14),0)</f>
        <v>214638</v>
      </c>
      <c r="AY308" s="324">
        <f t="shared" si="6767"/>
        <v>214638</v>
      </c>
      <c r="AZ308" s="290">
        <f t="shared" si="6768"/>
        <v>214638</v>
      </c>
      <c r="BA308" s="290">
        <f t="shared" si="6769"/>
        <v>214638</v>
      </c>
      <c r="BB308" s="293">
        <f>ROUND(BA308*(1+取值表!$D$14),0)</f>
        <v>228160</v>
      </c>
      <c r="BC308" s="324">
        <f t="shared" si="6770"/>
        <v>228160</v>
      </c>
      <c r="BD308" s="290">
        <f t="shared" si="6771"/>
        <v>228160</v>
      </c>
      <c r="BE308" s="290">
        <f t="shared" si="6772"/>
        <v>228160</v>
      </c>
      <c r="BF308" s="293">
        <f>ROUND(BE308*(1+取值表!$D$14),0)</f>
        <v>242534</v>
      </c>
      <c r="BG308" s="324">
        <f t="shared" si="6773"/>
        <v>242534</v>
      </c>
      <c r="BH308" s="290">
        <f t="shared" si="6774"/>
        <v>242534</v>
      </c>
      <c r="BI308" s="290">
        <f t="shared" si="6775"/>
        <v>242534</v>
      </c>
      <c r="BJ308" s="293">
        <f>ROUND(BI308*(1+取值表!$D$14),0)</f>
        <v>257814</v>
      </c>
      <c r="BK308" s="324">
        <f t="shared" si="6776"/>
        <v>257814</v>
      </c>
      <c r="BL308" s="397">
        <f t="shared" si="6777"/>
        <v>257814</v>
      </c>
      <c r="BM308" s="397">
        <f t="shared" si="6778"/>
        <v>257814</v>
      </c>
      <c r="BN308" s="293">
        <f>ROUND(BM308*(1+取值表!$D$14),0)</f>
        <v>274056</v>
      </c>
      <c r="BO308" s="324">
        <f t="shared" si="6779"/>
        <v>274056</v>
      </c>
      <c r="BP308" s="397">
        <f t="shared" si="6780"/>
        <v>274056</v>
      </c>
      <c r="BQ308" s="397">
        <f t="shared" si="6781"/>
        <v>274056</v>
      </c>
      <c r="BR308" s="293">
        <f>ROUND(BQ308*(1+取值表!$D$14),0)</f>
        <v>291322</v>
      </c>
      <c r="BS308" s="324">
        <f t="shared" si="6782"/>
        <v>291322</v>
      </c>
      <c r="BT308" s="397">
        <f t="shared" si="6783"/>
        <v>291322</v>
      </c>
      <c r="BU308" s="397">
        <f t="shared" si="6784"/>
        <v>291322</v>
      </c>
      <c r="BV308" s="293">
        <f>ROUND(BU308*(1+取值表!$D$14),0)</f>
        <v>309675</v>
      </c>
      <c r="BW308" s="324">
        <f t="shared" si="6785"/>
        <v>309675</v>
      </c>
      <c r="BX308" s="397">
        <f t="shared" si="6786"/>
        <v>309675</v>
      </c>
      <c r="BY308" s="397">
        <f t="shared" si="6787"/>
        <v>309675</v>
      </c>
      <c r="BZ308" s="293">
        <f>ROUND(BY308*(1+取值表!$D$14),0)</f>
        <v>329185</v>
      </c>
      <c r="CA308" s="324">
        <f t="shared" si="6788"/>
        <v>329185</v>
      </c>
      <c r="CB308" s="397">
        <f t="shared" si="6789"/>
        <v>329185</v>
      </c>
      <c r="CC308" s="397">
        <f t="shared" si="6790"/>
        <v>329185</v>
      </c>
      <c r="CD308" s="293">
        <f>ROUND(CC308*(1+取值表!$D$14),0)</f>
        <v>349924</v>
      </c>
      <c r="CE308" s="324">
        <f t="shared" si="6791"/>
        <v>349924</v>
      </c>
      <c r="CF308" s="397">
        <f t="shared" si="6792"/>
        <v>349924</v>
      </c>
      <c r="CG308" s="397">
        <f t="shared" si="6793"/>
        <v>349924</v>
      </c>
      <c r="CH308" s="293">
        <f>ROUND(CG308*(1+取值表!$D$14),0)</f>
        <v>371969</v>
      </c>
      <c r="CI308" s="324">
        <f t="shared" si="6794"/>
        <v>371969</v>
      </c>
      <c r="CJ308" s="397">
        <f t="shared" si="6795"/>
        <v>371969</v>
      </c>
      <c r="CK308" s="397">
        <f t="shared" si="6796"/>
        <v>371969</v>
      </c>
      <c r="CL308" s="293">
        <f>ROUND(CK308*(1+取值表!$D$14),0)</f>
        <v>395403</v>
      </c>
      <c r="CM308" s="324">
        <f t="shared" si="6797"/>
        <v>395403</v>
      </c>
      <c r="CN308" s="397">
        <f t="shared" si="6798"/>
        <v>395403</v>
      </c>
      <c r="CO308" s="397">
        <f t="shared" si="6799"/>
        <v>395403</v>
      </c>
      <c r="CP308" s="293">
        <f t="shared" si="5740"/>
        <v>19318096</v>
      </c>
    </row>
    <row r="309" spans="1:212" ht="21" customHeight="1">
      <c r="A309" s="290">
        <v>158</v>
      </c>
      <c r="B309" s="301" t="s">
        <v>354</v>
      </c>
      <c r="C309" s="349" t="s">
        <v>1160</v>
      </c>
      <c r="D309" s="346" t="s">
        <v>355</v>
      </c>
      <c r="E309" s="338" t="s">
        <v>505</v>
      </c>
      <c r="F309" s="347">
        <v>166.76</v>
      </c>
      <c r="G309" s="348">
        <v>16.5</v>
      </c>
      <c r="H309" s="320">
        <f>G309*F309*365</f>
        <v>1004312.1</v>
      </c>
      <c r="I309" s="291">
        <v>251078.03</v>
      </c>
      <c r="J309" s="304">
        <f t="shared" ref="J309" si="6808">ROUND(G309*F309*365/4,0)</f>
        <v>251078</v>
      </c>
      <c r="K309" s="344">
        <f>J309</f>
        <v>251078</v>
      </c>
      <c r="L309" s="344">
        <f t="shared" ref="L309" si="6809">K309</f>
        <v>251078</v>
      </c>
      <c r="M309" s="344">
        <f t="shared" ref="M309" si="6810">L309</f>
        <v>251078</v>
      </c>
      <c r="N309" s="344">
        <f t="shared" ref="N309" si="6811">M309</f>
        <v>251078</v>
      </c>
      <c r="O309" s="344">
        <f>N309</f>
        <v>251078</v>
      </c>
      <c r="P309" s="344">
        <f t="shared" ref="P309" si="6812">O309</f>
        <v>251078</v>
      </c>
      <c r="Q309" s="344">
        <f>P309</f>
        <v>251078</v>
      </c>
      <c r="R309" s="344">
        <f t="shared" ref="R309" si="6813">Q309</f>
        <v>251078</v>
      </c>
      <c r="S309" s="345">
        <f t="shared" ref="S309" si="6814">R309</f>
        <v>251078</v>
      </c>
      <c r="T309" s="344">
        <f>S309</f>
        <v>251078</v>
      </c>
      <c r="U309" s="344">
        <f t="shared" si="6748"/>
        <v>251078</v>
      </c>
      <c r="V309" s="293">
        <f>ROUND(U309*(1+取值表!$D$14)*取值表!$I$14,0)</f>
        <v>251149</v>
      </c>
      <c r="W309" s="324">
        <f>V309</f>
        <v>251149</v>
      </c>
      <c r="X309" s="290">
        <f t="shared" si="6807"/>
        <v>251149</v>
      </c>
      <c r="Y309" s="290">
        <f t="shared" si="6807"/>
        <v>251149</v>
      </c>
      <c r="Z309" s="294">
        <f>ROUND(Y309*(1+取值表!$D$14),0)</f>
        <v>266971</v>
      </c>
      <c r="AA309" s="324">
        <f t="shared" ref="AA309:AA310" si="6815">Z309</f>
        <v>266971</v>
      </c>
      <c r="AB309" s="290">
        <f t="shared" si="6807"/>
        <v>266971</v>
      </c>
      <c r="AC309" s="290">
        <f>AB309</f>
        <v>266971</v>
      </c>
      <c r="AD309" s="293">
        <f>ROUND(AC309*(1+取值表!$D$14),0)</f>
        <v>283790</v>
      </c>
      <c r="AE309" s="324">
        <f t="shared" ref="AE309:AE310" si="6816">AD309</f>
        <v>283790</v>
      </c>
      <c r="AF309" s="290">
        <f t="shared" si="6807"/>
        <v>283790</v>
      </c>
      <c r="AG309" s="290">
        <f t="shared" si="6807"/>
        <v>283790</v>
      </c>
      <c r="AH309" s="293">
        <f>ROUND(AG309*(1+取值表!$D$14),0)</f>
        <v>301669</v>
      </c>
      <c r="AI309" s="324">
        <f t="shared" si="6755"/>
        <v>301669</v>
      </c>
      <c r="AJ309" s="290">
        <f t="shared" si="6756"/>
        <v>301669</v>
      </c>
      <c r="AK309" s="290">
        <f t="shared" si="6757"/>
        <v>301669</v>
      </c>
      <c r="AL309" s="293">
        <f>ROUND(AK309*(1+取值表!$D$14),0)</f>
        <v>320674</v>
      </c>
      <c r="AM309" s="324">
        <f t="shared" si="6758"/>
        <v>320674</v>
      </c>
      <c r="AN309" s="290">
        <f t="shared" si="6759"/>
        <v>320674</v>
      </c>
      <c r="AO309" s="290">
        <f t="shared" si="6760"/>
        <v>320674</v>
      </c>
      <c r="AP309" s="293">
        <f>ROUND(AO309*(1+取值表!$D$14),0)</f>
        <v>340876</v>
      </c>
      <c r="AQ309" s="324">
        <f t="shared" si="6761"/>
        <v>340876</v>
      </c>
      <c r="AR309" s="290">
        <f t="shared" si="6762"/>
        <v>340876</v>
      </c>
      <c r="AS309" s="290">
        <f t="shared" si="6763"/>
        <v>340876</v>
      </c>
      <c r="AT309" s="293">
        <f>ROUND(AS309*(1+取值表!$D$14),0)</f>
        <v>362351</v>
      </c>
      <c r="AU309" s="324">
        <f t="shared" si="6764"/>
        <v>362351</v>
      </c>
      <c r="AV309" s="290">
        <f t="shared" si="6765"/>
        <v>362351</v>
      </c>
      <c r="AW309" s="290">
        <f t="shared" si="6766"/>
        <v>362351</v>
      </c>
      <c r="AX309" s="293">
        <f>ROUND(AW309*(1+取值表!$D$14),0)</f>
        <v>385179</v>
      </c>
      <c r="AY309" s="324">
        <f t="shared" si="6767"/>
        <v>385179</v>
      </c>
      <c r="AZ309" s="290">
        <f t="shared" si="6768"/>
        <v>385179</v>
      </c>
      <c r="BA309" s="290">
        <f t="shared" si="6769"/>
        <v>385179</v>
      </c>
      <c r="BB309" s="293">
        <f>ROUND(BA309*(1+取值表!$D$14),0)</f>
        <v>409445</v>
      </c>
      <c r="BC309" s="324">
        <f t="shared" si="6770"/>
        <v>409445</v>
      </c>
      <c r="BD309" s="290">
        <f t="shared" si="6771"/>
        <v>409445</v>
      </c>
      <c r="BE309" s="290">
        <f t="shared" si="6772"/>
        <v>409445</v>
      </c>
      <c r="BF309" s="293">
        <f>ROUND(BE309*(1+取值表!$D$14),0)</f>
        <v>435240</v>
      </c>
      <c r="BG309" s="324">
        <f t="shared" si="6773"/>
        <v>435240</v>
      </c>
      <c r="BH309" s="290">
        <f t="shared" si="6774"/>
        <v>435240</v>
      </c>
      <c r="BI309" s="290">
        <f t="shared" si="6775"/>
        <v>435240</v>
      </c>
      <c r="BJ309" s="293">
        <f>ROUND(BI309*(1+取值表!$D$14),0)</f>
        <v>462660</v>
      </c>
      <c r="BK309" s="324">
        <f t="shared" si="6776"/>
        <v>462660</v>
      </c>
      <c r="BL309" s="397">
        <f t="shared" si="6777"/>
        <v>462660</v>
      </c>
      <c r="BM309" s="397">
        <f t="shared" si="6778"/>
        <v>462660</v>
      </c>
      <c r="BN309" s="293">
        <f>ROUND(BM309*(1+取值表!$D$14),0)</f>
        <v>491808</v>
      </c>
      <c r="BO309" s="324">
        <f t="shared" si="6779"/>
        <v>491808</v>
      </c>
      <c r="BP309" s="397">
        <f t="shared" si="6780"/>
        <v>491808</v>
      </c>
      <c r="BQ309" s="397">
        <f t="shared" si="6781"/>
        <v>491808</v>
      </c>
      <c r="BR309" s="293">
        <f>ROUND(BQ309*(1+取值表!$D$14),0)</f>
        <v>522792</v>
      </c>
      <c r="BS309" s="324">
        <f t="shared" si="6782"/>
        <v>522792</v>
      </c>
      <c r="BT309" s="397">
        <f t="shared" si="6783"/>
        <v>522792</v>
      </c>
      <c r="BU309" s="397">
        <f t="shared" si="6784"/>
        <v>522792</v>
      </c>
      <c r="BV309" s="293">
        <f>ROUND(BU309*(1+取值表!$D$14),0)</f>
        <v>555728</v>
      </c>
      <c r="BW309" s="324">
        <f t="shared" si="6785"/>
        <v>555728</v>
      </c>
      <c r="BX309" s="397">
        <f t="shared" si="6786"/>
        <v>555728</v>
      </c>
      <c r="BY309" s="397">
        <f t="shared" si="6787"/>
        <v>555728</v>
      </c>
      <c r="BZ309" s="293">
        <f>ROUND(BY309*(1+取值表!$D$14),0)</f>
        <v>590739</v>
      </c>
      <c r="CA309" s="324">
        <f t="shared" si="6788"/>
        <v>590739</v>
      </c>
      <c r="CB309" s="397">
        <f t="shared" si="6789"/>
        <v>590739</v>
      </c>
      <c r="CC309" s="397">
        <f t="shared" si="6790"/>
        <v>590739</v>
      </c>
      <c r="CD309" s="293">
        <f>ROUND(CC309*(1+取值表!$D$14),0)</f>
        <v>627956</v>
      </c>
      <c r="CE309" s="324">
        <f t="shared" si="6791"/>
        <v>627956</v>
      </c>
      <c r="CF309" s="397">
        <f t="shared" si="6792"/>
        <v>627956</v>
      </c>
      <c r="CG309" s="397">
        <f t="shared" si="6793"/>
        <v>627956</v>
      </c>
      <c r="CH309" s="293">
        <f>ROUND(CG309*(1+取值表!$D$14),0)</f>
        <v>667517</v>
      </c>
      <c r="CI309" s="324">
        <f t="shared" si="6794"/>
        <v>667517</v>
      </c>
      <c r="CJ309" s="397">
        <f t="shared" si="6795"/>
        <v>667517</v>
      </c>
      <c r="CK309" s="397">
        <f t="shared" si="6796"/>
        <v>667517</v>
      </c>
      <c r="CL309" s="293">
        <f>ROUND(CK309*(1+取值表!$D$14),0)</f>
        <v>709571</v>
      </c>
      <c r="CM309" s="324">
        <f t="shared" si="6797"/>
        <v>709571</v>
      </c>
      <c r="CN309" s="397">
        <f t="shared" si="6798"/>
        <v>709571</v>
      </c>
      <c r="CO309" s="397">
        <f t="shared" si="6799"/>
        <v>709571</v>
      </c>
      <c r="CP309" s="293">
        <f t="shared" si="5740"/>
        <v>34957396</v>
      </c>
    </row>
    <row r="310" spans="1:212" s="299" customFormat="1" ht="16.5" customHeight="1">
      <c r="A310" s="669">
        <v>159</v>
      </c>
      <c r="B310" s="683" t="s">
        <v>246</v>
      </c>
      <c r="C310" s="685" t="s">
        <v>1294</v>
      </c>
      <c r="D310" s="675" t="s">
        <v>701</v>
      </c>
      <c r="E310" s="687" t="s">
        <v>505</v>
      </c>
      <c r="F310" s="654">
        <v>71.430000000000007</v>
      </c>
      <c r="G310" s="654">
        <v>9</v>
      </c>
      <c r="H310" s="656">
        <f>F310*G310*365</f>
        <v>234647.55000000005</v>
      </c>
      <c r="I310" s="467">
        <v>58661.89</v>
      </c>
      <c r="J310" s="295">
        <f>ROUND(G310*F310*365/4,0)</f>
        <v>58662</v>
      </c>
      <c r="K310" s="295">
        <f>J310</f>
        <v>58662</v>
      </c>
      <c r="L310" s="295">
        <f>K310</f>
        <v>58662</v>
      </c>
      <c r="M310" s="295">
        <f>L310</f>
        <v>58662</v>
      </c>
      <c r="N310" s="295">
        <f>ROUND(M310*(1+取值表!$D$14)*取值表!$I$14,0)</f>
        <v>58679</v>
      </c>
      <c r="O310" s="295">
        <f>N310</f>
        <v>58679</v>
      </c>
      <c r="P310" s="295">
        <f>O310</f>
        <v>58679</v>
      </c>
      <c r="Q310" s="295">
        <f>P310</f>
        <v>58679</v>
      </c>
      <c r="R310" s="294">
        <f>ROUND(Q310*(1+取值表!$D$14),0)</f>
        <v>62376</v>
      </c>
      <c r="S310" s="295">
        <f>R310</f>
        <v>62376</v>
      </c>
      <c r="T310" s="295">
        <f>S310</f>
        <v>62376</v>
      </c>
      <c r="U310" s="295">
        <f t="shared" si="6748"/>
        <v>62376</v>
      </c>
      <c r="V310" s="295">
        <f>ROUND(U310*(1+取值表!$D$14),0)</f>
        <v>66306</v>
      </c>
      <c r="W310" s="468">
        <f t="shared" ref="W310" si="6817">V310</f>
        <v>66306</v>
      </c>
      <c r="X310" s="295">
        <f>W310</f>
        <v>66306</v>
      </c>
      <c r="Y310" s="295">
        <f>X310</f>
        <v>66306</v>
      </c>
      <c r="Z310" s="295">
        <f>ROUND(Y310*(1+取值表!$D$14),0)</f>
        <v>70483</v>
      </c>
      <c r="AA310" s="468">
        <f t="shared" si="6815"/>
        <v>70483</v>
      </c>
      <c r="AB310" s="295">
        <f t="shared" si="6807"/>
        <v>70483</v>
      </c>
      <c r="AC310" s="295">
        <f t="shared" ref="AC310" si="6818">AB310</f>
        <v>70483</v>
      </c>
      <c r="AD310" s="295">
        <f>ROUND(AC310*(1+取值表!$D$14),0)</f>
        <v>74923</v>
      </c>
      <c r="AE310" s="468">
        <f t="shared" si="6816"/>
        <v>74923</v>
      </c>
      <c r="AF310" s="295">
        <f t="shared" si="6807"/>
        <v>74923</v>
      </c>
      <c r="AG310" s="295">
        <f t="shared" si="6807"/>
        <v>74923</v>
      </c>
      <c r="AH310" s="295">
        <f>ROUND(AG310*(1+取值表!$D$14),0)</f>
        <v>79643</v>
      </c>
      <c r="AI310" s="468">
        <f t="shared" si="6755"/>
        <v>79643</v>
      </c>
      <c r="AJ310" s="295">
        <f t="shared" si="6756"/>
        <v>79643</v>
      </c>
      <c r="AK310" s="295">
        <f t="shared" si="6757"/>
        <v>79643</v>
      </c>
      <c r="AL310" s="295">
        <f>ROUND(AK310*(1+取值表!$D$14),0)</f>
        <v>84661</v>
      </c>
      <c r="AM310" s="468">
        <f t="shared" si="6758"/>
        <v>84661</v>
      </c>
      <c r="AN310" s="295">
        <f t="shared" si="6759"/>
        <v>84661</v>
      </c>
      <c r="AO310" s="295">
        <f t="shared" si="6760"/>
        <v>84661</v>
      </c>
      <c r="AP310" s="295">
        <f>ROUND(AO310*(1+取值表!$D$14),0)</f>
        <v>89995</v>
      </c>
      <c r="AQ310" s="468">
        <f t="shared" si="6761"/>
        <v>89995</v>
      </c>
      <c r="AR310" s="295">
        <f t="shared" si="6762"/>
        <v>89995</v>
      </c>
      <c r="AS310" s="295">
        <f t="shared" si="6763"/>
        <v>89995</v>
      </c>
      <c r="AT310" s="295">
        <f>ROUND(AS310*(1+取值表!$D$14),0)</f>
        <v>95665</v>
      </c>
      <c r="AU310" s="468">
        <f t="shared" si="6764"/>
        <v>95665</v>
      </c>
      <c r="AV310" s="295">
        <f t="shared" si="6765"/>
        <v>95665</v>
      </c>
      <c r="AW310" s="295">
        <f t="shared" si="6766"/>
        <v>95665</v>
      </c>
      <c r="AX310" s="295">
        <f>ROUND(AW310*(1+取值表!$D$14),0)</f>
        <v>101692</v>
      </c>
      <c r="AY310" s="468">
        <f t="shared" si="6767"/>
        <v>101692</v>
      </c>
      <c r="AZ310" s="295">
        <f t="shared" si="6768"/>
        <v>101692</v>
      </c>
      <c r="BA310" s="295">
        <f t="shared" si="6769"/>
        <v>101692</v>
      </c>
      <c r="BB310" s="295">
        <f>ROUND(BA310*(1+取值表!$D$14),0)</f>
        <v>108099</v>
      </c>
      <c r="BC310" s="468">
        <f t="shared" si="6770"/>
        <v>108099</v>
      </c>
      <c r="BD310" s="295">
        <f t="shared" si="6771"/>
        <v>108099</v>
      </c>
      <c r="BE310" s="295">
        <f t="shared" si="6772"/>
        <v>108099</v>
      </c>
      <c r="BF310" s="295">
        <f>ROUND(BE310*(1+取值表!$D$14),0)</f>
        <v>114909</v>
      </c>
      <c r="BG310" s="468">
        <f t="shared" si="6773"/>
        <v>114909</v>
      </c>
      <c r="BH310" s="295">
        <f t="shared" si="6774"/>
        <v>114909</v>
      </c>
      <c r="BI310" s="295">
        <f t="shared" si="6775"/>
        <v>114909</v>
      </c>
      <c r="BJ310" s="295">
        <f>ROUND(BI310*(1+取值表!$D$14),0)</f>
        <v>122148</v>
      </c>
      <c r="BK310" s="468">
        <f t="shared" si="6776"/>
        <v>122148</v>
      </c>
      <c r="BL310" s="295">
        <f t="shared" si="6777"/>
        <v>122148</v>
      </c>
      <c r="BM310" s="295">
        <f t="shared" si="6778"/>
        <v>122148</v>
      </c>
      <c r="BN310" s="295">
        <f>ROUND(BM310*(1+取值表!$D$14),0)</f>
        <v>129843</v>
      </c>
      <c r="BO310" s="468">
        <f t="shared" si="6779"/>
        <v>129843</v>
      </c>
      <c r="BP310" s="295">
        <f t="shared" si="6780"/>
        <v>129843</v>
      </c>
      <c r="BQ310" s="295">
        <f t="shared" si="6781"/>
        <v>129843</v>
      </c>
      <c r="BR310" s="295">
        <f>ROUND(BQ310*(1+取值表!$D$14),0)</f>
        <v>138023</v>
      </c>
      <c r="BS310" s="468">
        <f t="shared" si="6782"/>
        <v>138023</v>
      </c>
      <c r="BT310" s="295">
        <f t="shared" si="6783"/>
        <v>138023</v>
      </c>
      <c r="BU310" s="295">
        <f t="shared" si="6784"/>
        <v>138023</v>
      </c>
      <c r="BV310" s="295">
        <f>ROUND(BU310*(1+取值表!$D$14),0)</f>
        <v>146718</v>
      </c>
      <c r="BW310" s="468">
        <f t="shared" si="6785"/>
        <v>146718</v>
      </c>
      <c r="BX310" s="295">
        <f t="shared" si="6786"/>
        <v>146718</v>
      </c>
      <c r="BY310" s="295">
        <f t="shared" si="6787"/>
        <v>146718</v>
      </c>
      <c r="BZ310" s="295">
        <f>ROUND(BY310*(1+取值表!$D$14),0)</f>
        <v>155961</v>
      </c>
      <c r="CA310" s="468">
        <f t="shared" si="6788"/>
        <v>155961</v>
      </c>
      <c r="CB310" s="295">
        <f t="shared" si="6789"/>
        <v>155961</v>
      </c>
      <c r="CC310" s="295">
        <f t="shared" si="6790"/>
        <v>155961</v>
      </c>
      <c r="CD310" s="295">
        <f>ROUND(CC310*(1+取值表!$D$14),0)</f>
        <v>165787</v>
      </c>
      <c r="CE310" s="468">
        <f t="shared" si="6791"/>
        <v>165787</v>
      </c>
      <c r="CF310" s="295">
        <f t="shared" si="6792"/>
        <v>165787</v>
      </c>
      <c r="CG310" s="295">
        <f t="shared" si="6793"/>
        <v>165787</v>
      </c>
      <c r="CH310" s="295">
        <f>ROUND(CG310*(1+取值表!$D$14),0)</f>
        <v>176232</v>
      </c>
      <c r="CI310" s="468">
        <f t="shared" si="6794"/>
        <v>176232</v>
      </c>
      <c r="CJ310" s="295">
        <f t="shared" si="6795"/>
        <v>176232</v>
      </c>
      <c r="CK310" s="295">
        <f t="shared" si="6796"/>
        <v>176232</v>
      </c>
      <c r="CL310" s="295">
        <f>ROUND(CK310*(1+取值表!$D$14),0)</f>
        <v>187335</v>
      </c>
      <c r="CM310" s="468">
        <f t="shared" si="6797"/>
        <v>187335</v>
      </c>
      <c r="CN310" s="295">
        <f t="shared" si="6798"/>
        <v>187335</v>
      </c>
      <c r="CO310" s="295">
        <f t="shared" si="6799"/>
        <v>187335</v>
      </c>
      <c r="CP310" s="295">
        <f t="shared" si="5740"/>
        <v>9152560</v>
      </c>
      <c r="CQ310" s="308"/>
      <c r="CR310" s="308"/>
      <c r="CS310" s="308"/>
      <c r="CT310" s="308"/>
      <c r="CU310" s="308"/>
      <c r="CV310" s="308"/>
      <c r="CW310" s="308"/>
      <c r="CX310" s="308"/>
      <c r="CY310" s="308"/>
      <c r="CZ310" s="308"/>
      <c r="DA310" s="308"/>
      <c r="DB310" s="308"/>
      <c r="DC310" s="308"/>
      <c r="DD310" s="308"/>
      <c r="DE310" s="308"/>
      <c r="DF310" s="308"/>
      <c r="DG310" s="308"/>
      <c r="DH310" s="308"/>
      <c r="DI310" s="308"/>
      <c r="DJ310" s="308"/>
      <c r="DK310" s="308"/>
      <c r="DL310" s="308"/>
      <c r="DM310" s="308"/>
      <c r="DN310" s="308"/>
      <c r="DO310" s="308"/>
      <c r="DP310" s="308"/>
      <c r="DQ310" s="308"/>
      <c r="DR310" s="308"/>
      <c r="DS310" s="308"/>
      <c r="DT310" s="308"/>
      <c r="DU310" s="308"/>
      <c r="DV310" s="308"/>
      <c r="DW310" s="308"/>
      <c r="DX310" s="308"/>
      <c r="DY310" s="308"/>
      <c r="DZ310" s="308"/>
      <c r="EA310" s="308"/>
      <c r="EB310" s="308"/>
      <c r="EC310" s="308"/>
      <c r="ED310" s="308"/>
      <c r="EE310" s="308"/>
      <c r="EF310" s="308"/>
      <c r="EG310" s="308"/>
      <c r="EH310" s="308"/>
      <c r="EI310" s="308"/>
      <c r="EJ310" s="308"/>
      <c r="EK310" s="308"/>
      <c r="EL310" s="308"/>
      <c r="EM310" s="308"/>
      <c r="EN310" s="308"/>
      <c r="EO310" s="308"/>
      <c r="EP310" s="308"/>
      <c r="EQ310" s="308"/>
      <c r="ER310" s="308"/>
      <c r="ES310" s="308"/>
      <c r="ET310" s="308"/>
      <c r="EU310" s="308"/>
      <c r="EV310" s="308"/>
      <c r="EW310" s="308"/>
      <c r="EX310" s="308"/>
      <c r="EY310" s="308"/>
      <c r="EZ310" s="308"/>
      <c r="FA310" s="308"/>
      <c r="FB310" s="308"/>
      <c r="FC310" s="308"/>
      <c r="FD310" s="308"/>
      <c r="FE310" s="308"/>
      <c r="FF310" s="308"/>
      <c r="FG310" s="308"/>
      <c r="FH310" s="308"/>
      <c r="FI310" s="308"/>
      <c r="FJ310" s="308"/>
      <c r="FK310" s="308"/>
      <c r="FL310" s="308"/>
      <c r="FM310" s="308"/>
      <c r="FN310" s="308"/>
      <c r="FO310" s="308"/>
      <c r="FP310" s="308"/>
      <c r="FQ310" s="308"/>
      <c r="FR310" s="308"/>
      <c r="FS310" s="308"/>
      <c r="FT310" s="308"/>
      <c r="FU310" s="308"/>
      <c r="FV310" s="308"/>
      <c r="FW310" s="308"/>
      <c r="FX310" s="308"/>
      <c r="FY310" s="308"/>
      <c r="FZ310" s="308"/>
      <c r="GA310" s="308"/>
      <c r="GB310" s="308"/>
      <c r="GC310" s="308"/>
      <c r="GD310" s="308"/>
      <c r="GE310" s="308"/>
      <c r="GF310" s="308"/>
      <c r="GG310" s="308"/>
      <c r="GH310" s="308"/>
      <c r="GI310" s="308"/>
      <c r="GJ310" s="308"/>
      <c r="GK310" s="308"/>
      <c r="GL310" s="308"/>
      <c r="GM310" s="308"/>
      <c r="GN310" s="308"/>
      <c r="GO310" s="308"/>
      <c r="GP310" s="308"/>
      <c r="GQ310" s="308"/>
      <c r="GR310" s="308"/>
      <c r="GS310" s="308"/>
      <c r="GT310" s="308"/>
      <c r="GU310" s="308"/>
      <c r="GV310" s="308"/>
      <c r="GW310" s="308"/>
      <c r="GX310" s="308"/>
      <c r="GY310" s="308"/>
      <c r="GZ310" s="308"/>
      <c r="HA310" s="380">
        <f t="shared" ref="HA310:HA323" si="6819">SUM(J310:GZ310)</f>
        <v>18305120</v>
      </c>
      <c r="HB310" s="312"/>
      <c r="HC310" s="381"/>
      <c r="HD310" s="360">
        <v>544428.683333333</v>
      </c>
    </row>
    <row r="311" spans="1:212" s="299" customFormat="1">
      <c r="A311" s="670"/>
      <c r="B311" s="684"/>
      <c r="C311" s="686"/>
      <c r="D311" s="676"/>
      <c r="E311" s="688"/>
      <c r="F311" s="655"/>
      <c r="G311" s="655"/>
      <c r="H311" s="657"/>
      <c r="I311" s="313"/>
      <c r="J311" s="295"/>
      <c r="K311" s="295"/>
      <c r="L311" s="295"/>
      <c r="M311" s="295"/>
      <c r="N311" s="295"/>
      <c r="O311" s="295"/>
      <c r="P311" s="295"/>
      <c r="Q311" s="295"/>
      <c r="R311" s="295"/>
      <c r="S311" s="295"/>
      <c r="T311" s="295"/>
      <c r="U311" s="295"/>
      <c r="V311" s="295"/>
      <c r="W311" s="295"/>
      <c r="X311" s="295"/>
      <c r="Y311" s="295"/>
      <c r="Z311" s="295"/>
      <c r="AA311" s="295"/>
      <c r="AB311" s="295"/>
      <c r="AC311" s="295"/>
      <c r="AD311" s="295"/>
      <c r="AE311" s="295"/>
      <c r="AF311" s="295"/>
      <c r="AG311" s="295"/>
      <c r="AH311" s="295"/>
      <c r="AI311" s="295"/>
      <c r="AJ311" s="295"/>
      <c r="AK311" s="295"/>
      <c r="AL311" s="295"/>
      <c r="AM311" s="295"/>
      <c r="AN311" s="295"/>
      <c r="AO311" s="295"/>
      <c r="AP311" s="295"/>
      <c r="AQ311" s="295"/>
      <c r="AR311" s="295"/>
      <c r="AS311" s="295"/>
      <c r="AT311" s="295"/>
      <c r="AU311" s="295"/>
      <c r="AV311" s="295"/>
      <c r="AW311" s="295"/>
      <c r="AX311" s="295"/>
      <c r="AY311" s="295"/>
      <c r="AZ311" s="295"/>
      <c r="BA311" s="295"/>
      <c r="BB311" s="295"/>
      <c r="BC311" s="295"/>
      <c r="BD311" s="295"/>
      <c r="BE311" s="295"/>
      <c r="BF311" s="295"/>
      <c r="BG311" s="295"/>
      <c r="BH311" s="295"/>
      <c r="BI311" s="295"/>
      <c r="BJ311" s="295"/>
      <c r="BK311" s="295"/>
      <c r="BL311" s="295"/>
      <c r="BM311" s="295"/>
      <c r="BN311" s="295"/>
      <c r="BO311" s="295"/>
      <c r="BP311" s="295"/>
      <c r="BQ311" s="295"/>
      <c r="BR311" s="295"/>
      <c r="BS311" s="295"/>
      <c r="BT311" s="295"/>
      <c r="BU311" s="295"/>
      <c r="BV311" s="295"/>
      <c r="BW311" s="295"/>
      <c r="BX311" s="295"/>
      <c r="BY311" s="295"/>
      <c r="BZ311" s="295"/>
      <c r="CA311" s="295"/>
      <c r="CB311" s="295"/>
      <c r="CC311" s="295"/>
      <c r="CD311" s="295"/>
      <c r="CE311" s="295"/>
      <c r="CF311" s="295"/>
      <c r="CG311" s="295"/>
      <c r="CH311" s="295"/>
      <c r="CI311" s="295"/>
      <c r="CJ311" s="295"/>
      <c r="CK311" s="295"/>
      <c r="CL311" s="295"/>
      <c r="CM311" s="295"/>
      <c r="CN311" s="295"/>
      <c r="CO311" s="295"/>
      <c r="CP311" s="293">
        <f t="shared" si="5740"/>
        <v>0</v>
      </c>
      <c r="CQ311" s="312"/>
      <c r="CR311" s="312"/>
      <c r="CS311" s="312"/>
      <c r="CT311" s="312"/>
      <c r="CU311" s="312"/>
      <c r="CV311" s="312"/>
      <c r="CW311" s="312"/>
      <c r="CX311" s="312"/>
      <c r="CY311" s="312"/>
      <c r="CZ311" s="312"/>
      <c r="DA311" s="312"/>
      <c r="DB311" s="312"/>
      <c r="DC311" s="312"/>
      <c r="DD311" s="312"/>
      <c r="DE311" s="312"/>
      <c r="DF311" s="312"/>
      <c r="DG311" s="312"/>
      <c r="DH311" s="312"/>
      <c r="DI311" s="312"/>
      <c r="DJ311" s="312"/>
      <c r="DK311" s="312"/>
      <c r="DL311" s="312"/>
      <c r="DM311" s="312"/>
      <c r="DN311" s="312"/>
      <c r="DO311" s="312"/>
      <c r="DP311" s="312"/>
      <c r="DQ311" s="312"/>
      <c r="DR311" s="312"/>
      <c r="DS311" s="312"/>
      <c r="DT311" s="312"/>
      <c r="DU311" s="312"/>
      <c r="DV311" s="312"/>
      <c r="DW311" s="312"/>
      <c r="DX311" s="312"/>
      <c r="DY311" s="312"/>
      <c r="DZ311" s="312"/>
      <c r="EA311" s="312"/>
      <c r="EB311" s="312"/>
      <c r="EC311" s="312"/>
      <c r="ED311" s="312"/>
      <c r="EE311" s="312"/>
      <c r="EF311" s="312"/>
      <c r="EG311" s="312"/>
      <c r="EH311" s="312"/>
      <c r="EI311" s="312"/>
      <c r="EJ311" s="312"/>
      <c r="EK311" s="312"/>
      <c r="EL311" s="312"/>
      <c r="EM311" s="312"/>
      <c r="EN311" s="312"/>
      <c r="EO311" s="312"/>
      <c r="EP311" s="312"/>
      <c r="EQ311" s="312"/>
      <c r="ER311" s="312"/>
      <c r="ES311" s="312"/>
      <c r="ET311" s="312"/>
      <c r="EU311" s="312"/>
      <c r="EV311" s="312"/>
      <c r="EW311" s="312"/>
      <c r="EX311" s="312"/>
      <c r="EY311" s="312"/>
      <c r="EZ311" s="312"/>
      <c r="FA311" s="312"/>
      <c r="FB311" s="312"/>
      <c r="FC311" s="312"/>
      <c r="FD311" s="312"/>
      <c r="FE311" s="312"/>
      <c r="FF311" s="312"/>
      <c r="FG311" s="312"/>
      <c r="FH311" s="312"/>
      <c r="FI311" s="312"/>
      <c r="FJ311" s="312"/>
      <c r="FK311" s="312"/>
      <c r="FL311" s="312"/>
      <c r="FM311" s="312"/>
      <c r="FN311" s="312"/>
      <c r="FO311" s="312"/>
      <c r="FP311" s="312"/>
      <c r="FQ311" s="312"/>
      <c r="FR311" s="312"/>
      <c r="FS311" s="312"/>
      <c r="FT311" s="312"/>
      <c r="FU311" s="312"/>
      <c r="FV311" s="312"/>
      <c r="FW311" s="312"/>
      <c r="FX311" s="312"/>
      <c r="FY311" s="312"/>
      <c r="FZ311" s="312"/>
      <c r="GA311" s="312"/>
      <c r="GB311" s="312"/>
      <c r="GC311" s="312"/>
      <c r="GD311" s="312"/>
      <c r="GE311" s="312"/>
      <c r="GF311" s="312"/>
      <c r="GG311" s="312"/>
      <c r="GH311" s="312"/>
      <c r="GI311" s="312"/>
      <c r="GJ311" s="312"/>
      <c r="GK311" s="312"/>
      <c r="GL311" s="312"/>
      <c r="GM311" s="312"/>
      <c r="GN311" s="312"/>
      <c r="GO311" s="312"/>
      <c r="GP311" s="312"/>
      <c r="GQ311" s="312"/>
      <c r="GR311" s="312"/>
      <c r="GS311" s="312"/>
      <c r="GT311" s="312"/>
      <c r="GU311" s="312"/>
      <c r="GV311" s="312"/>
      <c r="GW311" s="312"/>
      <c r="GX311" s="312"/>
      <c r="GY311" s="312"/>
      <c r="GZ311" s="312"/>
      <c r="HA311" s="381">
        <f t="shared" si="6819"/>
        <v>0</v>
      </c>
      <c r="HB311" s="312"/>
      <c r="HC311" s="381"/>
      <c r="HD311" s="360">
        <v>503346.23</v>
      </c>
    </row>
    <row r="312" spans="1:212" s="299" customFormat="1" ht="12" customHeight="1">
      <c r="A312" s="669">
        <v>160</v>
      </c>
      <c r="B312" s="683" t="s">
        <v>564</v>
      </c>
      <c r="C312" s="685" t="s">
        <v>711</v>
      </c>
      <c r="D312" s="675" t="s">
        <v>643</v>
      </c>
      <c r="E312" s="687" t="s">
        <v>505</v>
      </c>
      <c r="F312" s="654">
        <v>145.87</v>
      </c>
      <c r="G312" s="654">
        <v>10.5</v>
      </c>
      <c r="H312" s="656">
        <f>F312*G312*365</f>
        <v>559046.77500000002</v>
      </c>
      <c r="I312" s="307">
        <v>195767.7</v>
      </c>
      <c r="J312" s="292">
        <f>ROUND(G312*F312*365/4,0)</f>
        <v>139762</v>
      </c>
      <c r="K312" s="295">
        <f>J312</f>
        <v>139762</v>
      </c>
      <c r="L312" s="295">
        <f>K312</f>
        <v>139762</v>
      </c>
      <c r="M312" s="295">
        <f>L312</f>
        <v>139762</v>
      </c>
      <c r="N312" s="293">
        <f>ROUND(M312*(1+取值表!$D$14)*取值表!$I$14,0)</f>
        <v>139802</v>
      </c>
      <c r="O312" s="295">
        <f>N312</f>
        <v>139802</v>
      </c>
      <c r="P312" s="295">
        <f>O312</f>
        <v>139802</v>
      </c>
      <c r="Q312" s="295">
        <f>P312</f>
        <v>139802</v>
      </c>
      <c r="R312" s="294">
        <f>ROUND(Q312*(1+取值表!$D$14),0)</f>
        <v>148610</v>
      </c>
      <c r="S312" s="295">
        <f t="shared" ref="S312:T312" si="6820">R312</f>
        <v>148610</v>
      </c>
      <c r="T312" s="295">
        <f t="shared" si="6820"/>
        <v>148610</v>
      </c>
      <c r="U312" s="295">
        <f>T312</f>
        <v>148610</v>
      </c>
      <c r="V312" s="293">
        <f>ROUND(U312*(1+取值表!$D$14),0)</f>
        <v>157972</v>
      </c>
      <c r="W312" s="295">
        <f t="shared" ref="W312:Y312" si="6821">V312</f>
        <v>157972</v>
      </c>
      <c r="X312" s="295">
        <f t="shared" si="6821"/>
        <v>157972</v>
      </c>
      <c r="Y312" s="295">
        <f t="shared" si="6821"/>
        <v>157972</v>
      </c>
      <c r="Z312" s="293">
        <f>ROUND(Y312*(1+取值表!$D$14),0)</f>
        <v>167924</v>
      </c>
      <c r="AA312" s="295">
        <f t="shared" ref="AA312" si="6822">Z312</f>
        <v>167924</v>
      </c>
      <c r="AB312" s="295">
        <f t="shared" ref="AB312" si="6823">AA312</f>
        <v>167924</v>
      </c>
      <c r="AC312" s="295">
        <f>AB312</f>
        <v>167924</v>
      </c>
      <c r="AD312" s="293">
        <f>ROUND(AC312*(1+取值表!$D$14),0)</f>
        <v>178503</v>
      </c>
      <c r="AE312" s="295">
        <f t="shared" ref="AE312" si="6824">AD312</f>
        <v>178503</v>
      </c>
      <c r="AF312" s="295">
        <f t="shared" ref="AF312" si="6825">AE312</f>
        <v>178503</v>
      </c>
      <c r="AG312" s="295">
        <f t="shared" ref="AG312" si="6826">AF312</f>
        <v>178503</v>
      </c>
      <c r="AH312" s="293">
        <f>ROUND(AG312*(1+取值表!$D$14),0)</f>
        <v>189749</v>
      </c>
      <c r="AI312" s="295">
        <f t="shared" ref="AI312" si="6827">AH312</f>
        <v>189749</v>
      </c>
      <c r="AJ312" s="295">
        <f t="shared" ref="AJ312" si="6828">AI312</f>
        <v>189749</v>
      </c>
      <c r="AK312" s="295">
        <f t="shared" ref="AK312" si="6829">AJ312</f>
        <v>189749</v>
      </c>
      <c r="AL312" s="293">
        <f>ROUND(AK312*(1+取值表!$D$14),0)</f>
        <v>201703</v>
      </c>
      <c r="AM312" s="295">
        <f t="shared" ref="AM312" si="6830">AL312</f>
        <v>201703</v>
      </c>
      <c r="AN312" s="295">
        <f t="shared" ref="AN312" si="6831">AM312</f>
        <v>201703</v>
      </c>
      <c r="AO312" s="295">
        <f t="shared" ref="AO312" si="6832">AN312</f>
        <v>201703</v>
      </c>
      <c r="AP312" s="293">
        <f>ROUND(AO312*(1+取值表!$D$14),0)</f>
        <v>214410</v>
      </c>
      <c r="AQ312" s="295">
        <f t="shared" ref="AQ312" si="6833">AP312</f>
        <v>214410</v>
      </c>
      <c r="AR312" s="295">
        <f t="shared" ref="AR312" si="6834">AQ312</f>
        <v>214410</v>
      </c>
      <c r="AS312" s="295">
        <f t="shared" ref="AS312" si="6835">AR312</f>
        <v>214410</v>
      </c>
      <c r="AT312" s="293">
        <f>ROUND(AS312*(1+取值表!$D$14),0)</f>
        <v>227918</v>
      </c>
      <c r="AU312" s="295">
        <f t="shared" ref="AU312" si="6836">AT312</f>
        <v>227918</v>
      </c>
      <c r="AV312" s="295">
        <f t="shared" ref="AV312" si="6837">AU312</f>
        <v>227918</v>
      </c>
      <c r="AW312" s="295">
        <f t="shared" ref="AW312" si="6838">AV312</f>
        <v>227918</v>
      </c>
      <c r="AX312" s="293">
        <f>ROUND(AW312*(1+取值表!$D$14),0)</f>
        <v>242277</v>
      </c>
      <c r="AY312" s="295">
        <f t="shared" ref="AY312" si="6839">AX312</f>
        <v>242277</v>
      </c>
      <c r="AZ312" s="295">
        <f t="shared" ref="AZ312" si="6840">AY312</f>
        <v>242277</v>
      </c>
      <c r="BA312" s="295">
        <f t="shared" ref="BA312" si="6841">AZ312</f>
        <v>242277</v>
      </c>
      <c r="BB312" s="293">
        <f>ROUND(BA312*(1+取值表!$D$14),0)</f>
        <v>257540</v>
      </c>
      <c r="BC312" s="295">
        <f>BB312</f>
        <v>257540</v>
      </c>
      <c r="BD312" s="295">
        <f t="shared" ref="BD312" si="6842">BC312</f>
        <v>257540</v>
      </c>
      <c r="BE312" s="295">
        <f>BD312</f>
        <v>257540</v>
      </c>
      <c r="BF312" s="293">
        <f>ROUND(BE312*(1+取值表!$D$14),0)</f>
        <v>273765</v>
      </c>
      <c r="BG312" s="295">
        <f>BF312</f>
        <v>273765</v>
      </c>
      <c r="BH312" s="295">
        <f t="shared" ref="BH312" si="6843">BG312</f>
        <v>273765</v>
      </c>
      <c r="BI312" s="295">
        <f t="shared" ref="BI312" si="6844">BH312</f>
        <v>273765</v>
      </c>
      <c r="BJ312" s="293">
        <f>ROUND(BI312*(1+取值表!$D$14),0)</f>
        <v>291012</v>
      </c>
      <c r="BK312" s="295">
        <f t="shared" ref="BK312" si="6845">BJ312</f>
        <v>291012</v>
      </c>
      <c r="BL312" s="295">
        <f t="shared" ref="BL312" si="6846">BK312</f>
        <v>291012</v>
      </c>
      <c r="BM312" s="295">
        <f t="shared" ref="BM312" si="6847">BL312</f>
        <v>291012</v>
      </c>
      <c r="BN312" s="293">
        <f>ROUND(BM312*(1+取值表!$D$14),0)</f>
        <v>309346</v>
      </c>
      <c r="BO312" s="295">
        <f t="shared" ref="BO312" si="6848">BN312</f>
        <v>309346</v>
      </c>
      <c r="BP312" s="295">
        <f t="shared" ref="BP312" si="6849">BO312</f>
        <v>309346</v>
      </c>
      <c r="BQ312" s="295">
        <f t="shared" ref="BQ312" si="6850">BP312</f>
        <v>309346</v>
      </c>
      <c r="BR312" s="293">
        <f>ROUND(BQ312*(1+取值表!$D$14),0)</f>
        <v>328835</v>
      </c>
      <c r="BS312" s="295">
        <f t="shared" ref="BS312" si="6851">BR312</f>
        <v>328835</v>
      </c>
      <c r="BT312" s="295">
        <f t="shared" ref="BT312" si="6852">BS312</f>
        <v>328835</v>
      </c>
      <c r="BU312" s="295">
        <f t="shared" ref="BU312" si="6853">BT312</f>
        <v>328835</v>
      </c>
      <c r="BV312" s="293">
        <f>ROUND(BU312*(1+取值表!$D$14),0)</f>
        <v>349552</v>
      </c>
      <c r="BW312" s="295">
        <f t="shared" ref="BW312" si="6854">BV312</f>
        <v>349552</v>
      </c>
      <c r="BX312" s="295">
        <f t="shared" ref="BX312" si="6855">BW312</f>
        <v>349552</v>
      </c>
      <c r="BY312" s="295">
        <f t="shared" ref="BY312" si="6856">BX312</f>
        <v>349552</v>
      </c>
      <c r="BZ312" s="293">
        <f>ROUND(BY312*(1+取值表!$D$14),0)</f>
        <v>371574</v>
      </c>
      <c r="CA312" s="295">
        <f t="shared" ref="CA312" si="6857">BZ312</f>
        <v>371574</v>
      </c>
      <c r="CB312" s="295">
        <f t="shared" ref="CB312" si="6858">CA312</f>
        <v>371574</v>
      </c>
      <c r="CC312" s="295">
        <f t="shared" ref="CC312" si="6859">CB312</f>
        <v>371574</v>
      </c>
      <c r="CD312" s="293">
        <f>ROUND(CC312*(1+取值表!$D$14),0)</f>
        <v>394983</v>
      </c>
      <c r="CE312" s="295">
        <f t="shared" ref="CE312" si="6860">CD312</f>
        <v>394983</v>
      </c>
      <c r="CF312" s="295">
        <f t="shared" ref="CF312" si="6861">CE312</f>
        <v>394983</v>
      </c>
      <c r="CG312" s="295">
        <f t="shared" ref="CG312" si="6862">CF312</f>
        <v>394983</v>
      </c>
      <c r="CH312" s="293">
        <f>ROUND(CG312*(1+取值表!$D$14),0)</f>
        <v>419867</v>
      </c>
      <c r="CI312" s="295">
        <f>CH312</f>
        <v>419867</v>
      </c>
      <c r="CJ312" s="295">
        <f t="shared" ref="CJ312" si="6863">CI312</f>
        <v>419867</v>
      </c>
      <c r="CK312" s="295">
        <f t="shared" ref="CK312" si="6864">CJ312</f>
        <v>419867</v>
      </c>
      <c r="CL312" s="293">
        <f>ROUND(CK312*(1+取值表!$D$14),0)</f>
        <v>446319</v>
      </c>
      <c r="CM312" s="295">
        <f>CL312</f>
        <v>446319</v>
      </c>
      <c r="CN312" s="295">
        <f t="shared" ref="CN312" si="6865">CM312</f>
        <v>446319</v>
      </c>
      <c r="CO312" s="295">
        <f t="shared" ref="CO312" si="6866">CN312</f>
        <v>446319</v>
      </c>
      <c r="CP312" s="293">
        <f t="shared" si="5740"/>
        <v>21805692</v>
      </c>
      <c r="CQ312" s="308"/>
      <c r="CR312" s="308"/>
      <c r="CS312" s="308"/>
      <c r="CT312" s="308"/>
      <c r="CU312" s="308"/>
      <c r="CV312" s="308"/>
      <c r="CW312" s="308"/>
      <c r="CX312" s="308"/>
      <c r="CY312" s="308"/>
      <c r="CZ312" s="308"/>
      <c r="DA312" s="308"/>
      <c r="DB312" s="308"/>
      <c r="DC312" s="308"/>
      <c r="DD312" s="308"/>
      <c r="DE312" s="308"/>
      <c r="DF312" s="308"/>
      <c r="DG312" s="308"/>
      <c r="DH312" s="308"/>
      <c r="DI312" s="308"/>
      <c r="DJ312" s="308"/>
      <c r="DK312" s="308"/>
      <c r="DL312" s="308"/>
      <c r="DM312" s="308"/>
      <c r="DN312" s="308"/>
      <c r="DO312" s="308"/>
      <c r="DP312" s="308"/>
      <c r="DQ312" s="308"/>
      <c r="DR312" s="308"/>
      <c r="DS312" s="308"/>
      <c r="DT312" s="308"/>
      <c r="DU312" s="308"/>
      <c r="DV312" s="308"/>
      <c r="DW312" s="308"/>
      <c r="DX312" s="308"/>
      <c r="DY312" s="308"/>
      <c r="DZ312" s="308"/>
      <c r="EA312" s="308"/>
      <c r="EB312" s="308"/>
      <c r="EC312" s="308"/>
      <c r="ED312" s="308"/>
      <c r="EE312" s="308"/>
      <c r="EF312" s="308"/>
      <c r="EG312" s="308"/>
      <c r="EH312" s="308"/>
      <c r="EI312" s="308"/>
      <c r="EJ312" s="308"/>
      <c r="EK312" s="308"/>
      <c r="EL312" s="308"/>
      <c r="EM312" s="308"/>
      <c r="EN312" s="308"/>
      <c r="EO312" s="308"/>
      <c r="EP312" s="308"/>
      <c r="EQ312" s="308"/>
      <c r="ER312" s="308"/>
      <c r="ES312" s="308"/>
      <c r="ET312" s="308"/>
      <c r="EU312" s="308"/>
      <c r="EV312" s="308"/>
      <c r="EW312" s="308"/>
      <c r="EX312" s="308"/>
      <c r="EY312" s="308"/>
      <c r="EZ312" s="308"/>
      <c r="FA312" s="308"/>
      <c r="FB312" s="308"/>
      <c r="FC312" s="308"/>
      <c r="FD312" s="308"/>
      <c r="FE312" s="308"/>
      <c r="FF312" s="308"/>
      <c r="FG312" s="308"/>
      <c r="FH312" s="308"/>
      <c r="FI312" s="308"/>
      <c r="FJ312" s="308"/>
      <c r="FK312" s="308"/>
      <c r="FL312" s="308"/>
      <c r="FM312" s="308"/>
      <c r="FN312" s="308"/>
      <c r="FO312" s="308"/>
      <c r="FP312" s="308"/>
      <c r="FQ312" s="308"/>
      <c r="FR312" s="308"/>
      <c r="FS312" s="308"/>
      <c r="FT312" s="308"/>
      <c r="FU312" s="308"/>
      <c r="FV312" s="308"/>
      <c r="FW312" s="308"/>
      <c r="FX312" s="308"/>
      <c r="FY312" s="308"/>
      <c r="FZ312" s="308"/>
      <c r="GA312" s="308"/>
      <c r="GB312" s="308"/>
      <c r="GC312" s="308"/>
      <c r="GD312" s="308"/>
      <c r="GE312" s="308"/>
      <c r="GF312" s="308"/>
      <c r="GG312" s="308"/>
      <c r="GH312" s="308"/>
      <c r="GI312" s="308"/>
      <c r="GJ312" s="308"/>
      <c r="GK312" s="308"/>
      <c r="GL312" s="308"/>
      <c r="GM312" s="308"/>
      <c r="GN312" s="308"/>
      <c r="GO312" s="308"/>
      <c r="GP312" s="308"/>
      <c r="GQ312" s="308"/>
      <c r="GR312" s="308"/>
      <c r="GS312" s="308"/>
      <c r="GT312" s="308"/>
      <c r="GU312" s="308"/>
      <c r="GV312" s="308"/>
      <c r="GW312" s="308"/>
      <c r="GX312" s="308"/>
      <c r="GY312" s="308"/>
      <c r="GZ312" s="308"/>
      <c r="HA312" s="380">
        <f t="shared" si="6819"/>
        <v>43611384</v>
      </c>
      <c r="HB312" s="308"/>
      <c r="HC312" s="380"/>
      <c r="HD312" s="360">
        <v>1453595.48533333</v>
      </c>
    </row>
    <row r="313" spans="1:212" s="299" customFormat="1">
      <c r="A313" s="670"/>
      <c r="B313" s="684"/>
      <c r="C313" s="686"/>
      <c r="D313" s="676"/>
      <c r="E313" s="688"/>
      <c r="F313" s="655"/>
      <c r="G313" s="655"/>
      <c r="H313" s="657"/>
      <c r="I313" s="313"/>
      <c r="J313" s="295"/>
      <c r="K313" s="295"/>
      <c r="L313" s="295"/>
      <c r="M313" s="295"/>
      <c r="N313" s="295"/>
      <c r="O313" s="295"/>
      <c r="P313" s="295"/>
      <c r="Q313" s="295"/>
      <c r="R313" s="295"/>
      <c r="S313" s="295"/>
      <c r="T313" s="295"/>
      <c r="U313" s="295"/>
      <c r="V313" s="295"/>
      <c r="W313" s="295"/>
      <c r="X313" s="295"/>
      <c r="Y313" s="295"/>
      <c r="Z313" s="295"/>
      <c r="AA313" s="295"/>
      <c r="AB313" s="295"/>
      <c r="AC313" s="295"/>
      <c r="AD313" s="295"/>
      <c r="AE313" s="295"/>
      <c r="AF313" s="295"/>
      <c r="AG313" s="295"/>
      <c r="AH313" s="295"/>
      <c r="AI313" s="295"/>
      <c r="AJ313" s="295"/>
      <c r="AK313" s="295"/>
      <c r="AL313" s="295"/>
      <c r="AM313" s="295"/>
      <c r="AN313" s="295"/>
      <c r="AO313" s="295"/>
      <c r="AP313" s="295"/>
      <c r="AQ313" s="295"/>
      <c r="AR313" s="295"/>
      <c r="AS313" s="295"/>
      <c r="AT313" s="295"/>
      <c r="AU313" s="295"/>
      <c r="AV313" s="295"/>
      <c r="AW313" s="295"/>
      <c r="AX313" s="295"/>
      <c r="AY313" s="295"/>
      <c r="AZ313" s="295"/>
      <c r="BA313" s="295"/>
      <c r="BB313" s="295"/>
      <c r="BC313" s="295"/>
      <c r="BD313" s="295"/>
      <c r="BE313" s="295"/>
      <c r="BF313" s="295"/>
      <c r="BG313" s="295"/>
      <c r="BH313" s="295"/>
      <c r="BI313" s="295"/>
      <c r="BJ313" s="295"/>
      <c r="BK313" s="295"/>
      <c r="BL313" s="295"/>
      <c r="BM313" s="295"/>
      <c r="BN313" s="295"/>
      <c r="BO313" s="295"/>
      <c r="BP313" s="295"/>
      <c r="BQ313" s="295"/>
      <c r="BR313" s="295"/>
      <c r="BS313" s="295"/>
      <c r="BT313" s="295"/>
      <c r="BU313" s="295"/>
      <c r="BV313" s="295"/>
      <c r="BW313" s="295"/>
      <c r="BX313" s="295"/>
      <c r="BY313" s="295"/>
      <c r="BZ313" s="295"/>
      <c r="CA313" s="295"/>
      <c r="CB313" s="295"/>
      <c r="CC313" s="295"/>
      <c r="CD313" s="295"/>
      <c r="CE313" s="295"/>
      <c r="CF313" s="295"/>
      <c r="CG313" s="295"/>
      <c r="CH313" s="295"/>
      <c r="CI313" s="295"/>
      <c r="CJ313" s="295"/>
      <c r="CK313" s="295"/>
      <c r="CL313" s="295"/>
      <c r="CM313" s="295"/>
      <c r="CN313" s="295"/>
      <c r="CO313" s="295"/>
      <c r="CP313" s="293">
        <f t="shared" si="5740"/>
        <v>0</v>
      </c>
      <c r="CQ313" s="312"/>
      <c r="CR313" s="312"/>
      <c r="CS313" s="312"/>
      <c r="CT313" s="312"/>
      <c r="CU313" s="312"/>
      <c r="CV313" s="312"/>
      <c r="CW313" s="312"/>
      <c r="CX313" s="312"/>
      <c r="CY313" s="312"/>
      <c r="CZ313" s="312"/>
      <c r="DA313" s="312"/>
      <c r="DB313" s="312"/>
      <c r="DC313" s="312"/>
      <c r="DD313" s="312"/>
      <c r="DE313" s="312"/>
      <c r="DF313" s="312"/>
      <c r="DG313" s="312"/>
      <c r="DH313" s="312"/>
      <c r="DI313" s="312"/>
      <c r="DJ313" s="312"/>
      <c r="DK313" s="312"/>
      <c r="DL313" s="312"/>
      <c r="DM313" s="312"/>
      <c r="DN313" s="312"/>
      <c r="DO313" s="312"/>
      <c r="DP313" s="312"/>
      <c r="DQ313" s="312"/>
      <c r="DR313" s="312"/>
      <c r="DS313" s="312"/>
      <c r="DT313" s="312"/>
      <c r="DU313" s="312"/>
      <c r="DV313" s="312"/>
      <c r="DW313" s="312"/>
      <c r="DX313" s="312"/>
      <c r="DY313" s="312"/>
      <c r="DZ313" s="312"/>
      <c r="EA313" s="312"/>
      <c r="EB313" s="312"/>
      <c r="EC313" s="312"/>
      <c r="ED313" s="312"/>
      <c r="EE313" s="312"/>
      <c r="EF313" s="312"/>
      <c r="EG313" s="312"/>
      <c r="EH313" s="312"/>
      <c r="EI313" s="312"/>
      <c r="EJ313" s="312"/>
      <c r="EK313" s="312"/>
      <c r="EL313" s="312"/>
      <c r="EM313" s="312"/>
      <c r="EN313" s="312"/>
      <c r="EO313" s="312"/>
      <c r="EP313" s="312"/>
      <c r="EQ313" s="312"/>
      <c r="ER313" s="312"/>
      <c r="ES313" s="312"/>
      <c r="ET313" s="312"/>
      <c r="EU313" s="312"/>
      <c r="EV313" s="312"/>
      <c r="EW313" s="312"/>
      <c r="EX313" s="312"/>
      <c r="EY313" s="312"/>
      <c r="EZ313" s="312"/>
      <c r="FA313" s="312"/>
      <c r="FB313" s="312"/>
      <c r="FC313" s="312"/>
      <c r="FD313" s="312"/>
      <c r="FE313" s="312"/>
      <c r="FF313" s="312"/>
      <c r="FG313" s="312"/>
      <c r="FH313" s="312"/>
      <c r="FI313" s="312"/>
      <c r="FJ313" s="312"/>
      <c r="FK313" s="312"/>
      <c r="FL313" s="312"/>
      <c r="FM313" s="312"/>
      <c r="FN313" s="312"/>
      <c r="FO313" s="312"/>
      <c r="FP313" s="312"/>
      <c r="FQ313" s="312"/>
      <c r="FR313" s="312"/>
      <c r="FS313" s="312"/>
      <c r="FT313" s="312"/>
      <c r="FU313" s="312"/>
      <c r="FV313" s="312"/>
      <c r="FW313" s="312"/>
      <c r="FX313" s="312"/>
      <c r="FY313" s="312"/>
      <c r="FZ313" s="312"/>
      <c r="GA313" s="312"/>
      <c r="GB313" s="312"/>
      <c r="GC313" s="312"/>
      <c r="GD313" s="312"/>
      <c r="GE313" s="312"/>
      <c r="GF313" s="312"/>
      <c r="GG313" s="312"/>
      <c r="GH313" s="312"/>
      <c r="GI313" s="312"/>
      <c r="GJ313" s="312"/>
      <c r="GK313" s="312"/>
      <c r="GL313" s="312"/>
      <c r="GM313" s="312"/>
      <c r="GN313" s="312"/>
      <c r="GO313" s="312"/>
      <c r="GP313" s="312"/>
      <c r="GQ313" s="312"/>
      <c r="GR313" s="312"/>
      <c r="GS313" s="312"/>
      <c r="GT313" s="312"/>
      <c r="GU313" s="312"/>
      <c r="GV313" s="312"/>
      <c r="GW313" s="312"/>
      <c r="GX313" s="312"/>
      <c r="GY313" s="312"/>
      <c r="GZ313" s="312"/>
      <c r="HA313" s="381">
        <f t="shared" si="6819"/>
        <v>0</v>
      </c>
      <c r="HB313" s="312"/>
      <c r="HC313" s="381"/>
      <c r="HD313" s="360">
        <v>107816.16</v>
      </c>
    </row>
    <row r="314" spans="1:212" s="299" customFormat="1">
      <c r="A314" s="669">
        <v>161</v>
      </c>
      <c r="B314" s="683" t="s">
        <v>565</v>
      </c>
      <c r="C314" s="685" t="s">
        <v>703</v>
      </c>
      <c r="D314" s="675" t="s">
        <v>702</v>
      </c>
      <c r="E314" s="677">
        <v>4</v>
      </c>
      <c r="F314" s="654">
        <v>521.33000000000004</v>
      </c>
      <c r="G314" s="654">
        <v>8</v>
      </c>
      <c r="H314" s="656">
        <f>F314*G314*365</f>
        <v>1522283.6</v>
      </c>
      <c r="I314" s="311">
        <v>223430</v>
      </c>
      <c r="J314" s="295">
        <f>ROUND(G314*F314*365/4,0)</f>
        <v>380571</v>
      </c>
      <c r="K314" s="295">
        <f>J314</f>
        <v>380571</v>
      </c>
      <c r="L314" s="295">
        <f>K314</f>
        <v>380571</v>
      </c>
      <c r="M314" s="292">
        <f>L314</f>
        <v>380571</v>
      </c>
      <c r="N314" s="293">
        <f>ROUND(M314*(1+取值表!$D$14)*取值表!$I$14,0)</f>
        <v>380679</v>
      </c>
      <c r="O314" s="295">
        <f>N314</f>
        <v>380679</v>
      </c>
      <c r="P314" s="295">
        <f>O314</f>
        <v>380679</v>
      </c>
      <c r="Q314" s="295">
        <f>P314</f>
        <v>380679</v>
      </c>
      <c r="R314" s="294">
        <f>ROUND(Q314*(1+取值表!$D$14),0)</f>
        <v>404662</v>
      </c>
      <c r="S314" s="295">
        <f t="shared" ref="S314:T314" si="6867">R314</f>
        <v>404662</v>
      </c>
      <c r="T314" s="295">
        <f t="shared" si="6867"/>
        <v>404662</v>
      </c>
      <c r="U314" s="295">
        <f>T314</f>
        <v>404662</v>
      </c>
      <c r="V314" s="293">
        <f>ROUND(U314*(1+取值表!$D$14),0)</f>
        <v>430156</v>
      </c>
      <c r="W314" s="295">
        <f t="shared" ref="W314:Y314" si="6868">V314</f>
        <v>430156</v>
      </c>
      <c r="X314" s="295">
        <f t="shared" si="6868"/>
        <v>430156</v>
      </c>
      <c r="Y314" s="295">
        <f t="shared" si="6868"/>
        <v>430156</v>
      </c>
      <c r="Z314" s="293">
        <f>ROUND(Y314*(1+取值表!$D$14),0)</f>
        <v>457256</v>
      </c>
      <c r="AA314" s="295">
        <f t="shared" ref="AA314" si="6869">Z314</f>
        <v>457256</v>
      </c>
      <c r="AB314" s="295">
        <f t="shared" ref="AB314" si="6870">AA314</f>
        <v>457256</v>
      </c>
      <c r="AC314" s="295">
        <f>AB314</f>
        <v>457256</v>
      </c>
      <c r="AD314" s="293">
        <f>ROUND(AC314*(1+取值表!$D$14),0)</f>
        <v>486063</v>
      </c>
      <c r="AE314" s="295">
        <f t="shared" ref="AE314" si="6871">AD314</f>
        <v>486063</v>
      </c>
      <c r="AF314" s="295">
        <f t="shared" ref="AF314" si="6872">AE314</f>
        <v>486063</v>
      </c>
      <c r="AG314" s="295">
        <f t="shared" ref="AG314" si="6873">AF314</f>
        <v>486063</v>
      </c>
      <c r="AH314" s="293">
        <f>ROUND(AG314*(1+取值表!$D$14),0)</f>
        <v>516685</v>
      </c>
      <c r="AI314" s="295">
        <f t="shared" ref="AI314" si="6874">AH314</f>
        <v>516685</v>
      </c>
      <c r="AJ314" s="295">
        <f t="shared" ref="AJ314" si="6875">AI314</f>
        <v>516685</v>
      </c>
      <c r="AK314" s="295">
        <f t="shared" ref="AK314" si="6876">AJ314</f>
        <v>516685</v>
      </c>
      <c r="AL314" s="293">
        <f>ROUND(AK314*(1+取值表!$D$14),0)</f>
        <v>549236</v>
      </c>
      <c r="AM314" s="295">
        <f t="shared" ref="AM314" si="6877">AL314</f>
        <v>549236</v>
      </c>
      <c r="AN314" s="295">
        <f t="shared" ref="AN314" si="6878">AM314</f>
        <v>549236</v>
      </c>
      <c r="AO314" s="295">
        <f t="shared" ref="AO314" si="6879">AN314</f>
        <v>549236</v>
      </c>
      <c r="AP314" s="293">
        <f>ROUND(AO314*(1+取值表!$D$14),0)</f>
        <v>583838</v>
      </c>
      <c r="AQ314" s="295">
        <f t="shared" ref="AQ314" si="6880">AP314</f>
        <v>583838</v>
      </c>
      <c r="AR314" s="295">
        <f t="shared" ref="AR314" si="6881">AQ314</f>
        <v>583838</v>
      </c>
      <c r="AS314" s="295">
        <f t="shared" ref="AS314" si="6882">AR314</f>
        <v>583838</v>
      </c>
      <c r="AT314" s="293">
        <f>ROUND(AS314*(1+取值表!$D$14),0)</f>
        <v>620620</v>
      </c>
      <c r="AU314" s="295">
        <f t="shared" ref="AU314" si="6883">AT314</f>
        <v>620620</v>
      </c>
      <c r="AV314" s="295">
        <f t="shared" ref="AV314" si="6884">AU314</f>
        <v>620620</v>
      </c>
      <c r="AW314" s="295">
        <f t="shared" ref="AW314" si="6885">AV314</f>
        <v>620620</v>
      </c>
      <c r="AX314" s="293">
        <f>ROUND(AW314*(1+取值表!$D$14),0)</f>
        <v>659719</v>
      </c>
      <c r="AY314" s="295">
        <f t="shared" ref="AY314" si="6886">AX314</f>
        <v>659719</v>
      </c>
      <c r="AZ314" s="295">
        <f t="shared" ref="AZ314" si="6887">AY314</f>
        <v>659719</v>
      </c>
      <c r="BA314" s="295">
        <f t="shared" ref="BA314" si="6888">AZ314</f>
        <v>659719</v>
      </c>
      <c r="BB314" s="293">
        <f>ROUND(BA314*(1+取值表!$D$14),0)</f>
        <v>701281</v>
      </c>
      <c r="BC314" s="295">
        <f>BB314</f>
        <v>701281</v>
      </c>
      <c r="BD314" s="295">
        <f t="shared" ref="BD314" si="6889">BC314</f>
        <v>701281</v>
      </c>
      <c r="BE314" s="295">
        <f>BD314</f>
        <v>701281</v>
      </c>
      <c r="BF314" s="293">
        <f>ROUND(BE314*(1+取值表!$D$14),0)</f>
        <v>745462</v>
      </c>
      <c r="BG314" s="295">
        <f>BF314</f>
        <v>745462</v>
      </c>
      <c r="BH314" s="295">
        <f t="shared" ref="BH314" si="6890">BG314</f>
        <v>745462</v>
      </c>
      <c r="BI314" s="295">
        <f t="shared" ref="BI314" si="6891">BH314</f>
        <v>745462</v>
      </c>
      <c r="BJ314" s="293">
        <f>ROUND(BI314*(1+取值表!$D$14),0)</f>
        <v>792426</v>
      </c>
      <c r="BK314" s="295">
        <f t="shared" ref="BK314" si="6892">BJ314</f>
        <v>792426</v>
      </c>
      <c r="BL314" s="295">
        <f t="shared" ref="BL314" si="6893">BK314</f>
        <v>792426</v>
      </c>
      <c r="BM314" s="295">
        <f t="shared" ref="BM314" si="6894">BL314</f>
        <v>792426</v>
      </c>
      <c r="BN314" s="293">
        <f>ROUND(BM314*(1+取值表!$D$14),0)</f>
        <v>842349</v>
      </c>
      <c r="BO314" s="295">
        <f t="shared" ref="BO314" si="6895">BN314</f>
        <v>842349</v>
      </c>
      <c r="BP314" s="295">
        <f t="shared" ref="BP314" si="6896">BO314</f>
        <v>842349</v>
      </c>
      <c r="BQ314" s="295">
        <f t="shared" ref="BQ314" si="6897">BP314</f>
        <v>842349</v>
      </c>
      <c r="BR314" s="293">
        <f>ROUND(BQ314*(1+取值表!$D$14),0)</f>
        <v>895417</v>
      </c>
      <c r="BS314" s="295">
        <f t="shared" ref="BS314" si="6898">BR314</f>
        <v>895417</v>
      </c>
      <c r="BT314" s="295">
        <f t="shared" ref="BT314" si="6899">BS314</f>
        <v>895417</v>
      </c>
      <c r="BU314" s="295">
        <f t="shared" ref="BU314" si="6900">BT314</f>
        <v>895417</v>
      </c>
      <c r="BV314" s="293">
        <f>ROUND(BU314*(1+取值表!$D$14),0)</f>
        <v>951828</v>
      </c>
      <c r="BW314" s="295">
        <f t="shared" ref="BW314" si="6901">BV314</f>
        <v>951828</v>
      </c>
      <c r="BX314" s="295">
        <f t="shared" ref="BX314" si="6902">BW314</f>
        <v>951828</v>
      </c>
      <c r="BY314" s="295">
        <f t="shared" ref="BY314" si="6903">BX314</f>
        <v>951828</v>
      </c>
      <c r="BZ314" s="293">
        <f>ROUND(BY314*(1+取值表!$D$14),0)</f>
        <v>1011793</v>
      </c>
      <c r="CA314" s="295">
        <f t="shared" ref="CA314" si="6904">BZ314</f>
        <v>1011793</v>
      </c>
      <c r="CB314" s="295">
        <f t="shared" ref="CB314" si="6905">CA314</f>
        <v>1011793</v>
      </c>
      <c r="CC314" s="295">
        <f t="shared" ref="CC314" si="6906">CB314</f>
        <v>1011793</v>
      </c>
      <c r="CD314" s="293">
        <f>ROUND(CC314*(1+取值表!$D$14),0)</f>
        <v>1075536</v>
      </c>
      <c r="CE314" s="295">
        <f t="shared" ref="CE314" si="6907">CD314</f>
        <v>1075536</v>
      </c>
      <c r="CF314" s="295">
        <f t="shared" ref="CF314" si="6908">CE314</f>
        <v>1075536</v>
      </c>
      <c r="CG314" s="295">
        <f t="shared" ref="CG314" si="6909">CF314</f>
        <v>1075536</v>
      </c>
      <c r="CH314" s="293">
        <f>ROUND(CG314*(1+取值表!$D$14),0)</f>
        <v>1143295</v>
      </c>
      <c r="CI314" s="295">
        <f>CH314</f>
        <v>1143295</v>
      </c>
      <c r="CJ314" s="295">
        <f t="shared" ref="CJ314" si="6910">CI314</f>
        <v>1143295</v>
      </c>
      <c r="CK314" s="295">
        <f t="shared" ref="CK314" si="6911">CJ314</f>
        <v>1143295</v>
      </c>
      <c r="CL314" s="293">
        <f>ROUND(CK314*(1+取值表!$D$14),0)</f>
        <v>1215323</v>
      </c>
      <c r="CM314" s="295">
        <f>CL314</f>
        <v>1215323</v>
      </c>
      <c r="CN314" s="295">
        <f t="shared" ref="CN314" si="6912">CM314</f>
        <v>1215323</v>
      </c>
      <c r="CO314" s="295">
        <f t="shared" ref="CO314" si="6913">CN314</f>
        <v>1215323</v>
      </c>
      <c r="CP314" s="293">
        <f t="shared" si="5740"/>
        <v>59376780</v>
      </c>
      <c r="CQ314" s="308"/>
      <c r="CR314" s="308"/>
      <c r="CS314" s="308"/>
      <c r="CT314" s="308"/>
      <c r="CU314" s="308"/>
      <c r="CV314" s="308"/>
      <c r="CW314" s="308"/>
      <c r="CX314" s="308"/>
      <c r="CY314" s="308"/>
      <c r="CZ314" s="308"/>
      <c r="DA314" s="308"/>
      <c r="DB314" s="308"/>
      <c r="DC314" s="308"/>
      <c r="DD314" s="308"/>
      <c r="DE314" s="308"/>
      <c r="DF314" s="308"/>
      <c r="DG314" s="308"/>
      <c r="DH314" s="308"/>
      <c r="DI314" s="308"/>
      <c r="DJ314" s="308"/>
      <c r="DK314" s="308"/>
      <c r="DL314" s="308"/>
      <c r="DM314" s="308"/>
      <c r="DN314" s="308"/>
      <c r="DO314" s="308"/>
      <c r="DP314" s="308"/>
      <c r="DQ314" s="308"/>
      <c r="DR314" s="308"/>
      <c r="DS314" s="308"/>
      <c r="DT314" s="308"/>
      <c r="DU314" s="308"/>
      <c r="DV314" s="308"/>
      <c r="DW314" s="308"/>
      <c r="DX314" s="308"/>
      <c r="DY314" s="308"/>
      <c r="DZ314" s="308"/>
      <c r="EA314" s="308"/>
      <c r="EB314" s="308"/>
      <c r="EC314" s="308"/>
      <c r="ED314" s="308"/>
      <c r="EE314" s="308"/>
      <c r="EF314" s="308"/>
      <c r="EG314" s="308"/>
      <c r="EH314" s="308"/>
      <c r="EI314" s="308"/>
      <c r="EJ314" s="308"/>
      <c r="EK314" s="308"/>
      <c r="EL314" s="308"/>
      <c r="EM314" s="308"/>
      <c r="EN314" s="308"/>
      <c r="EO314" s="308"/>
      <c r="EP314" s="308"/>
      <c r="EQ314" s="308"/>
      <c r="ER314" s="308"/>
      <c r="ES314" s="308"/>
      <c r="ET314" s="308"/>
      <c r="EU314" s="308"/>
      <c r="EV314" s="308"/>
      <c r="EW314" s="308"/>
      <c r="EX314" s="308"/>
      <c r="EY314" s="308"/>
      <c r="EZ314" s="308"/>
      <c r="FA314" s="308"/>
      <c r="FB314" s="308"/>
      <c r="FC314" s="308"/>
      <c r="FD314" s="308"/>
      <c r="FE314" s="308"/>
      <c r="FF314" s="308"/>
      <c r="FG314" s="308"/>
      <c r="FH314" s="308"/>
      <c r="FI314" s="308"/>
      <c r="FJ314" s="308"/>
      <c r="FK314" s="308"/>
      <c r="FL314" s="308"/>
      <c r="FM314" s="308"/>
      <c r="FN314" s="308"/>
      <c r="FO314" s="308"/>
      <c r="FP314" s="308"/>
      <c r="FQ314" s="308"/>
      <c r="FR314" s="308"/>
      <c r="FS314" s="308"/>
      <c r="FT314" s="308"/>
      <c r="FU314" s="308"/>
      <c r="FV314" s="308"/>
      <c r="FW314" s="308"/>
      <c r="FX314" s="308"/>
      <c r="FY314" s="308"/>
      <c r="FZ314" s="308"/>
      <c r="GA314" s="308"/>
      <c r="GB314" s="308"/>
      <c r="GC314" s="308"/>
      <c r="GD314" s="308"/>
      <c r="GE314" s="308"/>
      <c r="GF314" s="308"/>
      <c r="GG314" s="308"/>
      <c r="GH314" s="308"/>
      <c r="GI314" s="308"/>
      <c r="GJ314" s="308"/>
      <c r="GK314" s="308"/>
      <c r="GL314" s="308"/>
      <c r="GM314" s="308"/>
      <c r="GN314" s="308"/>
      <c r="GO314" s="308"/>
      <c r="GP314" s="308"/>
      <c r="GQ314" s="308"/>
      <c r="GR314" s="308"/>
      <c r="GS314" s="308"/>
      <c r="GT314" s="308"/>
      <c r="GU314" s="308"/>
      <c r="GV314" s="308"/>
      <c r="GW314" s="308"/>
      <c r="GX314" s="308"/>
      <c r="GY314" s="308"/>
      <c r="GZ314" s="308"/>
      <c r="HA314" s="380">
        <f t="shared" si="6819"/>
        <v>118753560</v>
      </c>
      <c r="HB314" s="308">
        <f>HC314*2</f>
        <v>67160.320000000007</v>
      </c>
      <c r="HC314" s="380">
        <v>33580.160000000003</v>
      </c>
      <c r="HD314" s="360">
        <v>12895804.800000001</v>
      </c>
    </row>
    <row r="315" spans="1:212" s="299" customFormat="1" ht="12" customHeight="1">
      <c r="A315" s="670"/>
      <c r="B315" s="684"/>
      <c r="C315" s="686"/>
      <c r="D315" s="676"/>
      <c r="E315" s="678"/>
      <c r="F315" s="655"/>
      <c r="G315" s="655"/>
      <c r="H315" s="657"/>
      <c r="I315" s="311"/>
      <c r="J315" s="295"/>
      <c r="K315" s="295"/>
      <c r="L315" s="295"/>
      <c r="M315" s="295"/>
      <c r="N315" s="295"/>
      <c r="O315" s="295"/>
      <c r="P315" s="295"/>
      <c r="Q315" s="295"/>
      <c r="R315" s="295"/>
      <c r="S315" s="295"/>
      <c r="T315" s="295"/>
      <c r="U315" s="295"/>
      <c r="V315" s="295"/>
      <c r="W315" s="295"/>
      <c r="X315" s="295"/>
      <c r="Y315" s="295"/>
      <c r="Z315" s="295"/>
      <c r="AA315" s="295"/>
      <c r="AB315" s="295"/>
      <c r="AC315" s="295"/>
      <c r="AD315" s="295"/>
      <c r="AE315" s="295"/>
      <c r="AF315" s="295"/>
      <c r="AG315" s="295"/>
      <c r="AH315" s="295"/>
      <c r="AI315" s="295"/>
      <c r="AJ315" s="295"/>
      <c r="AK315" s="295"/>
      <c r="AL315" s="295"/>
      <c r="AM315" s="295"/>
      <c r="AN315" s="295"/>
      <c r="AO315" s="295"/>
      <c r="AP315" s="295"/>
      <c r="AQ315" s="295"/>
      <c r="AR315" s="295"/>
      <c r="AS315" s="295"/>
      <c r="AT315" s="295"/>
      <c r="AU315" s="295"/>
      <c r="AV315" s="295"/>
      <c r="AW315" s="295"/>
      <c r="AX315" s="295"/>
      <c r="AY315" s="295"/>
      <c r="AZ315" s="295"/>
      <c r="BA315" s="295"/>
      <c r="BB315" s="295"/>
      <c r="BC315" s="295"/>
      <c r="BD315" s="295"/>
      <c r="BE315" s="295"/>
      <c r="BF315" s="295"/>
      <c r="BG315" s="295"/>
      <c r="BH315" s="295"/>
      <c r="BI315" s="295"/>
      <c r="BJ315" s="295"/>
      <c r="BK315" s="295"/>
      <c r="BL315" s="295"/>
      <c r="BM315" s="295"/>
      <c r="BN315" s="295"/>
      <c r="BO315" s="295"/>
      <c r="BP315" s="295"/>
      <c r="BQ315" s="295"/>
      <c r="BR315" s="295"/>
      <c r="BS315" s="295"/>
      <c r="BT315" s="295"/>
      <c r="BU315" s="295"/>
      <c r="BV315" s="295"/>
      <c r="BW315" s="295"/>
      <c r="BX315" s="295"/>
      <c r="BY315" s="295"/>
      <c r="BZ315" s="295"/>
      <c r="CA315" s="295"/>
      <c r="CB315" s="295"/>
      <c r="CC315" s="295"/>
      <c r="CD315" s="295"/>
      <c r="CE315" s="295"/>
      <c r="CF315" s="295"/>
      <c r="CG315" s="295"/>
      <c r="CH315" s="295"/>
      <c r="CI315" s="295"/>
      <c r="CJ315" s="295"/>
      <c r="CK315" s="295"/>
      <c r="CL315" s="295"/>
      <c r="CM315" s="295"/>
      <c r="CN315" s="295"/>
      <c r="CO315" s="295"/>
      <c r="CP315" s="293">
        <f t="shared" si="5740"/>
        <v>0</v>
      </c>
      <c r="CQ315" s="312"/>
      <c r="CR315" s="312"/>
      <c r="CS315" s="312"/>
      <c r="CT315" s="312"/>
      <c r="CU315" s="312"/>
      <c r="CV315" s="312"/>
      <c r="CW315" s="312"/>
      <c r="CX315" s="312"/>
      <c r="CY315" s="312"/>
      <c r="CZ315" s="312"/>
      <c r="DA315" s="312"/>
      <c r="DB315" s="312"/>
      <c r="DC315" s="312"/>
      <c r="DD315" s="312"/>
      <c r="DE315" s="312"/>
      <c r="DF315" s="312"/>
      <c r="DG315" s="312"/>
      <c r="DH315" s="312"/>
      <c r="DI315" s="312"/>
      <c r="DJ315" s="312"/>
      <c r="DK315" s="312"/>
      <c r="DL315" s="312"/>
      <c r="DM315" s="312"/>
      <c r="DN315" s="312"/>
      <c r="DO315" s="312"/>
      <c r="DP315" s="312"/>
      <c r="DQ315" s="312"/>
      <c r="DR315" s="312"/>
      <c r="DS315" s="312"/>
      <c r="DT315" s="312"/>
      <c r="DU315" s="312"/>
      <c r="DV315" s="312"/>
      <c r="DW315" s="312"/>
      <c r="DX315" s="312"/>
      <c r="DY315" s="312"/>
      <c r="DZ315" s="312"/>
      <c r="EA315" s="312"/>
      <c r="EB315" s="312"/>
      <c r="EC315" s="312"/>
      <c r="ED315" s="312"/>
      <c r="EE315" s="312"/>
      <c r="EF315" s="312"/>
      <c r="EG315" s="312"/>
      <c r="EH315" s="312"/>
      <c r="EI315" s="312"/>
      <c r="EJ315" s="312"/>
      <c r="EK315" s="312"/>
      <c r="EL315" s="312"/>
      <c r="EM315" s="312"/>
      <c r="EN315" s="312"/>
      <c r="EO315" s="312"/>
      <c r="EP315" s="312"/>
      <c r="EQ315" s="312"/>
      <c r="ER315" s="312"/>
      <c r="ES315" s="312"/>
      <c r="ET315" s="312"/>
      <c r="EU315" s="312"/>
      <c r="EV315" s="312"/>
      <c r="EW315" s="312"/>
      <c r="EX315" s="312"/>
      <c r="EY315" s="312"/>
      <c r="EZ315" s="312"/>
      <c r="FA315" s="312"/>
      <c r="FB315" s="312"/>
      <c r="FC315" s="312"/>
      <c r="FD315" s="312"/>
      <c r="FE315" s="312"/>
      <c r="FF315" s="312"/>
      <c r="FG315" s="312"/>
      <c r="FH315" s="312"/>
      <c r="FI315" s="312"/>
      <c r="FJ315" s="312"/>
      <c r="FK315" s="312"/>
      <c r="FL315" s="312"/>
      <c r="FM315" s="312"/>
      <c r="FN315" s="312"/>
      <c r="FO315" s="312"/>
      <c r="FP315" s="312"/>
      <c r="FQ315" s="312"/>
      <c r="FR315" s="312"/>
      <c r="FS315" s="312"/>
      <c r="FT315" s="312"/>
      <c r="FU315" s="312"/>
      <c r="FV315" s="312"/>
      <c r="FW315" s="312"/>
      <c r="FX315" s="312"/>
      <c r="FY315" s="312"/>
      <c r="FZ315" s="312"/>
      <c r="GA315" s="312"/>
      <c r="GB315" s="312"/>
      <c r="GC315" s="312"/>
      <c r="GD315" s="312"/>
      <c r="GE315" s="312"/>
      <c r="GF315" s="312"/>
      <c r="GG315" s="312"/>
      <c r="GH315" s="312"/>
      <c r="GI315" s="312"/>
      <c r="GJ315" s="312"/>
      <c r="GK315" s="312"/>
      <c r="GL315" s="312"/>
      <c r="GM315" s="312"/>
      <c r="GN315" s="312"/>
      <c r="GO315" s="312"/>
      <c r="GP315" s="312"/>
      <c r="GQ315" s="312"/>
      <c r="GR315" s="312"/>
      <c r="GS315" s="312"/>
      <c r="GT315" s="312"/>
      <c r="GU315" s="312"/>
      <c r="GV315" s="312"/>
      <c r="GW315" s="312"/>
      <c r="GX315" s="312"/>
      <c r="GY315" s="312"/>
      <c r="GZ315" s="312"/>
      <c r="HA315" s="381">
        <f t="shared" si="6819"/>
        <v>0</v>
      </c>
      <c r="HB315" s="312">
        <v>67160.320000000007</v>
      </c>
      <c r="HC315" s="381">
        <v>33580.160000000003</v>
      </c>
      <c r="HD315" s="360">
        <v>9078899.1300000008</v>
      </c>
    </row>
    <row r="316" spans="1:212" s="299" customFormat="1" ht="12" customHeight="1">
      <c r="A316" s="669">
        <v>162</v>
      </c>
      <c r="B316" s="683" t="s">
        <v>566</v>
      </c>
      <c r="C316" s="685" t="s">
        <v>712</v>
      </c>
      <c r="D316" s="675" t="s">
        <v>644</v>
      </c>
      <c r="E316" s="687" t="s">
        <v>505</v>
      </c>
      <c r="F316" s="654">
        <v>4.5</v>
      </c>
      <c r="G316" s="654">
        <v>14.61</v>
      </c>
      <c r="H316" s="656">
        <f>2000*12</f>
        <v>24000</v>
      </c>
      <c r="I316" s="656"/>
      <c r="J316" s="292">
        <f>2000*3</f>
        <v>6000</v>
      </c>
      <c r="K316" s="295">
        <f>J316</f>
        <v>6000</v>
      </c>
      <c r="L316" s="295">
        <f>K316</f>
        <v>6000</v>
      </c>
      <c r="M316" s="295">
        <f>L316</f>
        <v>6000</v>
      </c>
      <c r="N316" s="293">
        <f>ROUND(M316*(1+取值表!$D$14)*取值表!$I$14,0)</f>
        <v>6002</v>
      </c>
      <c r="O316" s="295">
        <f>N316</f>
        <v>6002</v>
      </c>
      <c r="P316" s="295">
        <f>O316</f>
        <v>6002</v>
      </c>
      <c r="Q316" s="295">
        <f>P316</f>
        <v>6002</v>
      </c>
      <c r="R316" s="294">
        <f>ROUND(Q316*(1+取值表!$D$14),0)</f>
        <v>6380</v>
      </c>
      <c r="S316" s="295">
        <f t="shared" ref="S316:T316" si="6914">R316</f>
        <v>6380</v>
      </c>
      <c r="T316" s="295">
        <f t="shared" si="6914"/>
        <v>6380</v>
      </c>
      <c r="U316" s="295">
        <f>T316</f>
        <v>6380</v>
      </c>
      <c r="V316" s="293">
        <f>ROUND(U316*(1+取值表!$D$14),0)</f>
        <v>6782</v>
      </c>
      <c r="W316" s="295">
        <f t="shared" ref="W316:Y316" si="6915">V316</f>
        <v>6782</v>
      </c>
      <c r="X316" s="295">
        <f t="shared" si="6915"/>
        <v>6782</v>
      </c>
      <c r="Y316" s="295">
        <f t="shared" si="6915"/>
        <v>6782</v>
      </c>
      <c r="Z316" s="293">
        <f>ROUND(Y316*(1+取值表!$D$14),0)</f>
        <v>7209</v>
      </c>
      <c r="AA316" s="295">
        <f t="shared" ref="AA316" si="6916">Z316</f>
        <v>7209</v>
      </c>
      <c r="AB316" s="295">
        <f t="shared" ref="AB316" si="6917">AA316</f>
        <v>7209</v>
      </c>
      <c r="AC316" s="295">
        <f>AB316</f>
        <v>7209</v>
      </c>
      <c r="AD316" s="293">
        <f>ROUND(AC316*(1+取值表!$D$14),0)</f>
        <v>7663</v>
      </c>
      <c r="AE316" s="295">
        <f t="shared" ref="AE316" si="6918">AD316</f>
        <v>7663</v>
      </c>
      <c r="AF316" s="295">
        <f t="shared" ref="AF316" si="6919">AE316</f>
        <v>7663</v>
      </c>
      <c r="AG316" s="295">
        <f t="shared" ref="AG316" si="6920">AF316</f>
        <v>7663</v>
      </c>
      <c r="AH316" s="293">
        <f>ROUND(AG316*(1+取值表!$D$14),0)</f>
        <v>8146</v>
      </c>
      <c r="AI316" s="295">
        <f t="shared" ref="AI316" si="6921">AH316</f>
        <v>8146</v>
      </c>
      <c r="AJ316" s="295">
        <f t="shared" ref="AJ316" si="6922">AI316</f>
        <v>8146</v>
      </c>
      <c r="AK316" s="295">
        <f t="shared" ref="AK316" si="6923">AJ316</f>
        <v>8146</v>
      </c>
      <c r="AL316" s="293">
        <f>ROUND(AK316*(1+取值表!$D$14),0)</f>
        <v>8659</v>
      </c>
      <c r="AM316" s="295">
        <f t="shared" ref="AM316" si="6924">AL316</f>
        <v>8659</v>
      </c>
      <c r="AN316" s="295">
        <f t="shared" ref="AN316" si="6925">AM316</f>
        <v>8659</v>
      </c>
      <c r="AO316" s="295">
        <f t="shared" ref="AO316" si="6926">AN316</f>
        <v>8659</v>
      </c>
      <c r="AP316" s="293">
        <f>ROUND(AO316*(1+取值表!$D$14),0)</f>
        <v>9205</v>
      </c>
      <c r="AQ316" s="295">
        <f t="shared" ref="AQ316" si="6927">AP316</f>
        <v>9205</v>
      </c>
      <c r="AR316" s="295">
        <f t="shared" ref="AR316" si="6928">AQ316</f>
        <v>9205</v>
      </c>
      <c r="AS316" s="295">
        <f t="shared" ref="AS316" si="6929">AR316</f>
        <v>9205</v>
      </c>
      <c r="AT316" s="293">
        <f>ROUND(AS316*(1+取值表!$D$14),0)</f>
        <v>9785</v>
      </c>
      <c r="AU316" s="295">
        <f t="shared" ref="AU316" si="6930">AT316</f>
        <v>9785</v>
      </c>
      <c r="AV316" s="295">
        <f t="shared" ref="AV316" si="6931">AU316</f>
        <v>9785</v>
      </c>
      <c r="AW316" s="295">
        <f t="shared" ref="AW316" si="6932">AV316</f>
        <v>9785</v>
      </c>
      <c r="AX316" s="293">
        <f>ROUND(AW316*(1+取值表!$D$14),0)</f>
        <v>10401</v>
      </c>
      <c r="AY316" s="295">
        <f t="shared" ref="AY316" si="6933">AX316</f>
        <v>10401</v>
      </c>
      <c r="AZ316" s="295">
        <f t="shared" ref="AZ316" si="6934">AY316</f>
        <v>10401</v>
      </c>
      <c r="BA316" s="295">
        <f t="shared" ref="BA316" si="6935">AZ316</f>
        <v>10401</v>
      </c>
      <c r="BB316" s="293">
        <f>ROUND(BA316*(1+取值表!$D$14),0)</f>
        <v>11056</v>
      </c>
      <c r="BC316" s="295">
        <f>BB316</f>
        <v>11056</v>
      </c>
      <c r="BD316" s="295">
        <f t="shared" ref="BD316" si="6936">BC316</f>
        <v>11056</v>
      </c>
      <c r="BE316" s="295">
        <f>BD316</f>
        <v>11056</v>
      </c>
      <c r="BF316" s="293">
        <f>ROUND(BE316*(1+取值表!$D$14),0)</f>
        <v>11753</v>
      </c>
      <c r="BG316" s="295">
        <f>BF316</f>
        <v>11753</v>
      </c>
      <c r="BH316" s="295">
        <f t="shared" ref="BH316" si="6937">BG316</f>
        <v>11753</v>
      </c>
      <c r="BI316" s="295">
        <f t="shared" ref="BI316" si="6938">BH316</f>
        <v>11753</v>
      </c>
      <c r="BJ316" s="293">
        <f>ROUND(BI316*(1+取值表!$D$14),0)</f>
        <v>12493</v>
      </c>
      <c r="BK316" s="295">
        <f t="shared" ref="BK316" si="6939">BJ316</f>
        <v>12493</v>
      </c>
      <c r="BL316" s="295">
        <f t="shared" ref="BL316" si="6940">BK316</f>
        <v>12493</v>
      </c>
      <c r="BM316" s="295">
        <f t="shared" ref="BM316" si="6941">BL316</f>
        <v>12493</v>
      </c>
      <c r="BN316" s="293">
        <f>ROUND(BM316*(1+取值表!$D$14),0)</f>
        <v>13280</v>
      </c>
      <c r="BO316" s="295">
        <f t="shared" ref="BO316" si="6942">BN316</f>
        <v>13280</v>
      </c>
      <c r="BP316" s="295">
        <f t="shared" ref="BP316" si="6943">BO316</f>
        <v>13280</v>
      </c>
      <c r="BQ316" s="295">
        <f t="shared" ref="BQ316" si="6944">BP316</f>
        <v>13280</v>
      </c>
      <c r="BR316" s="293">
        <f>ROUND(BQ316*(1+取值表!$D$14),0)</f>
        <v>14117</v>
      </c>
      <c r="BS316" s="295">
        <f t="shared" ref="BS316" si="6945">BR316</f>
        <v>14117</v>
      </c>
      <c r="BT316" s="295">
        <f t="shared" ref="BT316" si="6946">BS316</f>
        <v>14117</v>
      </c>
      <c r="BU316" s="295">
        <f t="shared" ref="BU316" si="6947">BT316</f>
        <v>14117</v>
      </c>
      <c r="BV316" s="293">
        <f>ROUND(BU316*(1+取值表!$D$14),0)</f>
        <v>15006</v>
      </c>
      <c r="BW316" s="295">
        <f t="shared" ref="BW316" si="6948">BV316</f>
        <v>15006</v>
      </c>
      <c r="BX316" s="295">
        <f t="shared" ref="BX316" si="6949">BW316</f>
        <v>15006</v>
      </c>
      <c r="BY316" s="295">
        <f t="shared" ref="BY316" si="6950">BX316</f>
        <v>15006</v>
      </c>
      <c r="BZ316" s="293">
        <f>ROUND(BY316*(1+取值表!$D$14),0)</f>
        <v>15951</v>
      </c>
      <c r="CA316" s="295">
        <f t="shared" ref="CA316" si="6951">BZ316</f>
        <v>15951</v>
      </c>
      <c r="CB316" s="295">
        <f t="shared" ref="CB316" si="6952">CA316</f>
        <v>15951</v>
      </c>
      <c r="CC316" s="295">
        <f t="shared" ref="CC316" si="6953">CB316</f>
        <v>15951</v>
      </c>
      <c r="CD316" s="293">
        <f>ROUND(CC316*(1+取值表!$D$14),0)</f>
        <v>16956</v>
      </c>
      <c r="CE316" s="295">
        <f t="shared" ref="CE316" si="6954">CD316</f>
        <v>16956</v>
      </c>
      <c r="CF316" s="295">
        <f t="shared" ref="CF316" si="6955">CE316</f>
        <v>16956</v>
      </c>
      <c r="CG316" s="295">
        <f t="shared" ref="CG316" si="6956">CF316</f>
        <v>16956</v>
      </c>
      <c r="CH316" s="293">
        <f>ROUND(CG316*(1+取值表!$D$14),0)</f>
        <v>18024</v>
      </c>
      <c r="CI316" s="295">
        <f>CH316</f>
        <v>18024</v>
      </c>
      <c r="CJ316" s="295">
        <f t="shared" ref="CJ316" si="6957">CI316</f>
        <v>18024</v>
      </c>
      <c r="CK316" s="295">
        <f t="shared" ref="CK316" si="6958">CJ316</f>
        <v>18024</v>
      </c>
      <c r="CL316" s="293">
        <f>ROUND(CK316*(1+取值表!$D$14),0)</f>
        <v>19160</v>
      </c>
      <c r="CM316" s="295">
        <f>CL316</f>
        <v>19160</v>
      </c>
      <c r="CN316" s="295">
        <f t="shared" ref="CN316" si="6959">CM316</f>
        <v>19160</v>
      </c>
      <c r="CO316" s="295">
        <f t="shared" ref="CO316" si="6960">CN316</f>
        <v>19160</v>
      </c>
      <c r="CP316" s="293">
        <f t="shared" si="5740"/>
        <v>936112</v>
      </c>
      <c r="CQ316" s="308"/>
      <c r="CR316" s="308"/>
      <c r="CS316" s="308"/>
      <c r="CT316" s="308"/>
      <c r="CU316" s="308"/>
      <c r="CV316" s="308"/>
      <c r="CW316" s="308"/>
      <c r="CX316" s="308"/>
      <c r="CY316" s="308"/>
      <c r="CZ316" s="308"/>
      <c r="DA316" s="308"/>
      <c r="DB316" s="308"/>
      <c r="DC316" s="308"/>
      <c r="DD316" s="308"/>
      <c r="DE316" s="308"/>
      <c r="DF316" s="308"/>
      <c r="DG316" s="308"/>
      <c r="DH316" s="308"/>
      <c r="DI316" s="308"/>
      <c r="DJ316" s="308"/>
      <c r="DK316" s="308"/>
      <c r="DL316" s="308"/>
      <c r="DM316" s="308"/>
      <c r="DN316" s="308"/>
      <c r="DO316" s="308"/>
      <c r="DP316" s="308"/>
      <c r="DQ316" s="308"/>
      <c r="DR316" s="308"/>
      <c r="DS316" s="308"/>
      <c r="DT316" s="308"/>
      <c r="DU316" s="308"/>
      <c r="DV316" s="308"/>
      <c r="DW316" s="308"/>
      <c r="DX316" s="308"/>
      <c r="DY316" s="308"/>
      <c r="DZ316" s="308"/>
      <c r="EA316" s="308"/>
      <c r="EB316" s="308"/>
      <c r="EC316" s="308"/>
      <c r="ED316" s="308"/>
      <c r="EE316" s="308"/>
      <c r="EF316" s="308"/>
      <c r="EG316" s="308"/>
      <c r="EH316" s="308"/>
      <c r="EI316" s="308"/>
      <c r="EJ316" s="308"/>
      <c r="EK316" s="308"/>
      <c r="EL316" s="308"/>
      <c r="EM316" s="308"/>
      <c r="EN316" s="308"/>
      <c r="EO316" s="308"/>
      <c r="EP316" s="308"/>
      <c r="EQ316" s="308"/>
      <c r="ER316" s="308"/>
      <c r="ES316" s="308"/>
      <c r="ET316" s="308"/>
      <c r="EU316" s="308"/>
      <c r="EV316" s="308"/>
      <c r="EW316" s="308"/>
      <c r="EX316" s="308"/>
      <c r="EY316" s="308"/>
      <c r="EZ316" s="308"/>
      <c r="FA316" s="308"/>
      <c r="FB316" s="308"/>
      <c r="FC316" s="308"/>
      <c r="FD316" s="308"/>
      <c r="FE316" s="308"/>
      <c r="FF316" s="308"/>
      <c r="FG316" s="308"/>
      <c r="FH316" s="308"/>
      <c r="FI316" s="308"/>
      <c r="FJ316" s="308"/>
      <c r="FK316" s="308"/>
      <c r="FL316" s="308"/>
      <c r="FM316" s="308"/>
      <c r="FN316" s="308"/>
      <c r="FO316" s="308"/>
      <c r="FP316" s="308"/>
      <c r="FQ316" s="308"/>
      <c r="FR316" s="308"/>
      <c r="FS316" s="308"/>
      <c r="FT316" s="308"/>
      <c r="FU316" s="308"/>
      <c r="FV316" s="308"/>
      <c r="FW316" s="308"/>
      <c r="FX316" s="308"/>
      <c r="FY316" s="308"/>
      <c r="FZ316" s="308"/>
      <c r="GA316" s="308"/>
      <c r="GB316" s="308"/>
      <c r="GC316" s="308"/>
      <c r="GD316" s="308"/>
      <c r="GE316" s="308"/>
      <c r="GF316" s="308"/>
      <c r="GG316" s="308"/>
      <c r="GH316" s="308"/>
      <c r="GI316" s="308"/>
      <c r="GJ316" s="308"/>
      <c r="GK316" s="308"/>
      <c r="GL316" s="308"/>
      <c r="GM316" s="308"/>
      <c r="GN316" s="308"/>
      <c r="GO316" s="308"/>
      <c r="GP316" s="308"/>
      <c r="GQ316" s="308"/>
      <c r="GR316" s="308"/>
      <c r="GS316" s="308"/>
      <c r="GT316" s="308"/>
      <c r="GU316" s="308"/>
      <c r="GV316" s="308"/>
      <c r="GW316" s="308"/>
      <c r="GX316" s="308"/>
      <c r="GY316" s="308"/>
      <c r="GZ316" s="308"/>
      <c r="HA316" s="380">
        <f t="shared" si="6819"/>
        <v>1872224</v>
      </c>
      <c r="HB316" s="308">
        <f>HC316*2</f>
        <v>67160.320000000007</v>
      </c>
      <c r="HC316" s="380">
        <v>33580.160000000003</v>
      </c>
      <c r="HD316" s="360">
        <v>229817.24633333299</v>
      </c>
    </row>
    <row r="317" spans="1:212" s="299" customFormat="1">
      <c r="A317" s="670"/>
      <c r="B317" s="684"/>
      <c r="C317" s="686"/>
      <c r="D317" s="676"/>
      <c r="E317" s="688"/>
      <c r="F317" s="655"/>
      <c r="G317" s="655"/>
      <c r="H317" s="657"/>
      <c r="I317" s="657"/>
      <c r="J317" s="295"/>
      <c r="K317" s="295"/>
      <c r="L317" s="295"/>
      <c r="M317" s="295"/>
      <c r="N317" s="295"/>
      <c r="O317" s="295"/>
      <c r="P317" s="295"/>
      <c r="Q317" s="295"/>
      <c r="R317" s="295"/>
      <c r="S317" s="295"/>
      <c r="T317" s="295"/>
      <c r="U317" s="295"/>
      <c r="V317" s="295"/>
      <c r="W317" s="295"/>
      <c r="X317" s="295"/>
      <c r="Y317" s="295"/>
      <c r="Z317" s="295"/>
      <c r="AA317" s="295"/>
      <c r="AB317" s="295"/>
      <c r="AC317" s="295"/>
      <c r="AD317" s="295"/>
      <c r="AE317" s="295"/>
      <c r="AF317" s="295"/>
      <c r="AG317" s="295"/>
      <c r="AH317" s="295"/>
      <c r="AI317" s="295"/>
      <c r="AJ317" s="295"/>
      <c r="AK317" s="295"/>
      <c r="AL317" s="295"/>
      <c r="AM317" s="295"/>
      <c r="AN317" s="295"/>
      <c r="AO317" s="295"/>
      <c r="AP317" s="295"/>
      <c r="AQ317" s="295"/>
      <c r="AR317" s="295"/>
      <c r="AS317" s="295"/>
      <c r="AT317" s="295"/>
      <c r="AU317" s="295"/>
      <c r="AV317" s="295"/>
      <c r="AW317" s="295"/>
      <c r="AX317" s="295"/>
      <c r="AY317" s="295"/>
      <c r="AZ317" s="295"/>
      <c r="BA317" s="295"/>
      <c r="BB317" s="295"/>
      <c r="BC317" s="295"/>
      <c r="BD317" s="295"/>
      <c r="BE317" s="295"/>
      <c r="BF317" s="295"/>
      <c r="BG317" s="295"/>
      <c r="BH317" s="295"/>
      <c r="BI317" s="295"/>
      <c r="BJ317" s="295"/>
      <c r="BK317" s="295"/>
      <c r="BL317" s="295"/>
      <c r="BM317" s="295"/>
      <c r="BN317" s="295"/>
      <c r="BO317" s="295"/>
      <c r="BP317" s="295"/>
      <c r="BQ317" s="295"/>
      <c r="BR317" s="295"/>
      <c r="BS317" s="295"/>
      <c r="BT317" s="295"/>
      <c r="BU317" s="295"/>
      <c r="BV317" s="295"/>
      <c r="BW317" s="295"/>
      <c r="BX317" s="295"/>
      <c r="BY317" s="295"/>
      <c r="BZ317" s="295"/>
      <c r="CA317" s="295"/>
      <c r="CB317" s="295"/>
      <c r="CC317" s="295"/>
      <c r="CD317" s="295"/>
      <c r="CE317" s="295"/>
      <c r="CF317" s="295"/>
      <c r="CG317" s="295"/>
      <c r="CH317" s="295"/>
      <c r="CI317" s="295"/>
      <c r="CJ317" s="295"/>
      <c r="CK317" s="295"/>
      <c r="CL317" s="295"/>
      <c r="CM317" s="295"/>
      <c r="CN317" s="295"/>
      <c r="CO317" s="295"/>
      <c r="CP317" s="293">
        <f t="shared" si="5740"/>
        <v>0</v>
      </c>
      <c r="CQ317" s="312"/>
      <c r="CR317" s="312"/>
      <c r="CS317" s="312"/>
      <c r="CT317" s="312"/>
      <c r="CU317" s="312"/>
      <c r="CV317" s="312"/>
      <c r="CW317" s="312"/>
      <c r="CX317" s="312"/>
      <c r="CY317" s="312"/>
      <c r="CZ317" s="312"/>
      <c r="DA317" s="312"/>
      <c r="DB317" s="312"/>
      <c r="DC317" s="312"/>
      <c r="DD317" s="312"/>
      <c r="DE317" s="312"/>
      <c r="DF317" s="312"/>
      <c r="DG317" s="312"/>
      <c r="DH317" s="312"/>
      <c r="DI317" s="312"/>
      <c r="DJ317" s="312"/>
      <c r="DK317" s="312"/>
      <c r="DL317" s="312"/>
      <c r="DM317" s="312"/>
      <c r="DN317" s="312"/>
      <c r="DO317" s="312"/>
      <c r="DP317" s="312"/>
      <c r="DQ317" s="312"/>
      <c r="DR317" s="312"/>
      <c r="DS317" s="312"/>
      <c r="DT317" s="312"/>
      <c r="DU317" s="312"/>
      <c r="DV317" s="312"/>
      <c r="DW317" s="312"/>
      <c r="DX317" s="312"/>
      <c r="DY317" s="312"/>
      <c r="DZ317" s="312"/>
      <c r="EA317" s="312"/>
      <c r="EB317" s="312"/>
      <c r="EC317" s="312"/>
      <c r="ED317" s="312"/>
      <c r="EE317" s="312"/>
      <c r="EF317" s="312"/>
      <c r="EG317" s="312"/>
      <c r="EH317" s="312"/>
      <c r="EI317" s="312"/>
      <c r="EJ317" s="312"/>
      <c r="EK317" s="312"/>
      <c r="EL317" s="312"/>
      <c r="EM317" s="312"/>
      <c r="EN317" s="312"/>
      <c r="EO317" s="312"/>
      <c r="EP317" s="312"/>
      <c r="EQ317" s="312"/>
      <c r="ER317" s="312"/>
      <c r="ES317" s="312"/>
      <c r="ET317" s="312"/>
      <c r="EU317" s="312"/>
      <c r="EV317" s="312"/>
      <c r="EW317" s="312"/>
      <c r="EX317" s="312"/>
      <c r="EY317" s="312"/>
      <c r="EZ317" s="312"/>
      <c r="FA317" s="312"/>
      <c r="FB317" s="312"/>
      <c r="FC317" s="312"/>
      <c r="FD317" s="312"/>
      <c r="FE317" s="312"/>
      <c r="FF317" s="312"/>
      <c r="FG317" s="312"/>
      <c r="FH317" s="312"/>
      <c r="FI317" s="312"/>
      <c r="FJ317" s="312"/>
      <c r="FK317" s="312"/>
      <c r="FL317" s="312"/>
      <c r="FM317" s="312"/>
      <c r="FN317" s="312"/>
      <c r="FO317" s="312"/>
      <c r="FP317" s="312"/>
      <c r="FQ317" s="312"/>
      <c r="FR317" s="312"/>
      <c r="FS317" s="312"/>
      <c r="FT317" s="312"/>
      <c r="FU317" s="312"/>
      <c r="FV317" s="312"/>
      <c r="FW317" s="312"/>
      <c r="FX317" s="312"/>
      <c r="FY317" s="312"/>
      <c r="FZ317" s="312"/>
      <c r="GA317" s="312"/>
      <c r="GB317" s="312"/>
      <c r="GC317" s="312"/>
      <c r="GD317" s="312"/>
      <c r="GE317" s="312"/>
      <c r="GF317" s="312"/>
      <c r="GG317" s="312"/>
      <c r="GH317" s="312"/>
      <c r="GI317" s="312"/>
      <c r="GJ317" s="312"/>
      <c r="GK317" s="312"/>
      <c r="GL317" s="312"/>
      <c r="GM317" s="312"/>
      <c r="GN317" s="312"/>
      <c r="GO317" s="312"/>
      <c r="GP317" s="312"/>
      <c r="GQ317" s="312"/>
      <c r="GR317" s="312"/>
      <c r="GS317" s="312"/>
      <c r="GT317" s="312"/>
      <c r="GU317" s="312"/>
      <c r="GV317" s="312"/>
      <c r="GW317" s="312"/>
      <c r="GX317" s="312"/>
      <c r="GY317" s="312"/>
      <c r="GZ317" s="312"/>
      <c r="HA317" s="381">
        <f t="shared" si="6819"/>
        <v>0</v>
      </c>
      <c r="HB317" s="312">
        <v>67160.320000000007</v>
      </c>
      <c r="HC317" s="381">
        <v>33580.160000000003</v>
      </c>
      <c r="HD317" s="360">
        <v>212132.99</v>
      </c>
    </row>
    <row r="318" spans="1:212" s="299" customFormat="1" ht="12" customHeight="1">
      <c r="A318" s="669">
        <v>163</v>
      </c>
      <c r="B318" s="683" t="s">
        <v>567</v>
      </c>
      <c r="C318" s="685" t="s">
        <v>714</v>
      </c>
      <c r="D318" s="675" t="s">
        <v>634</v>
      </c>
      <c r="E318" s="687" t="s">
        <v>505</v>
      </c>
      <c r="F318" s="654">
        <v>30.17</v>
      </c>
      <c r="G318" s="654">
        <v>18.5</v>
      </c>
      <c r="H318" s="656">
        <f>F318*G318*365</f>
        <v>203722.92499999999</v>
      </c>
      <c r="I318" s="311">
        <v>53683.74</v>
      </c>
      <c r="J318" s="292">
        <f>ROUND(G318*F318*365/4,0)</f>
        <v>50931</v>
      </c>
      <c r="K318" s="295">
        <f>J318</f>
        <v>50931</v>
      </c>
      <c r="L318" s="295">
        <f>K318</f>
        <v>50931</v>
      </c>
      <c r="M318" s="295">
        <f>L318</f>
        <v>50931</v>
      </c>
      <c r="N318" s="293">
        <f>ROUND(M318*(1+取值表!$D$14)*取值表!$I$14,0)</f>
        <v>50945</v>
      </c>
      <c r="O318" s="295">
        <f>N318</f>
        <v>50945</v>
      </c>
      <c r="P318" s="295">
        <f>O318</f>
        <v>50945</v>
      </c>
      <c r="Q318" s="295">
        <f>P318</f>
        <v>50945</v>
      </c>
      <c r="R318" s="294">
        <f>ROUND(Q318*(1+取值表!$D$14),0)</f>
        <v>54155</v>
      </c>
      <c r="S318" s="295">
        <f t="shared" ref="S318:T318" si="6961">R318</f>
        <v>54155</v>
      </c>
      <c r="T318" s="295">
        <f t="shared" si="6961"/>
        <v>54155</v>
      </c>
      <c r="U318" s="295">
        <f>T318</f>
        <v>54155</v>
      </c>
      <c r="V318" s="293">
        <f>ROUND(U318*(1+取值表!$D$14),0)</f>
        <v>57567</v>
      </c>
      <c r="W318" s="295">
        <f t="shared" ref="W318:Y318" si="6962">V318</f>
        <v>57567</v>
      </c>
      <c r="X318" s="295">
        <f t="shared" si="6962"/>
        <v>57567</v>
      </c>
      <c r="Y318" s="295">
        <f t="shared" si="6962"/>
        <v>57567</v>
      </c>
      <c r="Z318" s="293">
        <f>ROUND(Y318*(1+取值表!$D$14),0)</f>
        <v>61194</v>
      </c>
      <c r="AA318" s="295">
        <f t="shared" ref="AA318" si="6963">Z318</f>
        <v>61194</v>
      </c>
      <c r="AB318" s="295">
        <f t="shared" ref="AB318" si="6964">AA318</f>
        <v>61194</v>
      </c>
      <c r="AC318" s="295">
        <f>AB318</f>
        <v>61194</v>
      </c>
      <c r="AD318" s="293">
        <f>ROUND(AC318*(1+取值表!$D$14),0)</f>
        <v>65049</v>
      </c>
      <c r="AE318" s="295">
        <f t="shared" ref="AE318" si="6965">AD318</f>
        <v>65049</v>
      </c>
      <c r="AF318" s="295">
        <f t="shared" ref="AF318" si="6966">AE318</f>
        <v>65049</v>
      </c>
      <c r="AG318" s="295">
        <f t="shared" ref="AG318" si="6967">AF318</f>
        <v>65049</v>
      </c>
      <c r="AH318" s="293">
        <f>ROUND(AG318*(1+取值表!$D$14),0)</f>
        <v>69147</v>
      </c>
      <c r="AI318" s="295">
        <f t="shared" ref="AI318" si="6968">AH318</f>
        <v>69147</v>
      </c>
      <c r="AJ318" s="295">
        <f t="shared" ref="AJ318" si="6969">AI318</f>
        <v>69147</v>
      </c>
      <c r="AK318" s="295">
        <f t="shared" ref="AK318" si="6970">AJ318</f>
        <v>69147</v>
      </c>
      <c r="AL318" s="293">
        <f>ROUND(AK318*(1+取值表!$D$14),0)</f>
        <v>73503</v>
      </c>
      <c r="AM318" s="295">
        <f t="shared" ref="AM318" si="6971">AL318</f>
        <v>73503</v>
      </c>
      <c r="AN318" s="295">
        <f t="shared" ref="AN318" si="6972">AM318</f>
        <v>73503</v>
      </c>
      <c r="AO318" s="295">
        <f t="shared" ref="AO318" si="6973">AN318</f>
        <v>73503</v>
      </c>
      <c r="AP318" s="293">
        <f>ROUND(AO318*(1+取值表!$D$14),0)</f>
        <v>78134</v>
      </c>
      <c r="AQ318" s="295">
        <f t="shared" ref="AQ318" si="6974">AP318</f>
        <v>78134</v>
      </c>
      <c r="AR318" s="295">
        <f t="shared" ref="AR318" si="6975">AQ318</f>
        <v>78134</v>
      </c>
      <c r="AS318" s="295">
        <f t="shared" ref="AS318" si="6976">AR318</f>
        <v>78134</v>
      </c>
      <c r="AT318" s="293">
        <f>ROUND(AS318*(1+取值表!$D$14),0)</f>
        <v>83056</v>
      </c>
      <c r="AU318" s="295">
        <f t="shared" ref="AU318" si="6977">AT318</f>
        <v>83056</v>
      </c>
      <c r="AV318" s="295">
        <f t="shared" ref="AV318" si="6978">AU318</f>
        <v>83056</v>
      </c>
      <c r="AW318" s="295">
        <f t="shared" ref="AW318" si="6979">AV318</f>
        <v>83056</v>
      </c>
      <c r="AX318" s="293">
        <f>ROUND(AW318*(1+取值表!$D$14),0)</f>
        <v>88289</v>
      </c>
      <c r="AY318" s="295">
        <f t="shared" ref="AY318" si="6980">AX318</f>
        <v>88289</v>
      </c>
      <c r="AZ318" s="295">
        <f t="shared" ref="AZ318" si="6981">AY318</f>
        <v>88289</v>
      </c>
      <c r="BA318" s="295">
        <f t="shared" ref="BA318" si="6982">AZ318</f>
        <v>88289</v>
      </c>
      <c r="BB318" s="293">
        <f>ROUND(BA318*(1+取值表!$D$14),0)</f>
        <v>93851</v>
      </c>
      <c r="BC318" s="295">
        <f>BB318</f>
        <v>93851</v>
      </c>
      <c r="BD318" s="295">
        <f t="shared" ref="BD318" si="6983">BC318</f>
        <v>93851</v>
      </c>
      <c r="BE318" s="295">
        <f>BD318</f>
        <v>93851</v>
      </c>
      <c r="BF318" s="293">
        <f>ROUND(BE318*(1+取值表!$D$14),0)</f>
        <v>99764</v>
      </c>
      <c r="BG318" s="295">
        <f>BF318</f>
        <v>99764</v>
      </c>
      <c r="BH318" s="295">
        <f t="shared" ref="BH318" si="6984">BG318</f>
        <v>99764</v>
      </c>
      <c r="BI318" s="295">
        <f t="shared" ref="BI318" si="6985">BH318</f>
        <v>99764</v>
      </c>
      <c r="BJ318" s="293">
        <f>ROUND(BI318*(1+取值表!$D$14),0)</f>
        <v>106049</v>
      </c>
      <c r="BK318" s="295">
        <f t="shared" ref="BK318" si="6986">BJ318</f>
        <v>106049</v>
      </c>
      <c r="BL318" s="295">
        <f t="shared" ref="BL318" si="6987">BK318</f>
        <v>106049</v>
      </c>
      <c r="BM318" s="295">
        <f t="shared" ref="BM318" si="6988">BL318</f>
        <v>106049</v>
      </c>
      <c r="BN318" s="293">
        <f>ROUND(BM318*(1+取值表!$D$14),0)</f>
        <v>112730</v>
      </c>
      <c r="BO318" s="295">
        <f t="shared" ref="BO318" si="6989">BN318</f>
        <v>112730</v>
      </c>
      <c r="BP318" s="295">
        <f t="shared" ref="BP318" si="6990">BO318</f>
        <v>112730</v>
      </c>
      <c r="BQ318" s="295">
        <f t="shared" ref="BQ318" si="6991">BP318</f>
        <v>112730</v>
      </c>
      <c r="BR318" s="293">
        <f>ROUND(BQ318*(1+取值表!$D$14),0)</f>
        <v>119832</v>
      </c>
      <c r="BS318" s="295">
        <f t="shared" ref="BS318" si="6992">BR318</f>
        <v>119832</v>
      </c>
      <c r="BT318" s="295">
        <f t="shared" ref="BT318" si="6993">BS318</f>
        <v>119832</v>
      </c>
      <c r="BU318" s="295">
        <f t="shared" ref="BU318" si="6994">BT318</f>
        <v>119832</v>
      </c>
      <c r="BV318" s="293">
        <f>ROUND(BU318*(1+取值表!$D$14),0)</f>
        <v>127381</v>
      </c>
      <c r="BW318" s="295">
        <f t="shared" ref="BW318" si="6995">BV318</f>
        <v>127381</v>
      </c>
      <c r="BX318" s="295">
        <f t="shared" ref="BX318" si="6996">BW318</f>
        <v>127381</v>
      </c>
      <c r="BY318" s="295">
        <f t="shared" ref="BY318" si="6997">BX318</f>
        <v>127381</v>
      </c>
      <c r="BZ318" s="293">
        <f>ROUND(BY318*(1+取值表!$D$14),0)</f>
        <v>135406</v>
      </c>
      <c r="CA318" s="295">
        <f t="shared" ref="CA318" si="6998">BZ318</f>
        <v>135406</v>
      </c>
      <c r="CB318" s="295">
        <f t="shared" ref="CB318" si="6999">CA318</f>
        <v>135406</v>
      </c>
      <c r="CC318" s="295">
        <f t="shared" ref="CC318" si="7000">CB318</f>
        <v>135406</v>
      </c>
      <c r="CD318" s="293">
        <f>ROUND(CC318*(1+取值表!$D$14),0)</f>
        <v>143937</v>
      </c>
      <c r="CE318" s="295">
        <f t="shared" ref="CE318" si="7001">CD318</f>
        <v>143937</v>
      </c>
      <c r="CF318" s="295">
        <f t="shared" ref="CF318" si="7002">CE318</f>
        <v>143937</v>
      </c>
      <c r="CG318" s="295">
        <f t="shared" ref="CG318" si="7003">CF318</f>
        <v>143937</v>
      </c>
      <c r="CH318" s="293">
        <f>ROUND(CG318*(1+取值表!$D$14),0)</f>
        <v>153005</v>
      </c>
      <c r="CI318" s="295">
        <f>CH318</f>
        <v>153005</v>
      </c>
      <c r="CJ318" s="295">
        <f t="shared" ref="CJ318" si="7004">CI318</f>
        <v>153005</v>
      </c>
      <c r="CK318" s="295">
        <f t="shared" ref="CK318" si="7005">CJ318</f>
        <v>153005</v>
      </c>
      <c r="CL318" s="293">
        <f>ROUND(CK318*(1+取值表!$D$14),0)</f>
        <v>162644</v>
      </c>
      <c r="CM318" s="295">
        <f>CL318</f>
        <v>162644</v>
      </c>
      <c r="CN318" s="295">
        <f t="shared" ref="CN318" si="7006">CM318</f>
        <v>162644</v>
      </c>
      <c r="CO318" s="295">
        <f t="shared" ref="CO318" si="7007">CN318</f>
        <v>162644</v>
      </c>
      <c r="CP318" s="293">
        <f t="shared" si="5740"/>
        <v>7946276</v>
      </c>
      <c r="CQ318" s="308"/>
      <c r="CR318" s="308"/>
      <c r="CS318" s="308"/>
      <c r="CT318" s="308"/>
      <c r="CU318" s="308"/>
      <c r="CV318" s="308"/>
      <c r="CW318" s="308"/>
      <c r="CX318" s="308"/>
      <c r="CY318" s="308"/>
      <c r="CZ318" s="308"/>
      <c r="DA318" s="308"/>
      <c r="DB318" s="308"/>
      <c r="DC318" s="308"/>
      <c r="DD318" s="308"/>
      <c r="DE318" s="308"/>
      <c r="DF318" s="308"/>
      <c r="DG318" s="308"/>
      <c r="DH318" s="308"/>
      <c r="DI318" s="308"/>
      <c r="DJ318" s="308"/>
      <c r="DK318" s="308"/>
      <c r="DL318" s="308"/>
      <c r="DM318" s="308"/>
      <c r="DN318" s="308"/>
      <c r="DO318" s="308"/>
      <c r="DP318" s="308"/>
      <c r="DQ318" s="308"/>
      <c r="DR318" s="308"/>
      <c r="DS318" s="308"/>
      <c r="DT318" s="308"/>
      <c r="DU318" s="308"/>
      <c r="DV318" s="308"/>
      <c r="DW318" s="308"/>
      <c r="DX318" s="308"/>
      <c r="DY318" s="308"/>
      <c r="DZ318" s="308"/>
      <c r="EA318" s="308"/>
      <c r="EB318" s="308"/>
      <c r="EC318" s="308"/>
      <c r="ED318" s="308"/>
      <c r="EE318" s="308"/>
      <c r="EF318" s="308"/>
      <c r="EG318" s="308"/>
      <c r="EH318" s="308"/>
      <c r="EI318" s="308"/>
      <c r="EJ318" s="308"/>
      <c r="EK318" s="308"/>
      <c r="EL318" s="308"/>
      <c r="EM318" s="308"/>
      <c r="EN318" s="308"/>
      <c r="EO318" s="308"/>
      <c r="EP318" s="308"/>
      <c r="EQ318" s="308"/>
      <c r="ER318" s="308"/>
      <c r="ES318" s="308"/>
      <c r="ET318" s="308"/>
      <c r="EU318" s="308"/>
      <c r="EV318" s="308"/>
      <c r="EW318" s="308"/>
      <c r="EX318" s="308"/>
      <c r="EY318" s="308"/>
      <c r="EZ318" s="308"/>
      <c r="FA318" s="308"/>
      <c r="FB318" s="308"/>
      <c r="FC318" s="308"/>
      <c r="FD318" s="308"/>
      <c r="FE318" s="308"/>
      <c r="FF318" s="308"/>
      <c r="FG318" s="308"/>
      <c r="FH318" s="308"/>
      <c r="FI318" s="308"/>
      <c r="FJ318" s="308"/>
      <c r="FK318" s="308"/>
      <c r="FL318" s="308"/>
      <c r="FM318" s="308"/>
      <c r="FN318" s="308"/>
      <c r="FO318" s="308"/>
      <c r="FP318" s="308"/>
      <c r="FQ318" s="308"/>
      <c r="FR318" s="308"/>
      <c r="FS318" s="308"/>
      <c r="FT318" s="308"/>
      <c r="FU318" s="308"/>
      <c r="FV318" s="308"/>
      <c r="FW318" s="308"/>
      <c r="FX318" s="308"/>
      <c r="FY318" s="308"/>
      <c r="FZ318" s="308"/>
      <c r="GA318" s="308"/>
      <c r="GB318" s="308"/>
      <c r="GC318" s="308"/>
      <c r="GD318" s="308"/>
      <c r="GE318" s="308"/>
      <c r="GF318" s="308"/>
      <c r="GG318" s="308"/>
      <c r="GH318" s="308"/>
      <c r="GI318" s="308"/>
      <c r="GJ318" s="308"/>
      <c r="GK318" s="308"/>
      <c r="GL318" s="308"/>
      <c r="GM318" s="308"/>
      <c r="GN318" s="308"/>
      <c r="GO318" s="308"/>
      <c r="GP318" s="308"/>
      <c r="GQ318" s="308"/>
      <c r="GR318" s="308"/>
      <c r="GS318" s="308"/>
      <c r="GT318" s="308"/>
      <c r="GU318" s="308"/>
      <c r="GV318" s="308"/>
      <c r="GW318" s="308"/>
      <c r="GX318" s="308"/>
      <c r="GY318" s="308"/>
      <c r="GZ318" s="308"/>
      <c r="HA318" s="380">
        <f t="shared" si="6819"/>
        <v>15892552</v>
      </c>
      <c r="HB318" s="308"/>
      <c r="HC318" s="380"/>
      <c r="HD318" s="360">
        <v>768702.03333333402</v>
      </c>
    </row>
    <row r="319" spans="1:212" s="299" customFormat="1">
      <c r="A319" s="670"/>
      <c r="B319" s="684"/>
      <c r="C319" s="686"/>
      <c r="D319" s="676"/>
      <c r="E319" s="688"/>
      <c r="F319" s="655"/>
      <c r="G319" s="655"/>
      <c r="H319" s="657"/>
      <c r="I319" s="311"/>
      <c r="J319" s="295"/>
      <c r="K319" s="295"/>
      <c r="L319" s="295"/>
      <c r="M319" s="295"/>
      <c r="N319" s="295"/>
      <c r="O319" s="295"/>
      <c r="P319" s="295"/>
      <c r="Q319" s="295"/>
      <c r="R319" s="295"/>
      <c r="S319" s="295"/>
      <c r="T319" s="295"/>
      <c r="U319" s="295"/>
      <c r="V319" s="295"/>
      <c r="W319" s="295"/>
      <c r="X319" s="295"/>
      <c r="Y319" s="295"/>
      <c r="Z319" s="295"/>
      <c r="AA319" s="295"/>
      <c r="AB319" s="295"/>
      <c r="AC319" s="295"/>
      <c r="AD319" s="295"/>
      <c r="AE319" s="295"/>
      <c r="AF319" s="295"/>
      <c r="AG319" s="295"/>
      <c r="AH319" s="295"/>
      <c r="AI319" s="295"/>
      <c r="AJ319" s="295"/>
      <c r="AK319" s="295"/>
      <c r="AL319" s="295"/>
      <c r="AM319" s="295"/>
      <c r="AN319" s="295"/>
      <c r="AO319" s="295"/>
      <c r="AP319" s="295"/>
      <c r="AQ319" s="295"/>
      <c r="AR319" s="295"/>
      <c r="AS319" s="295"/>
      <c r="AT319" s="295"/>
      <c r="AU319" s="295"/>
      <c r="AV319" s="295"/>
      <c r="AW319" s="295"/>
      <c r="AX319" s="295"/>
      <c r="AY319" s="295"/>
      <c r="AZ319" s="295"/>
      <c r="BA319" s="295"/>
      <c r="BB319" s="295"/>
      <c r="BC319" s="295"/>
      <c r="BD319" s="295"/>
      <c r="BE319" s="295"/>
      <c r="BF319" s="295"/>
      <c r="BG319" s="295"/>
      <c r="BH319" s="295"/>
      <c r="BI319" s="295"/>
      <c r="BJ319" s="295"/>
      <c r="BK319" s="295"/>
      <c r="BL319" s="295"/>
      <c r="BM319" s="295"/>
      <c r="BN319" s="295"/>
      <c r="BO319" s="295"/>
      <c r="BP319" s="295"/>
      <c r="BQ319" s="295"/>
      <c r="BR319" s="295"/>
      <c r="BS319" s="295"/>
      <c r="BT319" s="295"/>
      <c r="BU319" s="295"/>
      <c r="BV319" s="295"/>
      <c r="BW319" s="295"/>
      <c r="BX319" s="295"/>
      <c r="BY319" s="295"/>
      <c r="BZ319" s="295"/>
      <c r="CA319" s="295"/>
      <c r="CB319" s="295"/>
      <c r="CC319" s="295"/>
      <c r="CD319" s="295"/>
      <c r="CE319" s="295"/>
      <c r="CF319" s="295"/>
      <c r="CG319" s="295"/>
      <c r="CH319" s="295"/>
      <c r="CI319" s="295"/>
      <c r="CJ319" s="295"/>
      <c r="CK319" s="295"/>
      <c r="CL319" s="295"/>
      <c r="CM319" s="295"/>
      <c r="CN319" s="295"/>
      <c r="CO319" s="295"/>
      <c r="CP319" s="293">
        <f t="shared" si="5740"/>
        <v>0</v>
      </c>
      <c r="CQ319" s="312"/>
      <c r="CR319" s="312"/>
      <c r="CS319" s="312"/>
      <c r="CT319" s="312"/>
      <c r="CU319" s="312"/>
      <c r="CV319" s="312"/>
      <c r="CW319" s="312"/>
      <c r="CX319" s="312"/>
      <c r="CY319" s="312"/>
      <c r="CZ319" s="312"/>
      <c r="DA319" s="312"/>
      <c r="DB319" s="312"/>
      <c r="DC319" s="312"/>
      <c r="DD319" s="312"/>
      <c r="DE319" s="312"/>
      <c r="DF319" s="312"/>
      <c r="DG319" s="312"/>
      <c r="DH319" s="312"/>
      <c r="DI319" s="312"/>
      <c r="DJ319" s="312"/>
      <c r="DK319" s="312"/>
      <c r="DL319" s="312"/>
      <c r="DM319" s="312"/>
      <c r="DN319" s="312"/>
      <c r="DO319" s="312"/>
      <c r="DP319" s="312"/>
      <c r="DQ319" s="312"/>
      <c r="DR319" s="312"/>
      <c r="DS319" s="312"/>
      <c r="DT319" s="312"/>
      <c r="DU319" s="312"/>
      <c r="DV319" s="312"/>
      <c r="DW319" s="312"/>
      <c r="DX319" s="312"/>
      <c r="DY319" s="312"/>
      <c r="DZ319" s="312"/>
      <c r="EA319" s="312"/>
      <c r="EB319" s="312"/>
      <c r="EC319" s="312"/>
      <c r="ED319" s="312"/>
      <c r="EE319" s="312"/>
      <c r="EF319" s="312"/>
      <c r="EG319" s="312"/>
      <c r="EH319" s="312"/>
      <c r="EI319" s="312"/>
      <c r="EJ319" s="312"/>
      <c r="EK319" s="312"/>
      <c r="EL319" s="312"/>
      <c r="EM319" s="312"/>
      <c r="EN319" s="312"/>
      <c r="EO319" s="312"/>
      <c r="EP319" s="312"/>
      <c r="EQ319" s="312"/>
      <c r="ER319" s="312"/>
      <c r="ES319" s="312"/>
      <c r="ET319" s="312"/>
      <c r="EU319" s="312"/>
      <c r="EV319" s="312"/>
      <c r="EW319" s="312"/>
      <c r="EX319" s="312"/>
      <c r="EY319" s="312"/>
      <c r="EZ319" s="312"/>
      <c r="FA319" s="312"/>
      <c r="FB319" s="312"/>
      <c r="FC319" s="312"/>
      <c r="FD319" s="312"/>
      <c r="FE319" s="312"/>
      <c r="FF319" s="312"/>
      <c r="FG319" s="312"/>
      <c r="FH319" s="312"/>
      <c r="FI319" s="312"/>
      <c r="FJ319" s="312"/>
      <c r="FK319" s="312"/>
      <c r="FL319" s="312"/>
      <c r="FM319" s="312"/>
      <c r="FN319" s="312"/>
      <c r="FO319" s="312"/>
      <c r="FP319" s="312"/>
      <c r="FQ319" s="312"/>
      <c r="FR319" s="312"/>
      <c r="FS319" s="312"/>
      <c r="FT319" s="312"/>
      <c r="FU319" s="312"/>
      <c r="FV319" s="312"/>
      <c r="FW319" s="312"/>
      <c r="FX319" s="312"/>
      <c r="FY319" s="312"/>
      <c r="FZ319" s="312"/>
      <c r="GA319" s="312"/>
      <c r="GB319" s="312"/>
      <c r="GC319" s="312"/>
      <c r="GD319" s="312"/>
      <c r="GE319" s="312"/>
      <c r="GF319" s="312"/>
      <c r="GG319" s="312"/>
      <c r="GH319" s="312"/>
      <c r="GI319" s="312"/>
      <c r="GJ319" s="312"/>
      <c r="GK319" s="312"/>
      <c r="GL319" s="312"/>
      <c r="GM319" s="312"/>
      <c r="GN319" s="312"/>
      <c r="GO319" s="312"/>
      <c r="GP319" s="312"/>
      <c r="GQ319" s="312"/>
      <c r="GR319" s="312"/>
      <c r="GS319" s="312"/>
      <c r="GT319" s="312"/>
      <c r="GU319" s="312"/>
      <c r="GV319" s="312"/>
      <c r="GW319" s="312"/>
      <c r="GX319" s="312"/>
      <c r="GY319" s="312"/>
      <c r="GZ319" s="312"/>
      <c r="HA319" s="381">
        <f t="shared" si="6819"/>
        <v>0</v>
      </c>
      <c r="HB319" s="312"/>
      <c r="HC319" s="381"/>
      <c r="HD319" s="360">
        <v>581956.01</v>
      </c>
    </row>
    <row r="320" spans="1:212" s="299" customFormat="1">
      <c r="A320" s="669">
        <v>164</v>
      </c>
      <c r="B320" s="683" t="s">
        <v>568</v>
      </c>
      <c r="C320" s="685" t="s">
        <v>713</v>
      </c>
      <c r="D320" s="675" t="s">
        <v>645</v>
      </c>
      <c r="E320" s="687" t="s">
        <v>505</v>
      </c>
      <c r="F320" s="654">
        <v>44.17</v>
      </c>
      <c r="G320" s="654">
        <v>14.5</v>
      </c>
      <c r="H320" s="656">
        <f>F320*G320*365</f>
        <v>233769.72500000001</v>
      </c>
      <c r="I320" s="307">
        <v>58442.43</v>
      </c>
      <c r="J320" s="292">
        <f>ROUND(G320*F320*365/4,0)</f>
        <v>58442</v>
      </c>
      <c r="K320" s="295">
        <f>J320</f>
        <v>58442</v>
      </c>
      <c r="L320" s="295">
        <f>K320</f>
        <v>58442</v>
      </c>
      <c r="M320" s="295">
        <f>L320</f>
        <v>58442</v>
      </c>
      <c r="N320" s="293">
        <f>ROUND(M320*(1+取值表!$D$14)*取值表!$I$14,0)</f>
        <v>58459</v>
      </c>
      <c r="O320" s="295">
        <f>N320</f>
        <v>58459</v>
      </c>
      <c r="P320" s="295">
        <f>O320</f>
        <v>58459</v>
      </c>
      <c r="Q320" s="295">
        <f>P320</f>
        <v>58459</v>
      </c>
      <c r="R320" s="294">
        <f>ROUND(Q320*(1+取值表!$D$14),0)</f>
        <v>62142</v>
      </c>
      <c r="S320" s="295">
        <f t="shared" ref="S320:T320" si="7008">R320</f>
        <v>62142</v>
      </c>
      <c r="T320" s="295">
        <f t="shared" si="7008"/>
        <v>62142</v>
      </c>
      <c r="U320" s="295">
        <f>T320</f>
        <v>62142</v>
      </c>
      <c r="V320" s="293">
        <f>ROUND(U320*(1+取值表!$D$14),0)</f>
        <v>66057</v>
      </c>
      <c r="W320" s="295">
        <f t="shared" ref="W320:Y320" si="7009">V320</f>
        <v>66057</v>
      </c>
      <c r="X320" s="295">
        <f t="shared" si="7009"/>
        <v>66057</v>
      </c>
      <c r="Y320" s="295">
        <f t="shared" si="7009"/>
        <v>66057</v>
      </c>
      <c r="Z320" s="293">
        <f>ROUND(Y320*(1+取值表!$D$14),0)</f>
        <v>70219</v>
      </c>
      <c r="AA320" s="295">
        <f t="shared" ref="AA320" si="7010">Z320</f>
        <v>70219</v>
      </c>
      <c r="AB320" s="295">
        <f t="shared" ref="AB320" si="7011">AA320</f>
        <v>70219</v>
      </c>
      <c r="AC320" s="295">
        <f>AB320</f>
        <v>70219</v>
      </c>
      <c r="AD320" s="293">
        <f>ROUND(AC320*(1+取值表!$D$14),0)</f>
        <v>74643</v>
      </c>
      <c r="AE320" s="295">
        <f t="shared" ref="AE320" si="7012">AD320</f>
        <v>74643</v>
      </c>
      <c r="AF320" s="295">
        <f t="shared" ref="AF320" si="7013">AE320</f>
        <v>74643</v>
      </c>
      <c r="AG320" s="295">
        <f t="shared" ref="AG320" si="7014">AF320</f>
        <v>74643</v>
      </c>
      <c r="AH320" s="293">
        <f>ROUND(AG320*(1+取值表!$D$14),0)</f>
        <v>79346</v>
      </c>
      <c r="AI320" s="295">
        <f t="shared" ref="AI320" si="7015">AH320</f>
        <v>79346</v>
      </c>
      <c r="AJ320" s="295">
        <f t="shared" ref="AJ320" si="7016">AI320</f>
        <v>79346</v>
      </c>
      <c r="AK320" s="295">
        <f t="shared" ref="AK320" si="7017">AJ320</f>
        <v>79346</v>
      </c>
      <c r="AL320" s="293">
        <f>ROUND(AK320*(1+取值表!$D$14),0)</f>
        <v>84345</v>
      </c>
      <c r="AM320" s="295">
        <f t="shared" ref="AM320" si="7018">AL320</f>
        <v>84345</v>
      </c>
      <c r="AN320" s="295">
        <f t="shared" ref="AN320" si="7019">AM320</f>
        <v>84345</v>
      </c>
      <c r="AO320" s="295">
        <f t="shared" ref="AO320" si="7020">AN320</f>
        <v>84345</v>
      </c>
      <c r="AP320" s="293">
        <f>ROUND(AO320*(1+取值表!$D$14),0)</f>
        <v>89659</v>
      </c>
      <c r="AQ320" s="295">
        <f t="shared" ref="AQ320" si="7021">AP320</f>
        <v>89659</v>
      </c>
      <c r="AR320" s="295">
        <f t="shared" ref="AR320" si="7022">AQ320</f>
        <v>89659</v>
      </c>
      <c r="AS320" s="295">
        <f t="shared" ref="AS320" si="7023">AR320</f>
        <v>89659</v>
      </c>
      <c r="AT320" s="293">
        <f>ROUND(AS320*(1+取值表!$D$14),0)</f>
        <v>95308</v>
      </c>
      <c r="AU320" s="295">
        <f t="shared" ref="AU320" si="7024">AT320</f>
        <v>95308</v>
      </c>
      <c r="AV320" s="295">
        <f t="shared" ref="AV320" si="7025">AU320</f>
        <v>95308</v>
      </c>
      <c r="AW320" s="295">
        <f t="shared" ref="AW320" si="7026">AV320</f>
        <v>95308</v>
      </c>
      <c r="AX320" s="293">
        <f>ROUND(AW320*(1+取值表!$D$14),0)</f>
        <v>101312</v>
      </c>
      <c r="AY320" s="295">
        <f t="shared" ref="AY320" si="7027">AX320</f>
        <v>101312</v>
      </c>
      <c r="AZ320" s="295">
        <f t="shared" ref="AZ320" si="7028">AY320</f>
        <v>101312</v>
      </c>
      <c r="BA320" s="295">
        <f t="shared" ref="BA320" si="7029">AZ320</f>
        <v>101312</v>
      </c>
      <c r="BB320" s="293">
        <f>ROUND(BA320*(1+取值表!$D$14),0)</f>
        <v>107695</v>
      </c>
      <c r="BC320" s="295">
        <f>BB320</f>
        <v>107695</v>
      </c>
      <c r="BD320" s="295">
        <f t="shared" ref="BD320" si="7030">BC320</f>
        <v>107695</v>
      </c>
      <c r="BE320" s="295">
        <f>BD320</f>
        <v>107695</v>
      </c>
      <c r="BF320" s="293">
        <f>ROUND(BE320*(1+取值表!$D$14),0)</f>
        <v>114480</v>
      </c>
      <c r="BG320" s="295">
        <f>BF320</f>
        <v>114480</v>
      </c>
      <c r="BH320" s="295">
        <f t="shared" ref="BH320" si="7031">BG320</f>
        <v>114480</v>
      </c>
      <c r="BI320" s="295">
        <f t="shared" ref="BI320" si="7032">BH320</f>
        <v>114480</v>
      </c>
      <c r="BJ320" s="293">
        <f>ROUND(BI320*(1+取值表!$D$14),0)</f>
        <v>121692</v>
      </c>
      <c r="BK320" s="295">
        <f t="shared" ref="BK320" si="7033">BJ320</f>
        <v>121692</v>
      </c>
      <c r="BL320" s="295">
        <f t="shared" ref="BL320" si="7034">BK320</f>
        <v>121692</v>
      </c>
      <c r="BM320" s="295">
        <f t="shared" ref="BM320" si="7035">BL320</f>
        <v>121692</v>
      </c>
      <c r="BN320" s="293">
        <f>ROUND(BM320*(1+取值表!$D$14),0)</f>
        <v>129359</v>
      </c>
      <c r="BO320" s="295">
        <f t="shared" ref="BO320" si="7036">BN320</f>
        <v>129359</v>
      </c>
      <c r="BP320" s="295">
        <f t="shared" ref="BP320" si="7037">BO320</f>
        <v>129359</v>
      </c>
      <c r="BQ320" s="295">
        <f t="shared" ref="BQ320" si="7038">BP320</f>
        <v>129359</v>
      </c>
      <c r="BR320" s="293">
        <f>ROUND(BQ320*(1+取值表!$D$14),0)</f>
        <v>137509</v>
      </c>
      <c r="BS320" s="295">
        <f t="shared" ref="BS320" si="7039">BR320</f>
        <v>137509</v>
      </c>
      <c r="BT320" s="295">
        <f t="shared" ref="BT320" si="7040">BS320</f>
        <v>137509</v>
      </c>
      <c r="BU320" s="295">
        <f t="shared" ref="BU320" si="7041">BT320</f>
        <v>137509</v>
      </c>
      <c r="BV320" s="293">
        <f>ROUND(BU320*(1+取值表!$D$14),0)</f>
        <v>146172</v>
      </c>
      <c r="BW320" s="295">
        <f t="shared" ref="BW320" si="7042">BV320</f>
        <v>146172</v>
      </c>
      <c r="BX320" s="295">
        <f t="shared" ref="BX320" si="7043">BW320</f>
        <v>146172</v>
      </c>
      <c r="BY320" s="295">
        <f t="shared" ref="BY320" si="7044">BX320</f>
        <v>146172</v>
      </c>
      <c r="BZ320" s="293">
        <f>ROUND(BY320*(1+取值表!$D$14),0)</f>
        <v>155381</v>
      </c>
      <c r="CA320" s="295">
        <f t="shared" ref="CA320" si="7045">BZ320</f>
        <v>155381</v>
      </c>
      <c r="CB320" s="295">
        <f t="shared" ref="CB320" si="7046">CA320</f>
        <v>155381</v>
      </c>
      <c r="CC320" s="295">
        <f t="shared" ref="CC320" si="7047">CB320</f>
        <v>155381</v>
      </c>
      <c r="CD320" s="293">
        <f>ROUND(CC320*(1+取值表!$D$14),0)</f>
        <v>165170</v>
      </c>
      <c r="CE320" s="295">
        <f t="shared" ref="CE320" si="7048">CD320</f>
        <v>165170</v>
      </c>
      <c r="CF320" s="295">
        <f t="shared" ref="CF320" si="7049">CE320</f>
        <v>165170</v>
      </c>
      <c r="CG320" s="295">
        <f t="shared" ref="CG320" si="7050">CF320</f>
        <v>165170</v>
      </c>
      <c r="CH320" s="293">
        <f>ROUND(CG320*(1+取值表!$D$14),0)</f>
        <v>175576</v>
      </c>
      <c r="CI320" s="295">
        <f>CH320</f>
        <v>175576</v>
      </c>
      <c r="CJ320" s="295">
        <f t="shared" ref="CJ320" si="7051">CI320</f>
        <v>175576</v>
      </c>
      <c r="CK320" s="295">
        <f t="shared" ref="CK320" si="7052">CJ320</f>
        <v>175576</v>
      </c>
      <c r="CL320" s="293">
        <f>ROUND(CK320*(1+取值表!$D$14),0)</f>
        <v>186637</v>
      </c>
      <c r="CM320" s="295">
        <f>CL320</f>
        <v>186637</v>
      </c>
      <c r="CN320" s="295">
        <f t="shared" ref="CN320" si="7053">CM320</f>
        <v>186637</v>
      </c>
      <c r="CO320" s="295">
        <f t="shared" ref="CO320" si="7054">CN320</f>
        <v>186637</v>
      </c>
      <c r="CP320" s="293">
        <f t="shared" si="5740"/>
        <v>9118412</v>
      </c>
      <c r="CQ320" s="308"/>
      <c r="CR320" s="308"/>
      <c r="CS320" s="308"/>
      <c r="CT320" s="308"/>
      <c r="CU320" s="308"/>
      <c r="CV320" s="308"/>
      <c r="CW320" s="308"/>
      <c r="CX320" s="308"/>
      <c r="CY320" s="308"/>
      <c r="CZ320" s="308"/>
      <c r="DA320" s="308"/>
      <c r="DB320" s="308"/>
      <c r="DC320" s="308"/>
      <c r="DD320" s="308"/>
      <c r="DE320" s="308"/>
      <c r="DF320" s="308"/>
      <c r="DG320" s="308"/>
      <c r="DH320" s="308"/>
      <c r="DI320" s="308"/>
      <c r="DJ320" s="308"/>
      <c r="DK320" s="308"/>
      <c r="DL320" s="308"/>
      <c r="DM320" s="308"/>
      <c r="DN320" s="308"/>
      <c r="DO320" s="308"/>
      <c r="DP320" s="308"/>
      <c r="DQ320" s="308"/>
      <c r="DR320" s="308"/>
      <c r="DS320" s="308"/>
      <c r="DT320" s="308"/>
      <c r="DU320" s="308"/>
      <c r="DV320" s="308"/>
      <c r="DW320" s="308"/>
      <c r="DX320" s="308"/>
      <c r="DY320" s="308"/>
      <c r="DZ320" s="308"/>
      <c r="EA320" s="308"/>
      <c r="EB320" s="308"/>
      <c r="EC320" s="308"/>
      <c r="ED320" s="308"/>
      <c r="EE320" s="308"/>
      <c r="EF320" s="308"/>
      <c r="EG320" s="308"/>
      <c r="EH320" s="308"/>
      <c r="EI320" s="308"/>
      <c r="EJ320" s="308"/>
      <c r="EK320" s="308"/>
      <c r="EL320" s="308"/>
      <c r="EM320" s="308"/>
      <c r="EN320" s="308"/>
      <c r="EO320" s="308"/>
      <c r="EP320" s="308"/>
      <c r="EQ320" s="308"/>
      <c r="ER320" s="308"/>
      <c r="ES320" s="308"/>
      <c r="ET320" s="308"/>
      <c r="EU320" s="308"/>
      <c r="EV320" s="308"/>
      <c r="EW320" s="308"/>
      <c r="EX320" s="308"/>
      <c r="EY320" s="308"/>
      <c r="EZ320" s="308"/>
      <c r="FA320" s="308"/>
      <c r="FB320" s="308"/>
      <c r="FC320" s="308"/>
      <c r="FD320" s="308"/>
      <c r="FE320" s="308"/>
      <c r="FF320" s="308"/>
      <c r="FG320" s="308"/>
      <c r="FH320" s="308"/>
      <c r="FI320" s="308"/>
      <c r="FJ320" s="308"/>
      <c r="FK320" s="308"/>
      <c r="FL320" s="308"/>
      <c r="FM320" s="308"/>
      <c r="FN320" s="308"/>
      <c r="FO320" s="308"/>
      <c r="FP320" s="308"/>
      <c r="FQ320" s="308"/>
      <c r="FR320" s="308"/>
      <c r="FS320" s="308"/>
      <c r="FT320" s="308"/>
      <c r="FU320" s="308"/>
      <c r="FV320" s="308"/>
      <c r="FW320" s="308"/>
      <c r="FX320" s="308"/>
      <c r="FY320" s="308"/>
      <c r="FZ320" s="308"/>
      <c r="GA320" s="308"/>
      <c r="GB320" s="308"/>
      <c r="GC320" s="308"/>
      <c r="GD320" s="308"/>
      <c r="GE320" s="308"/>
      <c r="GF320" s="308"/>
      <c r="GG320" s="308"/>
      <c r="GH320" s="308"/>
      <c r="GI320" s="308"/>
      <c r="GJ320" s="308"/>
      <c r="GK320" s="308"/>
      <c r="GL320" s="308"/>
      <c r="GM320" s="308"/>
      <c r="GN320" s="308"/>
      <c r="GO320" s="308"/>
      <c r="GP320" s="308"/>
      <c r="GQ320" s="308"/>
      <c r="GR320" s="308"/>
      <c r="GS320" s="308"/>
      <c r="GT320" s="308"/>
      <c r="GU320" s="308"/>
      <c r="GV320" s="308"/>
      <c r="GW320" s="308"/>
      <c r="GX320" s="308"/>
      <c r="GY320" s="308"/>
      <c r="GZ320" s="308"/>
      <c r="HA320" s="380">
        <f t="shared" si="6819"/>
        <v>18236824</v>
      </c>
      <c r="HB320" s="308"/>
      <c r="HC320" s="380"/>
      <c r="HD320" s="360">
        <v>386840.09</v>
      </c>
    </row>
    <row r="321" spans="1:212" s="299" customFormat="1">
      <c r="A321" s="670"/>
      <c r="B321" s="684"/>
      <c r="C321" s="686"/>
      <c r="D321" s="676"/>
      <c r="E321" s="688"/>
      <c r="F321" s="655"/>
      <c r="G321" s="655"/>
      <c r="H321" s="657"/>
      <c r="I321" s="313"/>
      <c r="J321" s="295"/>
      <c r="K321" s="295"/>
      <c r="L321" s="295"/>
      <c r="M321" s="295"/>
      <c r="N321" s="295"/>
      <c r="O321" s="295"/>
      <c r="P321" s="295"/>
      <c r="Q321" s="295"/>
      <c r="R321" s="295"/>
      <c r="S321" s="295"/>
      <c r="T321" s="295"/>
      <c r="U321" s="295"/>
      <c r="V321" s="295"/>
      <c r="W321" s="295"/>
      <c r="X321" s="295"/>
      <c r="Y321" s="295"/>
      <c r="Z321" s="295"/>
      <c r="AA321" s="295"/>
      <c r="AB321" s="295"/>
      <c r="AC321" s="295"/>
      <c r="AD321" s="295"/>
      <c r="AE321" s="295"/>
      <c r="AF321" s="295"/>
      <c r="AG321" s="295"/>
      <c r="AH321" s="295"/>
      <c r="AI321" s="295"/>
      <c r="AJ321" s="295"/>
      <c r="AK321" s="295"/>
      <c r="AL321" s="295"/>
      <c r="AM321" s="295"/>
      <c r="AN321" s="295"/>
      <c r="AO321" s="295"/>
      <c r="AP321" s="295"/>
      <c r="AQ321" s="295"/>
      <c r="AR321" s="295"/>
      <c r="AS321" s="295"/>
      <c r="AT321" s="295"/>
      <c r="AU321" s="295"/>
      <c r="AV321" s="295"/>
      <c r="AW321" s="295"/>
      <c r="AX321" s="295"/>
      <c r="AY321" s="295"/>
      <c r="AZ321" s="295"/>
      <c r="BA321" s="295"/>
      <c r="BB321" s="295"/>
      <c r="BC321" s="295"/>
      <c r="BD321" s="295"/>
      <c r="BE321" s="295"/>
      <c r="BF321" s="295"/>
      <c r="BG321" s="295"/>
      <c r="BH321" s="295"/>
      <c r="BI321" s="295"/>
      <c r="BJ321" s="295"/>
      <c r="BK321" s="295"/>
      <c r="BL321" s="295"/>
      <c r="BM321" s="295"/>
      <c r="BN321" s="295"/>
      <c r="BO321" s="295"/>
      <c r="BP321" s="295"/>
      <c r="BQ321" s="295"/>
      <c r="BR321" s="295"/>
      <c r="BS321" s="295"/>
      <c r="BT321" s="295"/>
      <c r="BU321" s="295"/>
      <c r="BV321" s="295"/>
      <c r="BW321" s="295"/>
      <c r="BX321" s="295"/>
      <c r="BY321" s="295"/>
      <c r="BZ321" s="295"/>
      <c r="CA321" s="295"/>
      <c r="CB321" s="295"/>
      <c r="CC321" s="295"/>
      <c r="CD321" s="295"/>
      <c r="CE321" s="295"/>
      <c r="CF321" s="295"/>
      <c r="CG321" s="295"/>
      <c r="CH321" s="295"/>
      <c r="CI321" s="295"/>
      <c r="CJ321" s="295"/>
      <c r="CK321" s="295"/>
      <c r="CL321" s="295"/>
      <c r="CM321" s="295"/>
      <c r="CN321" s="295"/>
      <c r="CO321" s="295"/>
      <c r="CP321" s="293">
        <f t="shared" si="5740"/>
        <v>0</v>
      </c>
      <c r="CQ321" s="312"/>
      <c r="CR321" s="312"/>
      <c r="CS321" s="312"/>
      <c r="CT321" s="312"/>
      <c r="CU321" s="312"/>
      <c r="CV321" s="312"/>
      <c r="CW321" s="312"/>
      <c r="CX321" s="312"/>
      <c r="CY321" s="312"/>
      <c r="CZ321" s="312"/>
      <c r="DA321" s="312"/>
      <c r="DB321" s="312"/>
      <c r="DC321" s="312"/>
      <c r="DD321" s="312"/>
      <c r="DE321" s="312"/>
      <c r="DF321" s="312"/>
      <c r="DG321" s="312"/>
      <c r="DH321" s="312"/>
      <c r="DI321" s="312"/>
      <c r="DJ321" s="312"/>
      <c r="DK321" s="312"/>
      <c r="DL321" s="312"/>
      <c r="DM321" s="312"/>
      <c r="DN321" s="312"/>
      <c r="DO321" s="312"/>
      <c r="DP321" s="312"/>
      <c r="DQ321" s="312"/>
      <c r="DR321" s="312"/>
      <c r="DS321" s="312"/>
      <c r="DT321" s="312"/>
      <c r="DU321" s="312"/>
      <c r="DV321" s="312"/>
      <c r="DW321" s="312"/>
      <c r="DX321" s="312"/>
      <c r="DY321" s="312"/>
      <c r="DZ321" s="312"/>
      <c r="EA321" s="312"/>
      <c r="EB321" s="312"/>
      <c r="EC321" s="312"/>
      <c r="ED321" s="312"/>
      <c r="EE321" s="312"/>
      <c r="EF321" s="312"/>
      <c r="EG321" s="312"/>
      <c r="EH321" s="312"/>
      <c r="EI321" s="312"/>
      <c r="EJ321" s="312"/>
      <c r="EK321" s="312"/>
      <c r="EL321" s="312"/>
      <c r="EM321" s="312"/>
      <c r="EN321" s="312"/>
      <c r="EO321" s="312"/>
      <c r="EP321" s="312"/>
      <c r="EQ321" s="312"/>
      <c r="ER321" s="312"/>
      <c r="ES321" s="312"/>
      <c r="ET321" s="312"/>
      <c r="EU321" s="312"/>
      <c r="EV321" s="312"/>
      <c r="EW321" s="312"/>
      <c r="EX321" s="312"/>
      <c r="EY321" s="312"/>
      <c r="EZ321" s="312"/>
      <c r="FA321" s="312"/>
      <c r="FB321" s="312"/>
      <c r="FC321" s="312"/>
      <c r="FD321" s="312"/>
      <c r="FE321" s="312"/>
      <c r="FF321" s="312"/>
      <c r="FG321" s="312"/>
      <c r="FH321" s="312"/>
      <c r="FI321" s="312"/>
      <c r="FJ321" s="312"/>
      <c r="FK321" s="312"/>
      <c r="FL321" s="312"/>
      <c r="FM321" s="312"/>
      <c r="FN321" s="312"/>
      <c r="FO321" s="312"/>
      <c r="FP321" s="312"/>
      <c r="FQ321" s="312"/>
      <c r="FR321" s="312"/>
      <c r="FS321" s="312"/>
      <c r="FT321" s="312"/>
      <c r="FU321" s="312"/>
      <c r="FV321" s="312"/>
      <c r="FW321" s="312"/>
      <c r="FX321" s="312"/>
      <c r="FY321" s="312"/>
      <c r="FZ321" s="312"/>
      <c r="GA321" s="312"/>
      <c r="GB321" s="312"/>
      <c r="GC321" s="312"/>
      <c r="GD321" s="312"/>
      <c r="GE321" s="312"/>
      <c r="GF321" s="312"/>
      <c r="GG321" s="312"/>
      <c r="GH321" s="312"/>
      <c r="GI321" s="312"/>
      <c r="GJ321" s="312"/>
      <c r="GK321" s="312"/>
      <c r="GL321" s="312"/>
      <c r="GM321" s="312"/>
      <c r="GN321" s="312"/>
      <c r="GO321" s="312"/>
      <c r="GP321" s="312"/>
      <c r="GQ321" s="312"/>
      <c r="GR321" s="312"/>
      <c r="GS321" s="312"/>
      <c r="GT321" s="312"/>
      <c r="GU321" s="312"/>
      <c r="GV321" s="312"/>
      <c r="GW321" s="312"/>
      <c r="GX321" s="312"/>
      <c r="GY321" s="312"/>
      <c r="GZ321" s="312"/>
      <c r="HA321" s="381">
        <f t="shared" si="6819"/>
        <v>0</v>
      </c>
      <c r="HB321" s="312"/>
      <c r="HC321" s="381"/>
      <c r="HD321" s="360">
        <v>361223.95</v>
      </c>
    </row>
    <row r="322" spans="1:212" s="299" customFormat="1" ht="12" customHeight="1">
      <c r="A322" s="669">
        <v>165</v>
      </c>
      <c r="B322" s="683" t="s">
        <v>569</v>
      </c>
      <c r="C322" s="685" t="s">
        <v>715</v>
      </c>
      <c r="D322" s="675" t="s">
        <v>460</v>
      </c>
      <c r="E322" s="687" t="s">
        <v>505</v>
      </c>
      <c r="F322" s="654">
        <v>74.73</v>
      </c>
      <c r="G322" s="654">
        <v>11</v>
      </c>
      <c r="H322" s="656">
        <f>F322*G322*365</f>
        <v>300040.95</v>
      </c>
      <c r="I322" s="307">
        <v>68191.13</v>
      </c>
      <c r="J322" s="292">
        <f>ROUND(G322*F322*365/4,0)</f>
        <v>75010</v>
      </c>
      <c r="K322" s="295">
        <f>J322</f>
        <v>75010</v>
      </c>
      <c r="L322" s="295">
        <f>K322</f>
        <v>75010</v>
      </c>
      <c r="M322" s="295">
        <f>L322</f>
        <v>75010</v>
      </c>
      <c r="N322" s="293">
        <f>ROUND(M322*(1+取值表!$D$14)*取值表!$I$14,0)</f>
        <v>75031</v>
      </c>
      <c r="O322" s="295">
        <f>N322</f>
        <v>75031</v>
      </c>
      <c r="P322" s="295">
        <f>O322</f>
        <v>75031</v>
      </c>
      <c r="Q322" s="295">
        <f>P322</f>
        <v>75031</v>
      </c>
      <c r="R322" s="294">
        <f>ROUND(Q322*(1+取值表!$D$14),0)</f>
        <v>79758</v>
      </c>
      <c r="S322" s="295">
        <f t="shared" ref="S322:T322" si="7055">R322</f>
        <v>79758</v>
      </c>
      <c r="T322" s="295">
        <f t="shared" si="7055"/>
        <v>79758</v>
      </c>
      <c r="U322" s="295">
        <f>T322</f>
        <v>79758</v>
      </c>
      <c r="V322" s="293">
        <f>ROUND(U322*(1+取值表!$D$14),0)</f>
        <v>84783</v>
      </c>
      <c r="W322" s="295">
        <f t="shared" ref="W322:Y322" si="7056">V322</f>
        <v>84783</v>
      </c>
      <c r="X322" s="295">
        <f t="shared" si="7056"/>
        <v>84783</v>
      </c>
      <c r="Y322" s="295">
        <f t="shared" si="7056"/>
        <v>84783</v>
      </c>
      <c r="Z322" s="293">
        <f>ROUND(Y322*(1+取值表!$D$14),0)</f>
        <v>90124</v>
      </c>
      <c r="AA322" s="295">
        <f t="shared" ref="AA322" si="7057">Z322</f>
        <v>90124</v>
      </c>
      <c r="AB322" s="295">
        <f t="shared" ref="AB322" si="7058">AA322</f>
        <v>90124</v>
      </c>
      <c r="AC322" s="295">
        <f>AB322</f>
        <v>90124</v>
      </c>
      <c r="AD322" s="293">
        <f>ROUND(AC322*(1+取值表!$D$14),0)</f>
        <v>95802</v>
      </c>
      <c r="AE322" s="295">
        <f t="shared" ref="AE322" si="7059">AD322</f>
        <v>95802</v>
      </c>
      <c r="AF322" s="295">
        <f t="shared" ref="AF322" si="7060">AE322</f>
        <v>95802</v>
      </c>
      <c r="AG322" s="295">
        <f t="shared" ref="AG322" si="7061">AF322</f>
        <v>95802</v>
      </c>
      <c r="AH322" s="293">
        <f>ROUND(AG322*(1+取值表!$D$14),0)</f>
        <v>101838</v>
      </c>
      <c r="AI322" s="295">
        <f t="shared" ref="AI322" si="7062">AH322</f>
        <v>101838</v>
      </c>
      <c r="AJ322" s="295">
        <f t="shared" ref="AJ322" si="7063">AI322</f>
        <v>101838</v>
      </c>
      <c r="AK322" s="295">
        <f t="shared" ref="AK322" si="7064">AJ322</f>
        <v>101838</v>
      </c>
      <c r="AL322" s="293">
        <f>ROUND(AK322*(1+取值表!$D$14),0)</f>
        <v>108254</v>
      </c>
      <c r="AM322" s="295">
        <f t="shared" ref="AM322" si="7065">AL322</f>
        <v>108254</v>
      </c>
      <c r="AN322" s="295">
        <f t="shared" ref="AN322" si="7066">AM322</f>
        <v>108254</v>
      </c>
      <c r="AO322" s="295">
        <f t="shared" ref="AO322" si="7067">AN322</f>
        <v>108254</v>
      </c>
      <c r="AP322" s="293">
        <f>ROUND(AO322*(1+取值表!$D$14),0)</f>
        <v>115074</v>
      </c>
      <c r="AQ322" s="295">
        <f t="shared" ref="AQ322" si="7068">AP322</f>
        <v>115074</v>
      </c>
      <c r="AR322" s="295">
        <f t="shared" ref="AR322" si="7069">AQ322</f>
        <v>115074</v>
      </c>
      <c r="AS322" s="295">
        <f t="shared" ref="AS322" si="7070">AR322</f>
        <v>115074</v>
      </c>
      <c r="AT322" s="293">
        <f>ROUND(AS322*(1+取值表!$D$14),0)</f>
        <v>122324</v>
      </c>
      <c r="AU322" s="295">
        <f t="shared" ref="AU322" si="7071">AT322</f>
        <v>122324</v>
      </c>
      <c r="AV322" s="295">
        <f t="shared" ref="AV322" si="7072">AU322</f>
        <v>122324</v>
      </c>
      <c r="AW322" s="295">
        <f t="shared" ref="AW322" si="7073">AV322</f>
        <v>122324</v>
      </c>
      <c r="AX322" s="293">
        <f>ROUND(AW322*(1+取值表!$D$14),0)</f>
        <v>130030</v>
      </c>
      <c r="AY322" s="295">
        <f t="shared" ref="AY322" si="7074">AX322</f>
        <v>130030</v>
      </c>
      <c r="AZ322" s="295">
        <f t="shared" ref="AZ322" si="7075">AY322</f>
        <v>130030</v>
      </c>
      <c r="BA322" s="295">
        <f t="shared" ref="BA322" si="7076">AZ322</f>
        <v>130030</v>
      </c>
      <c r="BB322" s="293">
        <f>ROUND(BA322*(1+取值表!$D$14),0)</f>
        <v>138222</v>
      </c>
      <c r="BC322" s="295">
        <f>BB322</f>
        <v>138222</v>
      </c>
      <c r="BD322" s="295">
        <f t="shared" ref="BD322" si="7077">BC322</f>
        <v>138222</v>
      </c>
      <c r="BE322" s="295">
        <f>BD322</f>
        <v>138222</v>
      </c>
      <c r="BF322" s="293">
        <f>ROUND(BE322*(1+取值表!$D$14),0)</f>
        <v>146930</v>
      </c>
      <c r="BG322" s="295">
        <f>BF322</f>
        <v>146930</v>
      </c>
      <c r="BH322" s="295">
        <f t="shared" ref="BH322" si="7078">BG322</f>
        <v>146930</v>
      </c>
      <c r="BI322" s="295">
        <f t="shared" ref="BI322" si="7079">BH322</f>
        <v>146930</v>
      </c>
      <c r="BJ322" s="293">
        <f>ROUND(BI322*(1+取值表!$D$14),0)</f>
        <v>156187</v>
      </c>
      <c r="BK322" s="295">
        <f t="shared" ref="BK322" si="7080">BJ322</f>
        <v>156187</v>
      </c>
      <c r="BL322" s="295">
        <f t="shared" ref="BL322" si="7081">BK322</f>
        <v>156187</v>
      </c>
      <c r="BM322" s="295">
        <f t="shared" ref="BM322" si="7082">BL322</f>
        <v>156187</v>
      </c>
      <c r="BN322" s="293">
        <f>ROUND(BM322*(1+取值表!$D$14),0)</f>
        <v>166027</v>
      </c>
      <c r="BO322" s="295">
        <f t="shared" ref="BO322" si="7083">BN322</f>
        <v>166027</v>
      </c>
      <c r="BP322" s="295">
        <f t="shared" ref="BP322" si="7084">BO322</f>
        <v>166027</v>
      </c>
      <c r="BQ322" s="295">
        <f t="shared" ref="BQ322" si="7085">BP322</f>
        <v>166027</v>
      </c>
      <c r="BR322" s="293">
        <f>ROUND(BQ322*(1+取值表!$D$14),0)</f>
        <v>176487</v>
      </c>
      <c r="BS322" s="295">
        <f t="shared" ref="BS322" si="7086">BR322</f>
        <v>176487</v>
      </c>
      <c r="BT322" s="295">
        <f t="shared" ref="BT322" si="7087">BS322</f>
        <v>176487</v>
      </c>
      <c r="BU322" s="295">
        <f t="shared" ref="BU322" si="7088">BT322</f>
        <v>176487</v>
      </c>
      <c r="BV322" s="293">
        <f>ROUND(BU322*(1+取值表!$D$14),0)</f>
        <v>187606</v>
      </c>
      <c r="BW322" s="295">
        <f t="shared" ref="BW322" si="7089">BV322</f>
        <v>187606</v>
      </c>
      <c r="BX322" s="295">
        <f t="shared" ref="BX322" si="7090">BW322</f>
        <v>187606</v>
      </c>
      <c r="BY322" s="295">
        <f t="shared" ref="BY322" si="7091">BX322</f>
        <v>187606</v>
      </c>
      <c r="BZ322" s="293">
        <f>ROUND(BY322*(1+取值表!$D$14),0)</f>
        <v>199425</v>
      </c>
      <c r="CA322" s="295">
        <f t="shared" ref="CA322" si="7092">BZ322</f>
        <v>199425</v>
      </c>
      <c r="CB322" s="295">
        <f t="shared" ref="CB322" si="7093">CA322</f>
        <v>199425</v>
      </c>
      <c r="CC322" s="295">
        <f t="shared" ref="CC322" si="7094">CB322</f>
        <v>199425</v>
      </c>
      <c r="CD322" s="293">
        <f>ROUND(CC322*(1+取值表!$D$14),0)</f>
        <v>211989</v>
      </c>
      <c r="CE322" s="295">
        <f t="shared" ref="CE322" si="7095">CD322</f>
        <v>211989</v>
      </c>
      <c r="CF322" s="295">
        <f t="shared" ref="CF322" si="7096">CE322</f>
        <v>211989</v>
      </c>
      <c r="CG322" s="295">
        <f t="shared" ref="CG322" si="7097">CF322</f>
        <v>211989</v>
      </c>
      <c r="CH322" s="293">
        <f>ROUND(CG322*(1+取值表!$D$14),0)</f>
        <v>225344</v>
      </c>
      <c r="CI322" s="295">
        <f>CH322</f>
        <v>225344</v>
      </c>
      <c r="CJ322" s="295">
        <f t="shared" ref="CJ322" si="7098">CI322</f>
        <v>225344</v>
      </c>
      <c r="CK322" s="295">
        <f t="shared" ref="CK322" si="7099">CJ322</f>
        <v>225344</v>
      </c>
      <c r="CL322" s="293">
        <f>ROUND(CK322*(1+取值表!$D$14),0)</f>
        <v>239541</v>
      </c>
      <c r="CM322" s="295">
        <f>CL322</f>
        <v>239541</v>
      </c>
      <c r="CN322" s="295">
        <f t="shared" ref="CN322" si="7100">CM322</f>
        <v>239541</v>
      </c>
      <c r="CO322" s="295">
        <f t="shared" ref="CO322" si="7101">CN322</f>
        <v>239541</v>
      </c>
      <c r="CP322" s="293">
        <f t="shared" si="5740"/>
        <v>11703144</v>
      </c>
      <c r="CQ322" s="308"/>
      <c r="CR322" s="308"/>
      <c r="CS322" s="308"/>
      <c r="CT322" s="308"/>
      <c r="CU322" s="308"/>
      <c r="CV322" s="308"/>
      <c r="CW322" s="308"/>
      <c r="CX322" s="308"/>
      <c r="CY322" s="308"/>
      <c r="CZ322" s="308"/>
      <c r="DA322" s="308"/>
      <c r="DB322" s="308"/>
      <c r="DC322" s="308"/>
      <c r="DD322" s="308"/>
      <c r="DE322" s="308"/>
      <c r="DF322" s="308"/>
      <c r="DG322" s="308"/>
      <c r="DH322" s="308"/>
      <c r="DI322" s="308"/>
      <c r="DJ322" s="308"/>
      <c r="DK322" s="308"/>
      <c r="DL322" s="308"/>
      <c r="DM322" s="308"/>
      <c r="DN322" s="308"/>
      <c r="DO322" s="308"/>
      <c r="DP322" s="308"/>
      <c r="DQ322" s="308"/>
      <c r="DR322" s="308"/>
      <c r="DS322" s="308"/>
      <c r="DT322" s="308"/>
      <c r="DU322" s="308"/>
      <c r="DV322" s="308"/>
      <c r="DW322" s="308"/>
      <c r="DX322" s="308"/>
      <c r="DY322" s="308"/>
      <c r="DZ322" s="308"/>
      <c r="EA322" s="308"/>
      <c r="EB322" s="308"/>
      <c r="EC322" s="308"/>
      <c r="ED322" s="308"/>
      <c r="EE322" s="308"/>
      <c r="EF322" s="308"/>
      <c r="EG322" s="308"/>
      <c r="EH322" s="308"/>
      <c r="EI322" s="308"/>
      <c r="EJ322" s="308"/>
      <c r="EK322" s="308"/>
      <c r="EL322" s="308"/>
      <c r="EM322" s="308"/>
      <c r="EN322" s="308"/>
      <c r="EO322" s="308"/>
      <c r="EP322" s="308"/>
      <c r="EQ322" s="308"/>
      <c r="ER322" s="308"/>
      <c r="ES322" s="308"/>
      <c r="ET322" s="308"/>
      <c r="EU322" s="308"/>
      <c r="EV322" s="308"/>
      <c r="EW322" s="308"/>
      <c r="EX322" s="308"/>
      <c r="EY322" s="308"/>
      <c r="EZ322" s="308"/>
      <c r="FA322" s="308"/>
      <c r="FB322" s="308"/>
      <c r="FC322" s="308"/>
      <c r="FD322" s="308"/>
      <c r="FE322" s="308"/>
      <c r="FF322" s="308"/>
      <c r="FG322" s="308"/>
      <c r="FH322" s="308"/>
      <c r="FI322" s="308"/>
      <c r="FJ322" s="308"/>
      <c r="FK322" s="308"/>
      <c r="FL322" s="308"/>
      <c r="FM322" s="308"/>
      <c r="FN322" s="308"/>
      <c r="FO322" s="308"/>
      <c r="FP322" s="308"/>
      <c r="FQ322" s="308"/>
      <c r="FR322" s="308"/>
      <c r="FS322" s="308"/>
      <c r="FT322" s="308"/>
      <c r="FU322" s="308"/>
      <c r="FV322" s="308"/>
      <c r="FW322" s="308"/>
      <c r="FX322" s="308"/>
      <c r="FY322" s="308"/>
      <c r="FZ322" s="308"/>
      <c r="GA322" s="308"/>
      <c r="GB322" s="308"/>
      <c r="GC322" s="308"/>
      <c r="GD322" s="308"/>
      <c r="GE322" s="308"/>
      <c r="GF322" s="308"/>
      <c r="GG322" s="308"/>
      <c r="GH322" s="308"/>
      <c r="GI322" s="308"/>
      <c r="GJ322" s="308"/>
      <c r="GK322" s="308"/>
      <c r="GL322" s="308"/>
      <c r="GM322" s="308"/>
      <c r="GN322" s="308"/>
      <c r="GO322" s="308"/>
      <c r="GP322" s="308"/>
      <c r="GQ322" s="308"/>
      <c r="GR322" s="308"/>
      <c r="GS322" s="308"/>
      <c r="GT322" s="308"/>
      <c r="GU322" s="308"/>
      <c r="GV322" s="308"/>
      <c r="GW322" s="308"/>
      <c r="GX322" s="308"/>
      <c r="GY322" s="308"/>
      <c r="GZ322" s="308"/>
      <c r="HA322" s="380">
        <f t="shared" si="6819"/>
        <v>23406288</v>
      </c>
      <c r="HB322" s="308"/>
      <c r="HC322" s="380"/>
      <c r="HD322" s="360">
        <v>427597.5</v>
      </c>
    </row>
    <row r="323" spans="1:212" s="299" customFormat="1">
      <c r="A323" s="670"/>
      <c r="B323" s="684"/>
      <c r="C323" s="686"/>
      <c r="D323" s="676"/>
      <c r="E323" s="688"/>
      <c r="F323" s="655"/>
      <c r="G323" s="655"/>
      <c r="H323" s="657"/>
      <c r="I323" s="313"/>
      <c r="J323" s="295"/>
      <c r="K323" s="295"/>
      <c r="L323" s="295"/>
      <c r="M323" s="295"/>
      <c r="N323" s="295"/>
      <c r="O323" s="295"/>
      <c r="P323" s="295"/>
      <c r="Q323" s="295"/>
      <c r="R323" s="295"/>
      <c r="S323" s="295"/>
      <c r="T323" s="295"/>
      <c r="U323" s="295"/>
      <c r="V323" s="295"/>
      <c r="W323" s="295"/>
      <c r="X323" s="295"/>
      <c r="Y323" s="295"/>
      <c r="Z323" s="295"/>
      <c r="AA323" s="295"/>
      <c r="AB323" s="295"/>
      <c r="AC323" s="295"/>
      <c r="AD323" s="295"/>
      <c r="AE323" s="295"/>
      <c r="AF323" s="295"/>
      <c r="AG323" s="295"/>
      <c r="AH323" s="295"/>
      <c r="AI323" s="295"/>
      <c r="AJ323" s="295"/>
      <c r="AK323" s="295"/>
      <c r="AL323" s="295"/>
      <c r="AM323" s="295"/>
      <c r="AN323" s="295"/>
      <c r="AO323" s="295"/>
      <c r="AP323" s="295"/>
      <c r="AQ323" s="295"/>
      <c r="AR323" s="295"/>
      <c r="AS323" s="295"/>
      <c r="AT323" s="295"/>
      <c r="AU323" s="295"/>
      <c r="AV323" s="295"/>
      <c r="AW323" s="295"/>
      <c r="AX323" s="295"/>
      <c r="AY323" s="295"/>
      <c r="AZ323" s="295"/>
      <c r="BA323" s="295"/>
      <c r="BB323" s="295"/>
      <c r="BC323" s="295"/>
      <c r="BD323" s="295"/>
      <c r="BE323" s="295"/>
      <c r="BF323" s="295"/>
      <c r="BG323" s="295"/>
      <c r="BH323" s="295"/>
      <c r="BI323" s="295"/>
      <c r="BJ323" s="295"/>
      <c r="BK323" s="295"/>
      <c r="BL323" s="295"/>
      <c r="BM323" s="295"/>
      <c r="BN323" s="295"/>
      <c r="BO323" s="295"/>
      <c r="BP323" s="295"/>
      <c r="BQ323" s="295"/>
      <c r="BR323" s="295"/>
      <c r="BS323" s="295"/>
      <c r="BT323" s="295"/>
      <c r="BU323" s="295"/>
      <c r="BV323" s="295"/>
      <c r="BW323" s="295"/>
      <c r="BX323" s="295"/>
      <c r="BY323" s="295"/>
      <c r="BZ323" s="295"/>
      <c r="CA323" s="295"/>
      <c r="CB323" s="295"/>
      <c r="CC323" s="295"/>
      <c r="CD323" s="295"/>
      <c r="CE323" s="295"/>
      <c r="CF323" s="295"/>
      <c r="CG323" s="295"/>
      <c r="CH323" s="295"/>
      <c r="CI323" s="295"/>
      <c r="CJ323" s="295"/>
      <c r="CK323" s="295"/>
      <c r="CL323" s="295"/>
      <c r="CM323" s="295"/>
      <c r="CN323" s="295"/>
      <c r="CO323" s="295"/>
      <c r="CP323" s="293">
        <f t="shared" ref="CP323:CP386" si="7102">SUM(J323:CO323)</f>
        <v>0</v>
      </c>
      <c r="CQ323" s="312"/>
      <c r="CR323" s="312"/>
      <c r="CS323" s="312"/>
      <c r="CT323" s="312"/>
      <c r="CU323" s="312"/>
      <c r="CV323" s="312"/>
      <c r="CW323" s="312"/>
      <c r="CX323" s="312"/>
      <c r="CY323" s="312"/>
      <c r="CZ323" s="312"/>
      <c r="DA323" s="312"/>
      <c r="DB323" s="312"/>
      <c r="DC323" s="312"/>
      <c r="DD323" s="312"/>
      <c r="DE323" s="312"/>
      <c r="DF323" s="312"/>
      <c r="DG323" s="312"/>
      <c r="DH323" s="312"/>
      <c r="DI323" s="312"/>
      <c r="DJ323" s="312"/>
      <c r="DK323" s="312"/>
      <c r="DL323" s="312"/>
      <c r="DM323" s="312"/>
      <c r="DN323" s="312"/>
      <c r="DO323" s="312"/>
      <c r="DP323" s="312"/>
      <c r="DQ323" s="312"/>
      <c r="DR323" s="312"/>
      <c r="DS323" s="312"/>
      <c r="DT323" s="312"/>
      <c r="DU323" s="312"/>
      <c r="DV323" s="312"/>
      <c r="DW323" s="312"/>
      <c r="DX323" s="312"/>
      <c r="DY323" s="312"/>
      <c r="DZ323" s="312"/>
      <c r="EA323" s="312"/>
      <c r="EB323" s="312"/>
      <c r="EC323" s="312"/>
      <c r="ED323" s="312"/>
      <c r="EE323" s="312"/>
      <c r="EF323" s="312"/>
      <c r="EG323" s="312"/>
      <c r="EH323" s="312"/>
      <c r="EI323" s="312"/>
      <c r="EJ323" s="312"/>
      <c r="EK323" s="312"/>
      <c r="EL323" s="312"/>
      <c r="EM323" s="312"/>
      <c r="EN323" s="312"/>
      <c r="EO323" s="312"/>
      <c r="EP323" s="312"/>
      <c r="EQ323" s="312"/>
      <c r="ER323" s="312"/>
      <c r="ES323" s="312"/>
      <c r="ET323" s="312"/>
      <c r="EU323" s="312"/>
      <c r="EV323" s="312"/>
      <c r="EW323" s="312"/>
      <c r="EX323" s="312"/>
      <c r="EY323" s="312"/>
      <c r="EZ323" s="312"/>
      <c r="FA323" s="312"/>
      <c r="FB323" s="312"/>
      <c r="FC323" s="312"/>
      <c r="FD323" s="312"/>
      <c r="FE323" s="312"/>
      <c r="FF323" s="312"/>
      <c r="FG323" s="312"/>
      <c r="FH323" s="312"/>
      <c r="FI323" s="312"/>
      <c r="FJ323" s="312"/>
      <c r="FK323" s="312"/>
      <c r="FL323" s="312"/>
      <c r="FM323" s="312"/>
      <c r="FN323" s="312"/>
      <c r="FO323" s="312"/>
      <c r="FP323" s="312"/>
      <c r="FQ323" s="312"/>
      <c r="FR323" s="312"/>
      <c r="FS323" s="312"/>
      <c r="FT323" s="312"/>
      <c r="FU323" s="312"/>
      <c r="FV323" s="312"/>
      <c r="FW323" s="312"/>
      <c r="FX323" s="312"/>
      <c r="FY323" s="312"/>
      <c r="FZ323" s="312"/>
      <c r="GA323" s="312"/>
      <c r="GB323" s="312"/>
      <c r="GC323" s="312"/>
      <c r="GD323" s="312"/>
      <c r="GE323" s="312"/>
      <c r="GF323" s="312"/>
      <c r="GG323" s="312"/>
      <c r="GH323" s="312"/>
      <c r="GI323" s="312"/>
      <c r="GJ323" s="312"/>
      <c r="GK323" s="312"/>
      <c r="GL323" s="312"/>
      <c r="GM323" s="312"/>
      <c r="GN323" s="312"/>
      <c r="GO323" s="312"/>
      <c r="GP323" s="312"/>
      <c r="GQ323" s="312"/>
      <c r="GR323" s="312"/>
      <c r="GS323" s="312"/>
      <c r="GT323" s="312"/>
      <c r="GU323" s="312"/>
      <c r="GV323" s="312"/>
      <c r="GW323" s="312"/>
      <c r="GX323" s="312"/>
      <c r="GY323" s="312"/>
      <c r="GZ323" s="312"/>
      <c r="HA323" s="381">
        <f t="shared" si="6819"/>
        <v>0</v>
      </c>
      <c r="HB323" s="312"/>
      <c r="HC323" s="381"/>
      <c r="HD323" s="360">
        <v>132183.21</v>
      </c>
    </row>
    <row r="324" spans="1:212" ht="12" customHeight="1">
      <c r="A324" s="669">
        <v>166</v>
      </c>
      <c r="B324" s="671" t="s">
        <v>289</v>
      </c>
      <c r="C324" s="673" t="s">
        <v>750</v>
      </c>
      <c r="D324" s="675" t="s">
        <v>290</v>
      </c>
      <c r="E324" s="677" t="s">
        <v>522</v>
      </c>
      <c r="F324" s="665">
        <v>185.21</v>
      </c>
      <c r="G324" s="665">
        <v>7</v>
      </c>
      <c r="H324" s="667">
        <f>F324*G324*365</f>
        <v>473211.55</v>
      </c>
      <c r="I324" s="291">
        <v>123880.02</v>
      </c>
      <c r="J324" s="292">
        <f>ROUND(G324*F324*365/4,0)</f>
        <v>118303</v>
      </c>
      <c r="K324" s="293">
        <f>J324</f>
        <v>118303</v>
      </c>
      <c r="L324" s="293">
        <f>K324</f>
        <v>118303</v>
      </c>
      <c r="M324" s="293">
        <f>L324</f>
        <v>118303</v>
      </c>
      <c r="N324" s="293">
        <f>ROUND(M324*(1+取值表!$D$16)*取值表!$I$16,0)</f>
        <v>118336</v>
      </c>
      <c r="O324" s="293">
        <f>N324</f>
        <v>118336</v>
      </c>
      <c r="P324" s="293">
        <f>O324</f>
        <v>118336</v>
      </c>
      <c r="Q324" s="293">
        <f>P324</f>
        <v>118336</v>
      </c>
      <c r="R324" s="294">
        <f>ROUND(Q324*(1+取值表!$D$14),0)</f>
        <v>125791</v>
      </c>
      <c r="S324" s="293">
        <f>R324</f>
        <v>125791</v>
      </c>
      <c r="T324" s="293">
        <f>S324</f>
        <v>125791</v>
      </c>
      <c r="U324" s="293">
        <f>T324</f>
        <v>125791</v>
      </c>
      <c r="V324" s="293">
        <f>ROUND(U324*(1+取值表!$D$14),0)</f>
        <v>133716</v>
      </c>
      <c r="W324" s="293">
        <f>V324</f>
        <v>133716</v>
      </c>
      <c r="X324" s="293">
        <f>W324</f>
        <v>133716</v>
      </c>
      <c r="Y324" s="293">
        <f>X324</f>
        <v>133716</v>
      </c>
      <c r="Z324" s="293">
        <f>ROUND(Y324*(1+取值表!$D$14),0)</f>
        <v>142140</v>
      </c>
      <c r="AA324" s="293">
        <f t="shared" ref="AA324:AB324" si="7103">Z324</f>
        <v>142140</v>
      </c>
      <c r="AB324" s="293">
        <f t="shared" si="7103"/>
        <v>142140</v>
      </c>
      <c r="AC324" s="293">
        <f>AB324</f>
        <v>142140</v>
      </c>
      <c r="AD324" s="293">
        <f>ROUND(AC324*(1+取值表!$D$14),0)</f>
        <v>151095</v>
      </c>
      <c r="AE324" s="293">
        <f t="shared" ref="AE324:AG324" si="7104">AD324</f>
        <v>151095</v>
      </c>
      <c r="AF324" s="293">
        <f t="shared" si="7104"/>
        <v>151095</v>
      </c>
      <c r="AG324" s="293">
        <f t="shared" si="7104"/>
        <v>151095</v>
      </c>
      <c r="AH324" s="293">
        <f>ROUND(AG324*(1+取值表!$D$14),0)</f>
        <v>160614</v>
      </c>
      <c r="AI324" s="293">
        <f t="shared" ref="AI324:AK324" si="7105">AH324</f>
        <v>160614</v>
      </c>
      <c r="AJ324" s="293">
        <f t="shared" si="7105"/>
        <v>160614</v>
      </c>
      <c r="AK324" s="293">
        <f t="shared" si="7105"/>
        <v>160614</v>
      </c>
      <c r="AL324" s="293">
        <f>ROUND(AK324*(1+取值表!$D$14),0)</f>
        <v>170733</v>
      </c>
      <c r="AM324" s="293">
        <f t="shared" ref="AM324:AO324" si="7106">AL324</f>
        <v>170733</v>
      </c>
      <c r="AN324" s="293">
        <f t="shared" si="7106"/>
        <v>170733</v>
      </c>
      <c r="AO324" s="293">
        <f t="shared" si="7106"/>
        <v>170733</v>
      </c>
      <c r="AP324" s="293">
        <f>ROUND(AO324*(1+取值表!$D$14),0)</f>
        <v>181489</v>
      </c>
      <c r="AQ324" s="293">
        <f t="shared" ref="AQ324:AS324" si="7107">AP324</f>
        <v>181489</v>
      </c>
      <c r="AR324" s="293">
        <f t="shared" si="7107"/>
        <v>181489</v>
      </c>
      <c r="AS324" s="293">
        <f t="shared" si="7107"/>
        <v>181489</v>
      </c>
      <c r="AT324" s="293">
        <f>ROUND(AS324*(1+取值表!$D$14),0)</f>
        <v>192923</v>
      </c>
      <c r="AU324" s="293">
        <f t="shared" ref="AU324:AW324" si="7108">AT324</f>
        <v>192923</v>
      </c>
      <c r="AV324" s="293">
        <f t="shared" si="7108"/>
        <v>192923</v>
      </c>
      <c r="AW324" s="293">
        <f t="shared" si="7108"/>
        <v>192923</v>
      </c>
      <c r="AX324" s="293">
        <f>ROUND(AW324*(1+取值表!$D$14),0)</f>
        <v>205077</v>
      </c>
      <c r="AY324" s="293">
        <f t="shared" ref="AY324:BA324" si="7109">AX324</f>
        <v>205077</v>
      </c>
      <c r="AZ324" s="293">
        <f t="shared" si="7109"/>
        <v>205077</v>
      </c>
      <c r="BA324" s="293">
        <f t="shared" si="7109"/>
        <v>205077</v>
      </c>
      <c r="BB324" s="293">
        <f>ROUND(BA324*(1+取值表!$D$14),0)</f>
        <v>217997</v>
      </c>
      <c r="BC324" s="293">
        <f>BB324</f>
        <v>217997</v>
      </c>
      <c r="BD324" s="293">
        <f t="shared" ref="BD324" si="7110">BC324</f>
        <v>217997</v>
      </c>
      <c r="BE324" s="293">
        <f>BD324</f>
        <v>217997</v>
      </c>
      <c r="BF324" s="293">
        <f>ROUND(BE324*(1+取值表!$D$14),0)</f>
        <v>231731</v>
      </c>
      <c r="BG324" s="293">
        <f>BF324</f>
        <v>231731</v>
      </c>
      <c r="BH324" s="293">
        <f t="shared" ref="BH324:BI324" si="7111">BG324</f>
        <v>231731</v>
      </c>
      <c r="BI324" s="293">
        <f t="shared" si="7111"/>
        <v>231731</v>
      </c>
      <c r="BJ324" s="293">
        <f>ROUND(BI324*(1+取值表!$D$14),0)</f>
        <v>246330</v>
      </c>
      <c r="BK324" s="293">
        <f t="shared" ref="BK324" si="7112">BJ324</f>
        <v>246330</v>
      </c>
      <c r="BL324" s="293">
        <f t="shared" ref="BL324" si="7113">BK324</f>
        <v>246330</v>
      </c>
      <c r="BM324" s="293">
        <f t="shared" ref="BM324" si="7114">BL324</f>
        <v>246330</v>
      </c>
      <c r="BN324" s="293">
        <f>ROUND(BM324*(1+取值表!$D$14),0)</f>
        <v>261849</v>
      </c>
      <c r="BO324" s="293">
        <f t="shared" ref="BO324" si="7115">BN324</f>
        <v>261849</v>
      </c>
      <c r="BP324" s="293">
        <f t="shared" ref="BP324" si="7116">BO324</f>
        <v>261849</v>
      </c>
      <c r="BQ324" s="293">
        <f t="shared" ref="BQ324" si="7117">BP324</f>
        <v>261849</v>
      </c>
      <c r="BR324" s="293">
        <f>ROUND(BQ324*(1+取值表!$D$14),0)</f>
        <v>278345</v>
      </c>
      <c r="BS324" s="293">
        <f t="shared" ref="BS324" si="7118">BR324</f>
        <v>278345</v>
      </c>
      <c r="BT324" s="293">
        <f t="shared" ref="BT324" si="7119">BS324</f>
        <v>278345</v>
      </c>
      <c r="BU324" s="293">
        <f t="shared" ref="BU324" si="7120">BT324</f>
        <v>278345</v>
      </c>
      <c r="BV324" s="293">
        <f>ROUND(BU324*(1+取值表!$D$14),0)</f>
        <v>295881</v>
      </c>
      <c r="BW324" s="293">
        <f t="shared" ref="BW324" si="7121">BV324</f>
        <v>295881</v>
      </c>
      <c r="BX324" s="293">
        <f t="shared" ref="BX324" si="7122">BW324</f>
        <v>295881</v>
      </c>
      <c r="BY324" s="293">
        <f t="shared" ref="BY324" si="7123">BX324</f>
        <v>295881</v>
      </c>
      <c r="BZ324" s="293">
        <f>ROUND(BY324*(1+取值表!$D$14),0)</f>
        <v>314522</v>
      </c>
      <c r="CA324" s="293">
        <f t="shared" ref="CA324" si="7124">BZ324</f>
        <v>314522</v>
      </c>
      <c r="CB324" s="293">
        <f t="shared" ref="CB324" si="7125">CA324</f>
        <v>314522</v>
      </c>
      <c r="CC324" s="293">
        <f t="shared" ref="CC324" si="7126">CB324</f>
        <v>314522</v>
      </c>
      <c r="CD324" s="293">
        <f>ROUND(CC324*(1+取值表!$D$14),0)</f>
        <v>334337</v>
      </c>
      <c r="CE324" s="293">
        <f t="shared" ref="CE324" si="7127">CD324</f>
        <v>334337</v>
      </c>
      <c r="CF324" s="293">
        <f t="shared" ref="CF324" si="7128">CE324</f>
        <v>334337</v>
      </c>
      <c r="CG324" s="293">
        <f t="shared" ref="CG324" si="7129">CF324</f>
        <v>334337</v>
      </c>
      <c r="CH324" s="293">
        <f>ROUND(CG324*(1+取值表!$D$14),0)</f>
        <v>355400</v>
      </c>
      <c r="CI324" s="293">
        <f>CH324</f>
        <v>355400</v>
      </c>
      <c r="CJ324" s="293">
        <f t="shared" ref="CJ324" si="7130">CI324</f>
        <v>355400</v>
      </c>
      <c r="CK324" s="293">
        <f t="shared" ref="CK324" si="7131">CJ324</f>
        <v>355400</v>
      </c>
      <c r="CL324" s="293">
        <f>ROUND(CK324*(1+取值表!$D$14),0)</f>
        <v>377790</v>
      </c>
      <c r="CM324" s="293">
        <f>CL324</f>
        <v>377790</v>
      </c>
      <c r="CN324" s="293">
        <f t="shared" ref="CN324" si="7132">CM324</f>
        <v>377790</v>
      </c>
      <c r="CO324" s="293">
        <f t="shared" ref="CO324" si="7133">CN324</f>
        <v>377790</v>
      </c>
      <c r="CP324" s="293">
        <f t="shared" si="7102"/>
        <v>18457596</v>
      </c>
    </row>
    <row r="325" spans="1:212">
      <c r="A325" s="670"/>
      <c r="B325" s="672"/>
      <c r="C325" s="674"/>
      <c r="D325" s="676"/>
      <c r="E325" s="678"/>
      <c r="F325" s="666"/>
      <c r="G325" s="666"/>
      <c r="H325" s="668"/>
      <c r="I325" s="291"/>
      <c r="J325" s="295"/>
      <c r="K325" s="293"/>
      <c r="L325" s="293"/>
      <c r="M325" s="293"/>
      <c r="N325" s="293"/>
      <c r="O325" s="293"/>
      <c r="P325" s="293"/>
      <c r="Q325" s="293"/>
      <c r="R325" s="293"/>
      <c r="S325" s="293"/>
      <c r="T325" s="293"/>
      <c r="U325" s="293"/>
      <c r="V325" s="293"/>
      <c r="W325" s="293"/>
      <c r="X325" s="293"/>
      <c r="Y325" s="293"/>
      <c r="Z325" s="293"/>
      <c r="AA325" s="293"/>
      <c r="AB325" s="293"/>
      <c r="AC325" s="293"/>
      <c r="AD325" s="293"/>
      <c r="AE325" s="293"/>
      <c r="AF325" s="293"/>
      <c r="AG325" s="293"/>
      <c r="AH325" s="293"/>
      <c r="AI325" s="293"/>
      <c r="AJ325" s="293"/>
      <c r="AK325" s="293"/>
      <c r="AL325" s="293"/>
      <c r="AM325" s="293"/>
      <c r="AN325" s="293"/>
      <c r="AO325" s="293"/>
      <c r="AP325" s="293"/>
      <c r="AQ325" s="293"/>
      <c r="AR325" s="293"/>
      <c r="AS325" s="293"/>
      <c r="AT325" s="293"/>
      <c r="AU325" s="293"/>
      <c r="AV325" s="293"/>
      <c r="AW325" s="293"/>
      <c r="AX325" s="293"/>
      <c r="AY325" s="293"/>
      <c r="AZ325" s="293"/>
      <c r="BA325" s="293"/>
      <c r="BB325" s="293"/>
      <c r="BC325" s="293"/>
      <c r="BD325" s="293"/>
      <c r="BE325" s="293"/>
      <c r="BF325" s="293"/>
      <c r="BG325" s="293"/>
      <c r="BH325" s="293"/>
      <c r="BI325" s="293"/>
      <c r="BJ325" s="293"/>
      <c r="BK325" s="293"/>
      <c r="BL325" s="293"/>
      <c r="BM325" s="293"/>
      <c r="BN325" s="293"/>
      <c r="BO325" s="293"/>
      <c r="BP325" s="293"/>
      <c r="BQ325" s="293"/>
      <c r="BR325" s="293"/>
      <c r="BS325" s="293"/>
      <c r="BT325" s="293"/>
      <c r="BU325" s="293"/>
      <c r="BV325" s="293"/>
      <c r="BW325" s="293"/>
      <c r="BX325" s="293"/>
      <c r="BY325" s="293"/>
      <c r="BZ325" s="293"/>
      <c r="CA325" s="293"/>
      <c r="CB325" s="293"/>
      <c r="CC325" s="293"/>
      <c r="CD325" s="293"/>
      <c r="CE325" s="293"/>
      <c r="CF325" s="293"/>
      <c r="CG325" s="293"/>
      <c r="CH325" s="293"/>
      <c r="CI325" s="293"/>
      <c r="CJ325" s="293"/>
      <c r="CK325" s="293"/>
      <c r="CL325" s="293"/>
      <c r="CM325" s="293"/>
      <c r="CN325" s="293"/>
      <c r="CO325" s="293"/>
      <c r="CP325" s="293">
        <f t="shared" si="7102"/>
        <v>0</v>
      </c>
    </row>
    <row r="326" spans="1:212" ht="12" customHeight="1">
      <c r="A326" s="669">
        <v>167</v>
      </c>
      <c r="B326" s="671" t="s">
        <v>291</v>
      </c>
      <c r="C326" s="673" t="s">
        <v>292</v>
      </c>
      <c r="D326" s="675" t="s">
        <v>293</v>
      </c>
      <c r="E326" s="677" t="s">
        <v>522</v>
      </c>
      <c r="F326" s="665">
        <v>273.04000000000002</v>
      </c>
      <c r="G326" s="665">
        <v>5.5</v>
      </c>
      <c r="H326" s="667">
        <f>F326*G326*365</f>
        <v>548127.80000000005</v>
      </c>
      <c r="I326" s="291">
        <v>134540.46</v>
      </c>
      <c r="J326" s="295">
        <f>ROUND(G326*F326*365/4,0)</f>
        <v>137032</v>
      </c>
      <c r="K326" s="293">
        <f t="shared" ref="K326:R326" si="7134">J326</f>
        <v>137032</v>
      </c>
      <c r="L326" s="293">
        <f t="shared" si="7134"/>
        <v>137032</v>
      </c>
      <c r="M326" s="293">
        <f t="shared" si="7134"/>
        <v>137032</v>
      </c>
      <c r="N326" s="293">
        <f t="shared" si="7134"/>
        <v>137032</v>
      </c>
      <c r="O326" s="293">
        <f>N326</f>
        <v>137032</v>
      </c>
      <c r="P326" s="293">
        <f>O326</f>
        <v>137032</v>
      </c>
      <c r="Q326" s="293">
        <f>P326</f>
        <v>137032</v>
      </c>
      <c r="R326" s="292">
        <f t="shared" si="7134"/>
        <v>137032</v>
      </c>
      <c r="S326" s="293">
        <f>R326</f>
        <v>137032</v>
      </c>
      <c r="T326" s="293">
        <f>S326</f>
        <v>137032</v>
      </c>
      <c r="U326" s="293">
        <f>T326</f>
        <v>137032</v>
      </c>
      <c r="V326" s="293">
        <f>ROUND(U326*(1+取值表!$D$16)*取值表!$I$16,0)</f>
        <v>137071</v>
      </c>
      <c r="W326" s="293">
        <f>V326</f>
        <v>137071</v>
      </c>
      <c r="X326" s="293">
        <f>W326</f>
        <v>137071</v>
      </c>
      <c r="Y326" s="293">
        <f>X326</f>
        <v>137071</v>
      </c>
      <c r="Z326" s="294">
        <f>ROUND(Y326*(1+取值表!$D$16),0)</f>
        <v>145706</v>
      </c>
      <c r="AA326" s="293">
        <f t="shared" ref="AA326:AB326" si="7135">Z326</f>
        <v>145706</v>
      </c>
      <c r="AB326" s="293">
        <f t="shared" si="7135"/>
        <v>145706</v>
      </c>
      <c r="AC326" s="293">
        <f>AB326</f>
        <v>145706</v>
      </c>
      <c r="AD326" s="293">
        <f>ROUND(AC326*(1+取值表!$E$14),0)</f>
        <v>154885</v>
      </c>
      <c r="AE326" s="293">
        <f t="shared" ref="AE326:AG326" si="7136">AD326</f>
        <v>154885</v>
      </c>
      <c r="AF326" s="293">
        <f t="shared" si="7136"/>
        <v>154885</v>
      </c>
      <c r="AG326" s="293">
        <f t="shared" si="7136"/>
        <v>154885</v>
      </c>
      <c r="AH326" s="293">
        <f>ROUND(AG326*(1+取值表!$E$14),0)</f>
        <v>164643</v>
      </c>
      <c r="AI326" s="293">
        <f t="shared" ref="AI326" si="7137">AH326</f>
        <v>164643</v>
      </c>
      <c r="AJ326" s="293">
        <f t="shared" ref="AJ326" si="7138">AI326</f>
        <v>164643</v>
      </c>
      <c r="AK326" s="293">
        <f t="shared" ref="AK326" si="7139">AJ326</f>
        <v>164643</v>
      </c>
      <c r="AL326" s="293">
        <f>ROUND(AK326*(1+取值表!$E$14),0)</f>
        <v>175016</v>
      </c>
      <c r="AM326" s="293">
        <f t="shared" ref="AM326" si="7140">AL326</f>
        <v>175016</v>
      </c>
      <c r="AN326" s="293">
        <f t="shared" ref="AN326" si="7141">AM326</f>
        <v>175016</v>
      </c>
      <c r="AO326" s="293">
        <f t="shared" ref="AO326" si="7142">AN326</f>
        <v>175016</v>
      </c>
      <c r="AP326" s="293">
        <f>ROUND(AO326*(1+取值表!$E$14),0)</f>
        <v>186042</v>
      </c>
      <c r="AQ326" s="293">
        <f t="shared" ref="AQ326" si="7143">AP326</f>
        <v>186042</v>
      </c>
      <c r="AR326" s="293">
        <f t="shared" ref="AR326" si="7144">AQ326</f>
        <v>186042</v>
      </c>
      <c r="AS326" s="293">
        <f t="shared" ref="AS326" si="7145">AR326</f>
        <v>186042</v>
      </c>
      <c r="AT326" s="293">
        <f>ROUND(AS326*(1+取值表!$E$14),0)</f>
        <v>197763</v>
      </c>
      <c r="AU326" s="293">
        <f t="shared" ref="AU326" si="7146">AT326</f>
        <v>197763</v>
      </c>
      <c r="AV326" s="293">
        <f t="shared" ref="AV326" si="7147">AU326</f>
        <v>197763</v>
      </c>
      <c r="AW326" s="293">
        <f t="shared" ref="AW326" si="7148">AV326</f>
        <v>197763</v>
      </c>
      <c r="AX326" s="293">
        <f>ROUND(AW326*(1+取值表!$E$14),0)</f>
        <v>210222</v>
      </c>
      <c r="AY326" s="293">
        <f t="shared" ref="AY326" si="7149">AX326</f>
        <v>210222</v>
      </c>
      <c r="AZ326" s="293">
        <f t="shared" ref="AZ326" si="7150">AY326</f>
        <v>210222</v>
      </c>
      <c r="BA326" s="293">
        <f t="shared" ref="BA326" si="7151">AZ326</f>
        <v>210222</v>
      </c>
      <c r="BB326" s="293">
        <f>ROUND(BA326*(1+取值表!$E$14),0)</f>
        <v>223466</v>
      </c>
      <c r="BC326" s="293">
        <f>BB326</f>
        <v>223466</v>
      </c>
      <c r="BD326" s="293">
        <f t="shared" ref="BD326" si="7152">BC326</f>
        <v>223466</v>
      </c>
      <c r="BE326" s="293">
        <f>BD326</f>
        <v>223466</v>
      </c>
      <c r="BF326" s="293">
        <f>ROUND(BE326*(1+取值表!$E$14),0)</f>
        <v>237544</v>
      </c>
      <c r="BG326" s="293">
        <f>BF326</f>
        <v>237544</v>
      </c>
      <c r="BH326" s="293">
        <f t="shared" ref="BH326" si="7153">BG326</f>
        <v>237544</v>
      </c>
      <c r="BI326" s="293">
        <f t="shared" ref="BI326" si="7154">BH326</f>
        <v>237544</v>
      </c>
      <c r="BJ326" s="293">
        <f>ROUND(BI326*(1+取值表!$E$14),0)</f>
        <v>252509</v>
      </c>
      <c r="BK326" s="293">
        <f t="shared" ref="BK326" si="7155">BJ326</f>
        <v>252509</v>
      </c>
      <c r="BL326" s="293">
        <f t="shared" ref="BL326" si="7156">BK326</f>
        <v>252509</v>
      </c>
      <c r="BM326" s="293">
        <f t="shared" ref="BM326" si="7157">BL326</f>
        <v>252509</v>
      </c>
      <c r="BN326" s="293">
        <f>ROUND(BM326*(1+取值表!$E$14),0)</f>
        <v>268417</v>
      </c>
      <c r="BO326" s="293">
        <f t="shared" ref="BO326" si="7158">BN326</f>
        <v>268417</v>
      </c>
      <c r="BP326" s="293">
        <f t="shared" ref="BP326" si="7159">BO326</f>
        <v>268417</v>
      </c>
      <c r="BQ326" s="293">
        <f t="shared" ref="BQ326" si="7160">BP326</f>
        <v>268417</v>
      </c>
      <c r="BR326" s="293">
        <f>ROUND(BQ326*(1+取值表!$E$14),0)</f>
        <v>285327</v>
      </c>
      <c r="BS326" s="293">
        <f t="shared" ref="BS326" si="7161">BR326</f>
        <v>285327</v>
      </c>
      <c r="BT326" s="293">
        <f t="shared" ref="BT326" si="7162">BS326</f>
        <v>285327</v>
      </c>
      <c r="BU326" s="293">
        <f t="shared" ref="BU326" si="7163">BT326</f>
        <v>285327</v>
      </c>
      <c r="BV326" s="293">
        <f>ROUND(BU326*(1+取值表!$E$14),0)</f>
        <v>303303</v>
      </c>
      <c r="BW326" s="293">
        <f t="shared" ref="BW326" si="7164">BV326</f>
        <v>303303</v>
      </c>
      <c r="BX326" s="293">
        <f t="shared" ref="BX326" si="7165">BW326</f>
        <v>303303</v>
      </c>
      <c r="BY326" s="293">
        <f t="shared" ref="BY326" si="7166">BX326</f>
        <v>303303</v>
      </c>
      <c r="BZ326" s="293">
        <f>ROUND(BY326*(1+取值表!$E$14),0)</f>
        <v>322411</v>
      </c>
      <c r="CA326" s="293">
        <f t="shared" ref="CA326" si="7167">BZ326</f>
        <v>322411</v>
      </c>
      <c r="CB326" s="293">
        <f t="shared" ref="CB326" si="7168">CA326</f>
        <v>322411</v>
      </c>
      <c r="CC326" s="293">
        <f t="shared" ref="CC326" si="7169">CB326</f>
        <v>322411</v>
      </c>
      <c r="CD326" s="293">
        <f>ROUND(CC326*(1+取值表!$E$14),0)</f>
        <v>342723</v>
      </c>
      <c r="CE326" s="293">
        <f t="shared" ref="CE326" si="7170">CD326</f>
        <v>342723</v>
      </c>
      <c r="CF326" s="293">
        <f t="shared" ref="CF326" si="7171">CE326</f>
        <v>342723</v>
      </c>
      <c r="CG326" s="293">
        <f t="shared" ref="CG326" si="7172">CF326</f>
        <v>342723</v>
      </c>
      <c r="CH326" s="293">
        <f>ROUND(CG326*(1+取值表!$E$14),0)</f>
        <v>364315</v>
      </c>
      <c r="CI326" s="293">
        <f>CH326</f>
        <v>364315</v>
      </c>
      <c r="CJ326" s="293">
        <f t="shared" ref="CJ326" si="7173">CI326</f>
        <v>364315</v>
      </c>
      <c r="CK326" s="293">
        <f t="shared" ref="CK326" si="7174">CJ326</f>
        <v>364315</v>
      </c>
      <c r="CL326" s="293">
        <f>ROUND(CK326*(1+取值表!$E$14),0)</f>
        <v>387267</v>
      </c>
      <c r="CM326" s="293">
        <f>CL326</f>
        <v>387267</v>
      </c>
      <c r="CN326" s="293">
        <f t="shared" ref="CN326" si="7175">CM326</f>
        <v>387267</v>
      </c>
      <c r="CO326" s="293">
        <f t="shared" ref="CO326" si="7176">CN326</f>
        <v>387267</v>
      </c>
      <c r="CP326" s="293">
        <f t="shared" si="7102"/>
        <v>19078904</v>
      </c>
    </row>
    <row r="327" spans="1:212">
      <c r="A327" s="670"/>
      <c r="B327" s="672"/>
      <c r="C327" s="674"/>
      <c r="D327" s="676"/>
      <c r="E327" s="678"/>
      <c r="F327" s="666"/>
      <c r="G327" s="666"/>
      <c r="H327" s="668"/>
      <c r="I327" s="291"/>
      <c r="J327" s="295"/>
      <c r="K327" s="293"/>
      <c r="L327" s="293"/>
      <c r="M327" s="293"/>
      <c r="N327" s="293"/>
      <c r="O327" s="293"/>
      <c r="P327" s="293"/>
      <c r="Q327" s="293"/>
      <c r="R327" s="293"/>
      <c r="S327" s="293"/>
      <c r="T327" s="293"/>
      <c r="U327" s="293"/>
      <c r="V327" s="293"/>
      <c r="W327" s="293"/>
      <c r="X327" s="293"/>
      <c r="Y327" s="293"/>
      <c r="Z327" s="293"/>
      <c r="AA327" s="293"/>
      <c r="AB327" s="293"/>
      <c r="AC327" s="293"/>
      <c r="AD327" s="293"/>
      <c r="AE327" s="293"/>
      <c r="AF327" s="293"/>
      <c r="AG327" s="293"/>
      <c r="AH327" s="293"/>
      <c r="AI327" s="293"/>
      <c r="AJ327" s="293"/>
      <c r="AK327" s="293"/>
      <c r="AL327" s="293"/>
      <c r="AM327" s="293"/>
      <c r="AN327" s="293"/>
      <c r="AO327" s="293"/>
      <c r="AP327" s="293"/>
      <c r="AQ327" s="293"/>
      <c r="AR327" s="293"/>
      <c r="AS327" s="293"/>
      <c r="AT327" s="293"/>
      <c r="AU327" s="293"/>
      <c r="AV327" s="293"/>
      <c r="AW327" s="293"/>
      <c r="AX327" s="293"/>
      <c r="AY327" s="293"/>
      <c r="AZ327" s="293"/>
      <c r="BA327" s="293"/>
      <c r="BB327" s="293"/>
      <c r="BC327" s="293"/>
      <c r="BD327" s="293"/>
      <c r="BE327" s="293"/>
      <c r="BF327" s="293"/>
      <c r="BG327" s="293"/>
      <c r="BH327" s="293"/>
      <c r="BI327" s="293"/>
      <c r="BJ327" s="293"/>
      <c r="BK327" s="293"/>
      <c r="BL327" s="293"/>
      <c r="BM327" s="293"/>
      <c r="BN327" s="293"/>
      <c r="BO327" s="293"/>
      <c r="BP327" s="293"/>
      <c r="BQ327" s="293"/>
      <c r="BR327" s="293"/>
      <c r="BS327" s="293"/>
      <c r="BT327" s="293"/>
      <c r="BU327" s="293"/>
      <c r="BV327" s="293"/>
      <c r="BW327" s="293"/>
      <c r="BX327" s="293"/>
      <c r="BY327" s="293"/>
      <c r="BZ327" s="293"/>
      <c r="CA327" s="293"/>
      <c r="CB327" s="293"/>
      <c r="CC327" s="293"/>
      <c r="CD327" s="293"/>
      <c r="CE327" s="293"/>
      <c r="CF327" s="293"/>
      <c r="CG327" s="293"/>
      <c r="CH327" s="293"/>
      <c r="CI327" s="293"/>
      <c r="CJ327" s="293"/>
      <c r="CK327" s="293"/>
      <c r="CL327" s="293"/>
      <c r="CM327" s="293"/>
      <c r="CN327" s="293"/>
      <c r="CO327" s="293"/>
      <c r="CP327" s="293">
        <f t="shared" si="7102"/>
        <v>0</v>
      </c>
    </row>
    <row r="328" spans="1:212" ht="12" customHeight="1">
      <c r="A328" s="669">
        <v>168</v>
      </c>
      <c r="B328" s="671" t="s">
        <v>294</v>
      </c>
      <c r="C328" s="673" t="s">
        <v>295</v>
      </c>
      <c r="D328" s="675" t="s">
        <v>523</v>
      </c>
      <c r="E328" s="677" t="s">
        <v>522</v>
      </c>
      <c r="F328" s="665">
        <v>182.57</v>
      </c>
      <c r="G328" s="665">
        <f>AVERAGE(12,12.5,13)</f>
        <v>12.5</v>
      </c>
      <c r="H328" s="667">
        <f>F328*G328*365</f>
        <v>832975.625</v>
      </c>
      <c r="I328" s="291">
        <v>208243.91</v>
      </c>
      <c r="J328" s="295">
        <f>ROUND(G328*F328*365/4,0)</f>
        <v>208244</v>
      </c>
      <c r="K328" s="293">
        <f>J328</f>
        <v>208244</v>
      </c>
      <c r="L328" s="293">
        <f>ROUND(13*365*F328/4,0)</f>
        <v>216574</v>
      </c>
      <c r="M328" s="293">
        <f>L328</f>
        <v>216574</v>
      </c>
      <c r="N328" s="293">
        <f>M328</f>
        <v>216574</v>
      </c>
      <c r="O328" s="292">
        <f>N328</f>
        <v>216574</v>
      </c>
      <c r="P328" s="293">
        <f>O328</f>
        <v>216574</v>
      </c>
      <c r="Q328" s="293">
        <f>P328</f>
        <v>216574</v>
      </c>
      <c r="R328" s="293">
        <f>ROUND(Q328*(1+取值表!$D$16)*取值表!$I$16,0)</f>
        <v>216635</v>
      </c>
      <c r="S328" s="293">
        <f>R328</f>
        <v>216635</v>
      </c>
      <c r="T328" s="293">
        <f>S328</f>
        <v>216635</v>
      </c>
      <c r="U328" s="293">
        <f>T328</f>
        <v>216635</v>
      </c>
      <c r="V328" s="294">
        <f>ROUND(U328*(1+取值表!$D$16),0)</f>
        <v>230283</v>
      </c>
      <c r="W328" s="293">
        <f>V328</f>
        <v>230283</v>
      </c>
      <c r="X328" s="293">
        <f>W328</f>
        <v>230283</v>
      </c>
      <c r="Y328" s="293">
        <f>X328</f>
        <v>230283</v>
      </c>
      <c r="Z328" s="293">
        <f>ROUND(Y328*(1+取值表!$D$16),0)</f>
        <v>244791</v>
      </c>
      <c r="AA328" s="293">
        <f t="shared" ref="AA328:AB328" si="7177">Z328</f>
        <v>244791</v>
      </c>
      <c r="AB328" s="293">
        <f t="shared" si="7177"/>
        <v>244791</v>
      </c>
      <c r="AC328" s="293">
        <f>AB328</f>
        <v>244791</v>
      </c>
      <c r="AD328" s="293">
        <f>ROUND(AC328*(1+取值表!$D$16),0)</f>
        <v>260213</v>
      </c>
      <c r="AE328" s="293">
        <f t="shared" ref="AE328" si="7178">AD328</f>
        <v>260213</v>
      </c>
      <c r="AF328" s="293">
        <f t="shared" ref="AF328" si="7179">AE328</f>
        <v>260213</v>
      </c>
      <c r="AG328" s="293">
        <f t="shared" ref="AG328" si="7180">AF328</f>
        <v>260213</v>
      </c>
      <c r="AH328" s="293">
        <f>ROUND(AG328*(1+取值表!$D$16),0)</f>
        <v>276606</v>
      </c>
      <c r="AI328" s="293">
        <f t="shared" ref="AI328" si="7181">AH328</f>
        <v>276606</v>
      </c>
      <c r="AJ328" s="293">
        <f t="shared" ref="AJ328" si="7182">AI328</f>
        <v>276606</v>
      </c>
      <c r="AK328" s="293">
        <f t="shared" ref="AK328" si="7183">AJ328</f>
        <v>276606</v>
      </c>
      <c r="AL328" s="293">
        <f>ROUND(AK328*(1+取值表!$D$16),0)</f>
        <v>294032</v>
      </c>
      <c r="AM328" s="293">
        <f t="shared" ref="AM328" si="7184">AL328</f>
        <v>294032</v>
      </c>
      <c r="AN328" s="293">
        <f t="shared" ref="AN328" si="7185">AM328</f>
        <v>294032</v>
      </c>
      <c r="AO328" s="293">
        <f t="shared" ref="AO328" si="7186">AN328</f>
        <v>294032</v>
      </c>
      <c r="AP328" s="293">
        <f>ROUND(AO328*(1+取值表!$D$16),0)</f>
        <v>312556</v>
      </c>
      <c r="AQ328" s="293">
        <f t="shared" ref="AQ328" si="7187">AP328</f>
        <v>312556</v>
      </c>
      <c r="AR328" s="293">
        <f t="shared" ref="AR328" si="7188">AQ328</f>
        <v>312556</v>
      </c>
      <c r="AS328" s="293">
        <f t="shared" ref="AS328" si="7189">AR328</f>
        <v>312556</v>
      </c>
      <c r="AT328" s="293">
        <f>ROUND(AS328*(1+取值表!$D$16),0)</f>
        <v>332247</v>
      </c>
      <c r="AU328" s="293">
        <f t="shared" ref="AU328" si="7190">AT328</f>
        <v>332247</v>
      </c>
      <c r="AV328" s="293">
        <f t="shared" ref="AV328" si="7191">AU328</f>
        <v>332247</v>
      </c>
      <c r="AW328" s="293">
        <f t="shared" ref="AW328" si="7192">AV328</f>
        <v>332247</v>
      </c>
      <c r="AX328" s="293">
        <f>ROUND(AW328*(1+取值表!$D$16),0)</f>
        <v>353179</v>
      </c>
      <c r="AY328" s="293">
        <f t="shared" ref="AY328" si="7193">AX328</f>
        <v>353179</v>
      </c>
      <c r="AZ328" s="293">
        <f t="shared" ref="AZ328" si="7194">AY328</f>
        <v>353179</v>
      </c>
      <c r="BA328" s="293">
        <f t="shared" ref="BA328" si="7195">AZ328</f>
        <v>353179</v>
      </c>
      <c r="BB328" s="293">
        <f>ROUND(BA328*(1+取值表!$D$16),0)</f>
        <v>375429</v>
      </c>
      <c r="BC328" s="293">
        <f>BB328</f>
        <v>375429</v>
      </c>
      <c r="BD328" s="293">
        <f t="shared" ref="BD328" si="7196">BC328</f>
        <v>375429</v>
      </c>
      <c r="BE328" s="293">
        <f>BD328</f>
        <v>375429</v>
      </c>
      <c r="BF328" s="293">
        <f>ROUND(BE328*(1+取值表!$D$16),0)</f>
        <v>399081</v>
      </c>
      <c r="BG328" s="293">
        <f>BF328</f>
        <v>399081</v>
      </c>
      <c r="BH328" s="293">
        <f t="shared" ref="BH328" si="7197">BG328</f>
        <v>399081</v>
      </c>
      <c r="BI328" s="293">
        <f t="shared" ref="BI328" si="7198">BH328</f>
        <v>399081</v>
      </c>
      <c r="BJ328" s="293">
        <f>ROUND(BI328*(1+取值表!$D$16),0)</f>
        <v>424223</v>
      </c>
      <c r="BK328" s="293">
        <f t="shared" ref="BK328" si="7199">BJ328</f>
        <v>424223</v>
      </c>
      <c r="BL328" s="293">
        <f t="shared" ref="BL328" si="7200">BK328</f>
        <v>424223</v>
      </c>
      <c r="BM328" s="293">
        <f t="shared" ref="BM328" si="7201">BL328</f>
        <v>424223</v>
      </c>
      <c r="BN328" s="293">
        <f>ROUND(BM328*(1+取值表!$D$16),0)</f>
        <v>450949</v>
      </c>
      <c r="BO328" s="293">
        <f t="shared" ref="BO328" si="7202">BN328</f>
        <v>450949</v>
      </c>
      <c r="BP328" s="293">
        <f t="shared" ref="BP328" si="7203">BO328</f>
        <v>450949</v>
      </c>
      <c r="BQ328" s="293">
        <f t="shared" ref="BQ328" si="7204">BP328</f>
        <v>450949</v>
      </c>
      <c r="BR328" s="293">
        <f>ROUND(BQ328*(1+取值表!$D$16),0)</f>
        <v>479359</v>
      </c>
      <c r="BS328" s="293">
        <f t="shared" ref="BS328" si="7205">BR328</f>
        <v>479359</v>
      </c>
      <c r="BT328" s="293">
        <f t="shared" ref="BT328" si="7206">BS328</f>
        <v>479359</v>
      </c>
      <c r="BU328" s="293">
        <f t="shared" ref="BU328" si="7207">BT328</f>
        <v>479359</v>
      </c>
      <c r="BV328" s="293">
        <f>ROUND(BU328*(1+取值表!$D$16),0)</f>
        <v>509559</v>
      </c>
      <c r="BW328" s="293">
        <f t="shared" ref="BW328" si="7208">BV328</f>
        <v>509559</v>
      </c>
      <c r="BX328" s="293">
        <f t="shared" ref="BX328" si="7209">BW328</f>
        <v>509559</v>
      </c>
      <c r="BY328" s="293">
        <f t="shared" ref="BY328" si="7210">BX328</f>
        <v>509559</v>
      </c>
      <c r="BZ328" s="293">
        <f>ROUND(BY328*(1+取值表!$D$16),0)</f>
        <v>541661</v>
      </c>
      <c r="CA328" s="293">
        <f t="shared" ref="CA328" si="7211">BZ328</f>
        <v>541661</v>
      </c>
      <c r="CB328" s="293">
        <f t="shared" ref="CB328" si="7212">CA328</f>
        <v>541661</v>
      </c>
      <c r="CC328" s="293">
        <f t="shared" ref="CC328" si="7213">CB328</f>
        <v>541661</v>
      </c>
      <c r="CD328" s="293">
        <f>ROUND(CC328*(1+取值表!$D$16),0)</f>
        <v>575786</v>
      </c>
      <c r="CE328" s="293">
        <f t="shared" ref="CE328" si="7214">CD328</f>
        <v>575786</v>
      </c>
      <c r="CF328" s="293">
        <f t="shared" ref="CF328" si="7215">CE328</f>
        <v>575786</v>
      </c>
      <c r="CG328" s="293">
        <f t="shared" ref="CG328" si="7216">CF328</f>
        <v>575786</v>
      </c>
      <c r="CH328" s="293">
        <f>ROUND(CG328*(1+取值表!$D$16),0)</f>
        <v>612061</v>
      </c>
      <c r="CI328" s="293">
        <f>CH328</f>
        <v>612061</v>
      </c>
      <c r="CJ328" s="293">
        <f t="shared" ref="CJ328" si="7217">CI328</f>
        <v>612061</v>
      </c>
      <c r="CK328" s="293">
        <f t="shared" ref="CK328" si="7218">CJ328</f>
        <v>612061</v>
      </c>
      <c r="CL328" s="293">
        <f>ROUND(CK328*(1+取值表!$D$16),0)</f>
        <v>650621</v>
      </c>
      <c r="CM328" s="293">
        <f>CL328</f>
        <v>650621</v>
      </c>
      <c r="CN328" s="293">
        <f t="shared" ref="CN328" si="7219">CM328</f>
        <v>650621</v>
      </c>
      <c r="CO328" s="293">
        <f t="shared" ref="CO328" si="7220">CN328</f>
        <v>650621</v>
      </c>
      <c r="CP328" s="293">
        <f t="shared" si="7102"/>
        <v>31873016</v>
      </c>
    </row>
    <row r="329" spans="1:212">
      <c r="A329" s="670"/>
      <c r="B329" s="672"/>
      <c r="C329" s="674"/>
      <c r="D329" s="676"/>
      <c r="E329" s="678"/>
      <c r="F329" s="666"/>
      <c r="G329" s="666"/>
      <c r="H329" s="668"/>
      <c r="I329" s="291"/>
      <c r="J329" s="295"/>
      <c r="K329" s="293"/>
      <c r="L329" s="293"/>
      <c r="M329" s="293"/>
      <c r="N329" s="293"/>
      <c r="O329" s="293"/>
      <c r="P329" s="293"/>
      <c r="Q329" s="293"/>
      <c r="R329" s="293"/>
      <c r="S329" s="293"/>
      <c r="T329" s="293"/>
      <c r="U329" s="293"/>
      <c r="V329" s="293"/>
      <c r="W329" s="293"/>
      <c r="X329" s="293"/>
      <c r="Y329" s="293"/>
      <c r="Z329" s="293"/>
      <c r="AA329" s="293"/>
      <c r="AB329" s="293"/>
      <c r="AC329" s="293"/>
      <c r="AD329" s="293"/>
      <c r="AE329" s="293"/>
      <c r="AF329" s="293"/>
      <c r="AG329" s="293"/>
      <c r="AH329" s="293"/>
      <c r="AI329" s="293"/>
      <c r="AJ329" s="293"/>
      <c r="AK329" s="293"/>
      <c r="AL329" s="293"/>
      <c r="AM329" s="293"/>
      <c r="AN329" s="293"/>
      <c r="AO329" s="293"/>
      <c r="AP329" s="293"/>
      <c r="AQ329" s="293"/>
      <c r="AR329" s="293"/>
      <c r="AS329" s="293"/>
      <c r="AT329" s="293"/>
      <c r="AU329" s="293"/>
      <c r="AV329" s="293"/>
      <c r="AW329" s="293"/>
      <c r="AX329" s="293"/>
      <c r="AY329" s="293"/>
      <c r="AZ329" s="293"/>
      <c r="BA329" s="293"/>
      <c r="BB329" s="293"/>
      <c r="BC329" s="293"/>
      <c r="BD329" s="293"/>
      <c r="BE329" s="293"/>
      <c r="BF329" s="293"/>
      <c r="BG329" s="293"/>
      <c r="BH329" s="293"/>
      <c r="BI329" s="293"/>
      <c r="BJ329" s="293"/>
      <c r="BK329" s="293"/>
      <c r="BL329" s="293"/>
      <c r="BM329" s="293"/>
      <c r="BN329" s="293"/>
      <c r="BO329" s="293"/>
      <c r="BP329" s="293"/>
      <c r="BQ329" s="293"/>
      <c r="BR329" s="293"/>
      <c r="BS329" s="293"/>
      <c r="BT329" s="293"/>
      <c r="BU329" s="293"/>
      <c r="BV329" s="293"/>
      <c r="BW329" s="293"/>
      <c r="BX329" s="293"/>
      <c r="BY329" s="293"/>
      <c r="BZ329" s="293"/>
      <c r="CA329" s="293"/>
      <c r="CB329" s="293"/>
      <c r="CC329" s="293"/>
      <c r="CD329" s="293"/>
      <c r="CE329" s="293"/>
      <c r="CF329" s="293"/>
      <c r="CG329" s="293"/>
      <c r="CH329" s="293"/>
      <c r="CI329" s="293"/>
      <c r="CJ329" s="293"/>
      <c r="CK329" s="293"/>
      <c r="CL329" s="293"/>
      <c r="CM329" s="293"/>
      <c r="CN329" s="293"/>
      <c r="CO329" s="293"/>
      <c r="CP329" s="293">
        <f t="shared" si="7102"/>
        <v>0</v>
      </c>
    </row>
    <row r="330" spans="1:212" ht="12" customHeight="1">
      <c r="A330" s="669">
        <v>169</v>
      </c>
      <c r="B330" s="671" t="s">
        <v>296</v>
      </c>
      <c r="C330" s="673" t="s">
        <v>297</v>
      </c>
      <c r="D330" s="675" t="s">
        <v>298</v>
      </c>
      <c r="E330" s="677" t="s">
        <v>522</v>
      </c>
      <c r="F330" s="665">
        <v>366.85</v>
      </c>
      <c r="G330" s="665">
        <f>AVERAGE(8.5,7.5)</f>
        <v>8</v>
      </c>
      <c r="H330" s="667">
        <f>F330*G330*365</f>
        <v>1071202</v>
      </c>
      <c r="I330" s="291">
        <v>267800.5</v>
      </c>
      <c r="J330" s="295">
        <f>ROUND(7.5*F330*365/4,0)</f>
        <v>251063</v>
      </c>
      <c r="K330" s="293">
        <f>J330</f>
        <v>251063</v>
      </c>
      <c r="L330" s="293">
        <f>K330</f>
        <v>251063</v>
      </c>
      <c r="M330" s="293">
        <f>L330</f>
        <v>251063</v>
      </c>
      <c r="N330" s="293">
        <f>ROUND(8.5*F330*365/4,0)</f>
        <v>284538</v>
      </c>
      <c r="O330" s="293">
        <f>N330</f>
        <v>284538</v>
      </c>
      <c r="P330" s="293">
        <f>O330</f>
        <v>284538</v>
      </c>
      <c r="Q330" s="293">
        <f>P330</f>
        <v>284538</v>
      </c>
      <c r="R330" s="292">
        <f t="shared" ref="R330:T330" si="7221">Q330</f>
        <v>284538</v>
      </c>
      <c r="S330" s="293">
        <f t="shared" si="7221"/>
        <v>284538</v>
      </c>
      <c r="T330" s="293">
        <f t="shared" si="7221"/>
        <v>284538</v>
      </c>
      <c r="U330" s="293">
        <f>T330</f>
        <v>284538</v>
      </c>
      <c r="V330" s="293">
        <f>ROUND(U330*(1+取值表!$D$16)*取值表!$I$16,0)</f>
        <v>284619</v>
      </c>
      <c r="W330" s="293">
        <f>V330</f>
        <v>284619</v>
      </c>
      <c r="X330" s="293">
        <f>W330</f>
        <v>284619</v>
      </c>
      <c r="Y330" s="293">
        <f>X330</f>
        <v>284619</v>
      </c>
      <c r="Z330" s="294">
        <f>ROUND(Y330*(1+取值表!$D$16),0)</f>
        <v>302550</v>
      </c>
      <c r="AA330" s="293">
        <f t="shared" ref="AA330:AB330" si="7222">Z330</f>
        <v>302550</v>
      </c>
      <c r="AB330" s="293">
        <f t="shared" si="7222"/>
        <v>302550</v>
      </c>
      <c r="AC330" s="293">
        <f>AB330</f>
        <v>302550</v>
      </c>
      <c r="AD330" s="293">
        <f>ROUND(AC330*(1+取值表!$D$16),0)</f>
        <v>321611</v>
      </c>
      <c r="AE330" s="293">
        <f t="shared" ref="AE330:AG330" si="7223">AD330</f>
        <v>321611</v>
      </c>
      <c r="AF330" s="293">
        <f t="shared" si="7223"/>
        <v>321611</v>
      </c>
      <c r="AG330" s="293">
        <f t="shared" si="7223"/>
        <v>321611</v>
      </c>
      <c r="AH330" s="293">
        <f>ROUND(AG330*(1+取值表!$D$16),0)</f>
        <v>341872</v>
      </c>
      <c r="AI330" s="293">
        <f t="shared" ref="AI330" si="7224">AH330</f>
        <v>341872</v>
      </c>
      <c r="AJ330" s="293">
        <f t="shared" ref="AJ330" si="7225">AI330</f>
        <v>341872</v>
      </c>
      <c r="AK330" s="293">
        <f t="shared" ref="AK330" si="7226">AJ330</f>
        <v>341872</v>
      </c>
      <c r="AL330" s="293">
        <f>ROUND(AK330*(1+取值表!$D$16),0)</f>
        <v>363410</v>
      </c>
      <c r="AM330" s="293">
        <f t="shared" ref="AM330" si="7227">AL330</f>
        <v>363410</v>
      </c>
      <c r="AN330" s="293">
        <f t="shared" ref="AN330" si="7228">AM330</f>
        <v>363410</v>
      </c>
      <c r="AO330" s="293">
        <f t="shared" ref="AO330" si="7229">AN330</f>
        <v>363410</v>
      </c>
      <c r="AP330" s="293">
        <f>ROUND(AO330*(1+取值表!$D$16),0)</f>
        <v>386305</v>
      </c>
      <c r="AQ330" s="293">
        <f t="shared" ref="AQ330" si="7230">AP330</f>
        <v>386305</v>
      </c>
      <c r="AR330" s="293">
        <f t="shared" ref="AR330" si="7231">AQ330</f>
        <v>386305</v>
      </c>
      <c r="AS330" s="293">
        <f t="shared" ref="AS330" si="7232">AR330</f>
        <v>386305</v>
      </c>
      <c r="AT330" s="293">
        <f>ROUND(AS330*(1+取值表!$D$16),0)</f>
        <v>410642</v>
      </c>
      <c r="AU330" s="293">
        <f t="shared" ref="AU330" si="7233">AT330</f>
        <v>410642</v>
      </c>
      <c r="AV330" s="293">
        <f t="shared" ref="AV330" si="7234">AU330</f>
        <v>410642</v>
      </c>
      <c r="AW330" s="293">
        <f t="shared" ref="AW330" si="7235">AV330</f>
        <v>410642</v>
      </c>
      <c r="AX330" s="293">
        <f>ROUND(AW330*(1+取值表!$D$16),0)</f>
        <v>436512</v>
      </c>
      <c r="AY330" s="293">
        <f t="shared" ref="AY330" si="7236">AX330</f>
        <v>436512</v>
      </c>
      <c r="AZ330" s="293">
        <f t="shared" ref="AZ330" si="7237">AY330</f>
        <v>436512</v>
      </c>
      <c r="BA330" s="293">
        <f t="shared" ref="BA330" si="7238">AZ330</f>
        <v>436512</v>
      </c>
      <c r="BB330" s="293">
        <f>ROUND(BA330*(1+取值表!$D$16),0)</f>
        <v>464012</v>
      </c>
      <c r="BC330" s="293">
        <f>BB330</f>
        <v>464012</v>
      </c>
      <c r="BD330" s="293">
        <f t="shared" ref="BD330" si="7239">BC330</f>
        <v>464012</v>
      </c>
      <c r="BE330" s="293">
        <f>BD330</f>
        <v>464012</v>
      </c>
      <c r="BF330" s="293">
        <f>ROUND(BE330*(1+取值表!$D$16),0)</f>
        <v>493245</v>
      </c>
      <c r="BG330" s="293">
        <f>BF330</f>
        <v>493245</v>
      </c>
      <c r="BH330" s="293">
        <f t="shared" ref="BH330" si="7240">BG330</f>
        <v>493245</v>
      </c>
      <c r="BI330" s="293">
        <f t="shared" ref="BI330" si="7241">BH330</f>
        <v>493245</v>
      </c>
      <c r="BJ330" s="293">
        <f>ROUND(BI330*(1+取值表!$D$16),0)</f>
        <v>524319</v>
      </c>
      <c r="BK330" s="293">
        <f t="shared" ref="BK330" si="7242">BJ330</f>
        <v>524319</v>
      </c>
      <c r="BL330" s="293">
        <f t="shared" ref="BL330" si="7243">BK330</f>
        <v>524319</v>
      </c>
      <c r="BM330" s="293">
        <f t="shared" ref="BM330" si="7244">BL330</f>
        <v>524319</v>
      </c>
      <c r="BN330" s="293">
        <f>ROUND(BM330*(1+取值表!$D$16),0)</f>
        <v>557351</v>
      </c>
      <c r="BO330" s="293">
        <f t="shared" ref="BO330" si="7245">BN330</f>
        <v>557351</v>
      </c>
      <c r="BP330" s="293">
        <f t="shared" ref="BP330" si="7246">BO330</f>
        <v>557351</v>
      </c>
      <c r="BQ330" s="293">
        <f t="shared" ref="BQ330" si="7247">BP330</f>
        <v>557351</v>
      </c>
      <c r="BR330" s="293">
        <f>ROUND(BQ330*(1+取值表!$D$16),0)</f>
        <v>592464</v>
      </c>
      <c r="BS330" s="293">
        <f t="shared" ref="BS330" si="7248">BR330</f>
        <v>592464</v>
      </c>
      <c r="BT330" s="293">
        <f t="shared" ref="BT330" si="7249">BS330</f>
        <v>592464</v>
      </c>
      <c r="BU330" s="293">
        <f t="shared" ref="BU330" si="7250">BT330</f>
        <v>592464</v>
      </c>
      <c r="BV330" s="293">
        <f>ROUND(BU330*(1+取值表!$D$16),0)</f>
        <v>629789</v>
      </c>
      <c r="BW330" s="293">
        <f t="shared" ref="BW330" si="7251">BV330</f>
        <v>629789</v>
      </c>
      <c r="BX330" s="293">
        <f t="shared" ref="BX330" si="7252">BW330</f>
        <v>629789</v>
      </c>
      <c r="BY330" s="293">
        <f t="shared" ref="BY330" si="7253">BX330</f>
        <v>629789</v>
      </c>
      <c r="BZ330" s="293">
        <f>ROUND(BY330*(1+取值表!$D$16),0)</f>
        <v>669466</v>
      </c>
      <c r="CA330" s="293">
        <f t="shared" ref="CA330" si="7254">BZ330</f>
        <v>669466</v>
      </c>
      <c r="CB330" s="293">
        <f t="shared" ref="CB330" si="7255">CA330</f>
        <v>669466</v>
      </c>
      <c r="CC330" s="293">
        <f t="shared" ref="CC330" si="7256">CB330</f>
        <v>669466</v>
      </c>
      <c r="CD330" s="293">
        <f>ROUND(CC330*(1+取值表!$D$16),0)</f>
        <v>711642</v>
      </c>
      <c r="CE330" s="293">
        <f t="shared" ref="CE330" si="7257">CD330</f>
        <v>711642</v>
      </c>
      <c r="CF330" s="293">
        <f t="shared" ref="CF330" si="7258">CE330</f>
        <v>711642</v>
      </c>
      <c r="CG330" s="293">
        <f t="shared" ref="CG330" si="7259">CF330</f>
        <v>711642</v>
      </c>
      <c r="CH330" s="293">
        <f>ROUND(CG330*(1+取值表!$D$16),0)</f>
        <v>756475</v>
      </c>
      <c r="CI330" s="293">
        <f>CH330</f>
        <v>756475</v>
      </c>
      <c r="CJ330" s="293">
        <f t="shared" ref="CJ330" si="7260">CI330</f>
        <v>756475</v>
      </c>
      <c r="CK330" s="293">
        <f t="shared" ref="CK330" si="7261">CJ330</f>
        <v>756475</v>
      </c>
      <c r="CL330" s="293">
        <f>ROUND(CK330*(1+取值表!$D$16),0)</f>
        <v>804133</v>
      </c>
      <c r="CM330" s="293">
        <f>CL330</f>
        <v>804133</v>
      </c>
      <c r="CN330" s="293">
        <f t="shared" ref="CN330" si="7262">CM330</f>
        <v>804133</v>
      </c>
      <c r="CO330" s="293">
        <f t="shared" ref="CO330" si="7263">CN330</f>
        <v>804133</v>
      </c>
      <c r="CP330" s="293">
        <f t="shared" si="7102"/>
        <v>39482224</v>
      </c>
    </row>
    <row r="331" spans="1:212">
      <c r="A331" s="670"/>
      <c r="B331" s="672"/>
      <c r="C331" s="674"/>
      <c r="D331" s="676"/>
      <c r="E331" s="678"/>
      <c r="F331" s="666"/>
      <c r="G331" s="666"/>
      <c r="H331" s="668"/>
      <c r="I331" s="291"/>
      <c r="J331" s="295"/>
      <c r="K331" s="293"/>
      <c r="L331" s="293"/>
      <c r="M331" s="293"/>
      <c r="N331" s="293"/>
      <c r="O331" s="293"/>
      <c r="P331" s="293"/>
      <c r="Q331" s="293"/>
      <c r="R331" s="293"/>
      <c r="S331" s="293"/>
      <c r="T331" s="293"/>
      <c r="U331" s="293"/>
      <c r="V331" s="293"/>
      <c r="W331" s="293"/>
      <c r="X331" s="293"/>
      <c r="Y331" s="293"/>
      <c r="Z331" s="293"/>
      <c r="AA331" s="293"/>
      <c r="AB331" s="293"/>
      <c r="AC331" s="293"/>
      <c r="AD331" s="293"/>
      <c r="AE331" s="293"/>
      <c r="AF331" s="293"/>
      <c r="AG331" s="293"/>
      <c r="AH331" s="293"/>
      <c r="AI331" s="293"/>
      <c r="AJ331" s="293"/>
      <c r="AK331" s="293"/>
      <c r="AL331" s="293"/>
      <c r="AM331" s="293"/>
      <c r="AN331" s="293"/>
      <c r="AO331" s="293"/>
      <c r="AP331" s="293"/>
      <c r="AQ331" s="293"/>
      <c r="AR331" s="293"/>
      <c r="AS331" s="293"/>
      <c r="AT331" s="293"/>
      <c r="AU331" s="293"/>
      <c r="AV331" s="293"/>
      <c r="AW331" s="293"/>
      <c r="AX331" s="293"/>
      <c r="AY331" s="293"/>
      <c r="AZ331" s="293"/>
      <c r="BA331" s="293"/>
      <c r="BB331" s="293"/>
      <c r="BC331" s="293"/>
      <c r="BD331" s="293"/>
      <c r="BE331" s="293"/>
      <c r="BF331" s="293"/>
      <c r="BG331" s="293"/>
      <c r="BH331" s="293"/>
      <c r="BI331" s="293"/>
      <c r="BJ331" s="293"/>
      <c r="BK331" s="293"/>
      <c r="BL331" s="293"/>
      <c r="BM331" s="293"/>
      <c r="BN331" s="293"/>
      <c r="BO331" s="293"/>
      <c r="BP331" s="293"/>
      <c r="BQ331" s="293"/>
      <c r="BR331" s="293"/>
      <c r="BS331" s="293"/>
      <c r="BT331" s="293"/>
      <c r="BU331" s="293"/>
      <c r="BV331" s="293"/>
      <c r="BW331" s="293"/>
      <c r="BX331" s="293"/>
      <c r="BY331" s="293"/>
      <c r="BZ331" s="293"/>
      <c r="CA331" s="293"/>
      <c r="CB331" s="293"/>
      <c r="CC331" s="293"/>
      <c r="CD331" s="293"/>
      <c r="CE331" s="293"/>
      <c r="CF331" s="293"/>
      <c r="CG331" s="293"/>
      <c r="CH331" s="293"/>
      <c r="CI331" s="293"/>
      <c r="CJ331" s="293"/>
      <c r="CK331" s="293"/>
      <c r="CL331" s="293"/>
      <c r="CM331" s="293"/>
      <c r="CN331" s="293"/>
      <c r="CO331" s="293"/>
      <c r="CP331" s="293">
        <f t="shared" si="7102"/>
        <v>0</v>
      </c>
    </row>
    <row r="332" spans="1:212" s="299" customFormat="1">
      <c r="A332" s="669">
        <v>170</v>
      </c>
      <c r="B332" s="683" t="s">
        <v>299</v>
      </c>
      <c r="C332" s="685" t="s">
        <v>751</v>
      </c>
      <c r="D332" s="675" t="s">
        <v>300</v>
      </c>
      <c r="E332" s="687" t="s">
        <v>522</v>
      </c>
      <c r="F332" s="654">
        <v>511.86</v>
      </c>
      <c r="G332" s="654">
        <v>7.5</v>
      </c>
      <c r="H332" s="656">
        <f>F332*G332*365</f>
        <v>1401216.75</v>
      </c>
      <c r="I332" s="298">
        <v>317609.09999999998</v>
      </c>
      <c r="J332" s="295">
        <f>ROUND(G332*F332*365/4,0)</f>
        <v>350304</v>
      </c>
      <c r="K332" s="292">
        <f>J332</f>
        <v>350304</v>
      </c>
      <c r="L332" s="295">
        <f>K332</f>
        <v>350304</v>
      </c>
      <c r="M332" s="295">
        <f>L332</f>
        <v>350304</v>
      </c>
      <c r="N332" s="293">
        <f>ROUND(M332*(1+取值表!$D$16)*取值表!$I$16,0)</f>
        <v>350403</v>
      </c>
      <c r="O332" s="295">
        <f>N332</f>
        <v>350403</v>
      </c>
      <c r="P332" s="295">
        <f>O332</f>
        <v>350403</v>
      </c>
      <c r="Q332" s="295">
        <f>P332</f>
        <v>350403</v>
      </c>
      <c r="R332" s="294">
        <f>ROUND(Q332*(1+取值表!$D$14),0)</f>
        <v>372478</v>
      </c>
      <c r="S332" s="295">
        <f t="shared" ref="S332:T332" si="7264">R332</f>
        <v>372478</v>
      </c>
      <c r="T332" s="295">
        <f t="shared" si="7264"/>
        <v>372478</v>
      </c>
      <c r="U332" s="295">
        <f>T332</f>
        <v>372478</v>
      </c>
      <c r="V332" s="293">
        <f>ROUND(U332*(1+取值表!$D$16),0)</f>
        <v>395944</v>
      </c>
      <c r="W332" s="295">
        <f t="shared" ref="W332:Y332" si="7265">V332</f>
        <v>395944</v>
      </c>
      <c r="X332" s="295">
        <f t="shared" si="7265"/>
        <v>395944</v>
      </c>
      <c r="Y332" s="295">
        <f t="shared" si="7265"/>
        <v>395944</v>
      </c>
      <c r="Z332" s="293">
        <f>ROUND(Y332*(1+取值表!$D$16),0)</f>
        <v>420888</v>
      </c>
      <c r="AA332" s="295">
        <f t="shared" ref="AA332" si="7266">Z332</f>
        <v>420888</v>
      </c>
      <c r="AB332" s="295">
        <f t="shared" ref="AB332" si="7267">AA332</f>
        <v>420888</v>
      </c>
      <c r="AC332" s="295">
        <f>AB332</f>
        <v>420888</v>
      </c>
      <c r="AD332" s="293">
        <f>ROUND(AC332*(1+取值表!$D$16),0)</f>
        <v>447404</v>
      </c>
      <c r="AE332" s="295">
        <f t="shared" ref="AE332" si="7268">AD332</f>
        <v>447404</v>
      </c>
      <c r="AF332" s="295">
        <f t="shared" ref="AF332" si="7269">AE332</f>
        <v>447404</v>
      </c>
      <c r="AG332" s="295">
        <f t="shared" ref="AG332" si="7270">AF332</f>
        <v>447404</v>
      </c>
      <c r="AH332" s="293">
        <f>ROUND(AG332*(1+取值表!$D$16),0)</f>
        <v>475590</v>
      </c>
      <c r="AI332" s="295">
        <f t="shared" ref="AI332" si="7271">AH332</f>
        <v>475590</v>
      </c>
      <c r="AJ332" s="295">
        <f t="shared" ref="AJ332" si="7272">AI332</f>
        <v>475590</v>
      </c>
      <c r="AK332" s="295">
        <f t="shared" ref="AK332" si="7273">AJ332</f>
        <v>475590</v>
      </c>
      <c r="AL332" s="293">
        <f>ROUND(AK332*(1+取值表!$D$16),0)</f>
        <v>505552</v>
      </c>
      <c r="AM332" s="295">
        <f t="shared" ref="AM332" si="7274">AL332</f>
        <v>505552</v>
      </c>
      <c r="AN332" s="295">
        <f t="shared" ref="AN332" si="7275">AM332</f>
        <v>505552</v>
      </c>
      <c r="AO332" s="295">
        <f t="shared" ref="AO332" si="7276">AN332</f>
        <v>505552</v>
      </c>
      <c r="AP332" s="293">
        <f>ROUND(AO332*(1+取值表!$D$16),0)</f>
        <v>537402</v>
      </c>
      <c r="AQ332" s="295">
        <f t="shared" ref="AQ332" si="7277">AP332</f>
        <v>537402</v>
      </c>
      <c r="AR332" s="295">
        <f t="shared" ref="AR332" si="7278">AQ332</f>
        <v>537402</v>
      </c>
      <c r="AS332" s="295">
        <f t="shared" ref="AS332" si="7279">AR332</f>
        <v>537402</v>
      </c>
      <c r="AT332" s="293">
        <f>ROUND(AS332*(1+取值表!$D$16),0)</f>
        <v>571258</v>
      </c>
      <c r="AU332" s="295">
        <f t="shared" ref="AU332" si="7280">AT332</f>
        <v>571258</v>
      </c>
      <c r="AV332" s="295">
        <f t="shared" ref="AV332" si="7281">AU332</f>
        <v>571258</v>
      </c>
      <c r="AW332" s="295">
        <f t="shared" ref="AW332" si="7282">AV332</f>
        <v>571258</v>
      </c>
      <c r="AX332" s="293">
        <f>ROUND(AW332*(1+取值表!$D$16),0)</f>
        <v>607247</v>
      </c>
      <c r="AY332" s="295">
        <f t="shared" ref="AY332" si="7283">AX332</f>
        <v>607247</v>
      </c>
      <c r="AZ332" s="295">
        <f t="shared" ref="AZ332" si="7284">AY332</f>
        <v>607247</v>
      </c>
      <c r="BA332" s="295">
        <f t="shared" ref="BA332" si="7285">AZ332</f>
        <v>607247</v>
      </c>
      <c r="BB332" s="293">
        <f>ROUND(BA332*(1+取值表!$D$16),0)</f>
        <v>645504</v>
      </c>
      <c r="BC332" s="295">
        <f>BB332</f>
        <v>645504</v>
      </c>
      <c r="BD332" s="295">
        <f t="shared" ref="BD332" si="7286">BC332</f>
        <v>645504</v>
      </c>
      <c r="BE332" s="295">
        <f>BD332</f>
        <v>645504</v>
      </c>
      <c r="BF332" s="293">
        <f>ROUND(BE332*(1+取值表!$D$16),0)</f>
        <v>686171</v>
      </c>
      <c r="BG332" s="295">
        <f>BF332</f>
        <v>686171</v>
      </c>
      <c r="BH332" s="295">
        <f t="shared" ref="BH332" si="7287">BG332</f>
        <v>686171</v>
      </c>
      <c r="BI332" s="295">
        <f t="shared" ref="BI332" si="7288">BH332</f>
        <v>686171</v>
      </c>
      <c r="BJ332" s="293">
        <f>ROUND(BI332*(1+取值表!$D$16),0)</f>
        <v>729400</v>
      </c>
      <c r="BK332" s="295">
        <f t="shared" ref="BK332" si="7289">BJ332</f>
        <v>729400</v>
      </c>
      <c r="BL332" s="295">
        <f t="shared" ref="BL332" si="7290">BK332</f>
        <v>729400</v>
      </c>
      <c r="BM332" s="295">
        <f t="shared" ref="BM332" si="7291">BL332</f>
        <v>729400</v>
      </c>
      <c r="BN332" s="293">
        <f>ROUND(BM332*(1+取值表!$D$16),0)</f>
        <v>775352</v>
      </c>
      <c r="BO332" s="295">
        <f t="shared" ref="BO332" si="7292">BN332</f>
        <v>775352</v>
      </c>
      <c r="BP332" s="295">
        <f t="shared" ref="BP332" si="7293">BO332</f>
        <v>775352</v>
      </c>
      <c r="BQ332" s="295">
        <f t="shared" ref="BQ332" si="7294">BP332</f>
        <v>775352</v>
      </c>
      <c r="BR332" s="293">
        <f>ROUND(BQ332*(1+取值表!$D$16),0)</f>
        <v>824199</v>
      </c>
      <c r="BS332" s="295">
        <f t="shared" ref="BS332" si="7295">BR332</f>
        <v>824199</v>
      </c>
      <c r="BT332" s="295">
        <f t="shared" ref="BT332" si="7296">BS332</f>
        <v>824199</v>
      </c>
      <c r="BU332" s="295">
        <f t="shared" ref="BU332" si="7297">BT332</f>
        <v>824199</v>
      </c>
      <c r="BV332" s="293">
        <f>ROUND(BU332*(1+取值表!$D$16),0)</f>
        <v>876124</v>
      </c>
      <c r="BW332" s="295">
        <f t="shared" ref="BW332" si="7298">BV332</f>
        <v>876124</v>
      </c>
      <c r="BX332" s="295">
        <f t="shared" ref="BX332" si="7299">BW332</f>
        <v>876124</v>
      </c>
      <c r="BY332" s="295">
        <f t="shared" ref="BY332" si="7300">BX332</f>
        <v>876124</v>
      </c>
      <c r="BZ332" s="293">
        <f>ROUND(BY332*(1+取值表!$D$16),0)</f>
        <v>931320</v>
      </c>
      <c r="CA332" s="295">
        <f t="shared" ref="CA332" si="7301">BZ332</f>
        <v>931320</v>
      </c>
      <c r="CB332" s="295">
        <f t="shared" ref="CB332" si="7302">CA332</f>
        <v>931320</v>
      </c>
      <c r="CC332" s="295">
        <f t="shared" ref="CC332" si="7303">CB332</f>
        <v>931320</v>
      </c>
      <c r="CD332" s="293">
        <f>ROUND(CC332*(1+取值表!$D$16),0)</f>
        <v>989993</v>
      </c>
      <c r="CE332" s="295">
        <f t="shared" ref="CE332" si="7304">CD332</f>
        <v>989993</v>
      </c>
      <c r="CF332" s="295">
        <f t="shared" ref="CF332" si="7305">CE332</f>
        <v>989993</v>
      </c>
      <c r="CG332" s="295">
        <f t="shared" ref="CG332" si="7306">CF332</f>
        <v>989993</v>
      </c>
      <c r="CH332" s="293">
        <f>ROUND(CG332*(1+取值表!$D$16),0)</f>
        <v>1052363</v>
      </c>
      <c r="CI332" s="295">
        <f>CH332</f>
        <v>1052363</v>
      </c>
      <c r="CJ332" s="295">
        <f t="shared" ref="CJ332" si="7307">CI332</f>
        <v>1052363</v>
      </c>
      <c r="CK332" s="295">
        <f t="shared" ref="CK332" si="7308">CJ332</f>
        <v>1052363</v>
      </c>
      <c r="CL332" s="293">
        <f>ROUND(CK332*(1+取值表!$D$16),0)</f>
        <v>1118662</v>
      </c>
      <c r="CM332" s="295">
        <f>CL332</f>
        <v>1118662</v>
      </c>
      <c r="CN332" s="295">
        <f t="shared" ref="CN332" si="7309">CM332</f>
        <v>1118662</v>
      </c>
      <c r="CO332" s="295">
        <f t="shared" ref="CO332" si="7310">CN332</f>
        <v>1118662</v>
      </c>
      <c r="CP332" s="293">
        <f t="shared" si="7102"/>
        <v>54654232</v>
      </c>
    </row>
    <row r="333" spans="1:212" s="299" customFormat="1">
      <c r="A333" s="670"/>
      <c r="B333" s="684"/>
      <c r="C333" s="686"/>
      <c r="D333" s="676"/>
      <c r="E333" s="688"/>
      <c r="F333" s="655"/>
      <c r="G333" s="655"/>
      <c r="H333" s="657"/>
      <c r="I333" s="298"/>
      <c r="J333" s="295"/>
      <c r="K333" s="295"/>
      <c r="L333" s="295"/>
      <c r="M333" s="295"/>
      <c r="N333" s="295"/>
      <c r="O333" s="295"/>
      <c r="P333" s="295"/>
      <c r="Q333" s="295"/>
      <c r="R333" s="295"/>
      <c r="S333" s="295"/>
      <c r="T333" s="295"/>
      <c r="U333" s="295"/>
      <c r="V333" s="295"/>
      <c r="W333" s="295"/>
      <c r="X333" s="295"/>
      <c r="Y333" s="295"/>
      <c r="Z333" s="295"/>
      <c r="AA333" s="295"/>
      <c r="AB333" s="295"/>
      <c r="AC333" s="295"/>
      <c r="AD333" s="295"/>
      <c r="AE333" s="295"/>
      <c r="AF333" s="295"/>
      <c r="AG333" s="295"/>
      <c r="AH333" s="295"/>
      <c r="AI333" s="295"/>
      <c r="AJ333" s="295"/>
      <c r="AK333" s="295"/>
      <c r="AL333" s="295"/>
      <c r="AM333" s="295"/>
      <c r="AN333" s="295"/>
      <c r="AO333" s="295"/>
      <c r="AP333" s="295"/>
      <c r="AQ333" s="295"/>
      <c r="AR333" s="295"/>
      <c r="AS333" s="295"/>
      <c r="AT333" s="295"/>
      <c r="AU333" s="295"/>
      <c r="AV333" s="295"/>
      <c r="AW333" s="295"/>
      <c r="AX333" s="295"/>
      <c r="AY333" s="295"/>
      <c r="AZ333" s="295"/>
      <c r="BA333" s="295"/>
      <c r="BB333" s="295"/>
      <c r="BC333" s="295"/>
      <c r="BD333" s="295"/>
      <c r="BE333" s="295"/>
      <c r="BF333" s="295"/>
      <c r="BG333" s="295"/>
      <c r="BH333" s="295"/>
      <c r="BI333" s="295"/>
      <c r="BJ333" s="295"/>
      <c r="BK333" s="295"/>
      <c r="BL333" s="295"/>
      <c r="BM333" s="295"/>
      <c r="BN333" s="295"/>
      <c r="BO333" s="295"/>
      <c r="BP333" s="295"/>
      <c r="BQ333" s="295"/>
      <c r="BR333" s="295"/>
      <c r="BS333" s="295"/>
      <c r="BT333" s="295"/>
      <c r="BU333" s="295"/>
      <c r="BV333" s="295"/>
      <c r="BW333" s="295"/>
      <c r="BX333" s="295"/>
      <c r="BY333" s="295"/>
      <c r="BZ333" s="295"/>
      <c r="CA333" s="295"/>
      <c r="CB333" s="295"/>
      <c r="CC333" s="295"/>
      <c r="CD333" s="295"/>
      <c r="CE333" s="295"/>
      <c r="CF333" s="295"/>
      <c r="CG333" s="295"/>
      <c r="CH333" s="295"/>
      <c r="CI333" s="295"/>
      <c r="CJ333" s="295"/>
      <c r="CK333" s="295"/>
      <c r="CL333" s="295"/>
      <c r="CM333" s="295"/>
      <c r="CN333" s="295"/>
      <c r="CO333" s="295"/>
      <c r="CP333" s="293">
        <f t="shared" si="7102"/>
        <v>0</v>
      </c>
    </row>
    <row r="334" spans="1:212" s="299" customFormat="1" ht="12" customHeight="1">
      <c r="A334" s="669">
        <v>171</v>
      </c>
      <c r="B334" s="671" t="s">
        <v>301</v>
      </c>
      <c r="C334" s="673" t="s">
        <v>752</v>
      </c>
      <c r="D334" s="675" t="s">
        <v>300</v>
      </c>
      <c r="E334" s="677" t="s">
        <v>522</v>
      </c>
      <c r="F334" s="665">
        <v>416.25</v>
      </c>
      <c r="G334" s="665">
        <v>7</v>
      </c>
      <c r="H334" s="667">
        <f>F334*G334*365</f>
        <v>1063518.75</v>
      </c>
      <c r="I334" s="298">
        <v>235493.4</v>
      </c>
      <c r="J334" s="295">
        <f>ROUND(G334*F334*365/4,0)</f>
        <v>265880</v>
      </c>
      <c r="K334" s="292">
        <f>J334</f>
        <v>265880</v>
      </c>
      <c r="L334" s="295">
        <f>K334</f>
        <v>265880</v>
      </c>
      <c r="M334" s="295">
        <f>L334</f>
        <v>265880</v>
      </c>
      <c r="N334" s="293">
        <f>ROUND(M334*(1+取值表!$D$16)*取值表!$I$16,0)</f>
        <v>265955</v>
      </c>
      <c r="O334" s="295">
        <f>N334</f>
        <v>265955</v>
      </c>
      <c r="P334" s="295">
        <f>O334</f>
        <v>265955</v>
      </c>
      <c r="Q334" s="295">
        <f>P334</f>
        <v>265955</v>
      </c>
      <c r="R334" s="294">
        <f>ROUND(Q334*(1+取值表!$D$14),0)</f>
        <v>282710</v>
      </c>
      <c r="S334" s="295">
        <f t="shared" ref="S334:T334" si="7311">R334</f>
        <v>282710</v>
      </c>
      <c r="T334" s="295">
        <f t="shared" si="7311"/>
        <v>282710</v>
      </c>
      <c r="U334" s="295">
        <f>T334</f>
        <v>282710</v>
      </c>
      <c r="V334" s="293">
        <f>ROUND(U334*(1+取值表!$D$16),0)</f>
        <v>300521</v>
      </c>
      <c r="W334" s="295">
        <f t="shared" ref="W334:Y334" si="7312">V334</f>
        <v>300521</v>
      </c>
      <c r="X334" s="295">
        <f t="shared" si="7312"/>
        <v>300521</v>
      </c>
      <c r="Y334" s="295">
        <f t="shared" si="7312"/>
        <v>300521</v>
      </c>
      <c r="Z334" s="293">
        <f>ROUND(Y334*(1+取值表!$D$16),0)</f>
        <v>319454</v>
      </c>
      <c r="AA334" s="295">
        <f t="shared" ref="AA334" si="7313">Z334</f>
        <v>319454</v>
      </c>
      <c r="AB334" s="295">
        <f t="shared" ref="AB334" si="7314">AA334</f>
        <v>319454</v>
      </c>
      <c r="AC334" s="295">
        <f>AB334</f>
        <v>319454</v>
      </c>
      <c r="AD334" s="293">
        <f>ROUND(AC334*(1+取值表!$D$16),0)</f>
        <v>339580</v>
      </c>
      <c r="AE334" s="295">
        <f t="shared" ref="AE334" si="7315">AD334</f>
        <v>339580</v>
      </c>
      <c r="AF334" s="295">
        <f t="shared" ref="AF334" si="7316">AE334</f>
        <v>339580</v>
      </c>
      <c r="AG334" s="295">
        <f t="shared" ref="AG334" si="7317">AF334</f>
        <v>339580</v>
      </c>
      <c r="AH334" s="293">
        <f>ROUND(AG334*(1+取值表!$D$16),0)</f>
        <v>360974</v>
      </c>
      <c r="AI334" s="295">
        <f t="shared" ref="AI334" si="7318">AH334</f>
        <v>360974</v>
      </c>
      <c r="AJ334" s="295">
        <f t="shared" ref="AJ334" si="7319">AI334</f>
        <v>360974</v>
      </c>
      <c r="AK334" s="295">
        <f t="shared" ref="AK334" si="7320">AJ334</f>
        <v>360974</v>
      </c>
      <c r="AL334" s="293">
        <f>ROUND(AK334*(1+取值表!$D$16),0)</f>
        <v>383715</v>
      </c>
      <c r="AM334" s="295">
        <f t="shared" ref="AM334" si="7321">AL334</f>
        <v>383715</v>
      </c>
      <c r="AN334" s="295">
        <f t="shared" ref="AN334" si="7322">AM334</f>
        <v>383715</v>
      </c>
      <c r="AO334" s="295">
        <f t="shared" ref="AO334" si="7323">AN334</f>
        <v>383715</v>
      </c>
      <c r="AP334" s="293">
        <f>ROUND(AO334*(1+取值表!$D$16),0)</f>
        <v>407889</v>
      </c>
      <c r="AQ334" s="295">
        <f t="shared" ref="AQ334" si="7324">AP334</f>
        <v>407889</v>
      </c>
      <c r="AR334" s="295">
        <f t="shared" ref="AR334" si="7325">AQ334</f>
        <v>407889</v>
      </c>
      <c r="AS334" s="295">
        <f t="shared" ref="AS334" si="7326">AR334</f>
        <v>407889</v>
      </c>
      <c r="AT334" s="293">
        <f>ROUND(AS334*(1+取值表!$D$16),0)</f>
        <v>433586</v>
      </c>
      <c r="AU334" s="295">
        <f t="shared" ref="AU334" si="7327">AT334</f>
        <v>433586</v>
      </c>
      <c r="AV334" s="295">
        <f t="shared" ref="AV334" si="7328">AU334</f>
        <v>433586</v>
      </c>
      <c r="AW334" s="295">
        <f t="shared" ref="AW334" si="7329">AV334</f>
        <v>433586</v>
      </c>
      <c r="AX334" s="293">
        <f>ROUND(AW334*(1+取值表!$D$16),0)</f>
        <v>460902</v>
      </c>
      <c r="AY334" s="295">
        <f t="shared" ref="AY334" si="7330">AX334</f>
        <v>460902</v>
      </c>
      <c r="AZ334" s="295">
        <f t="shared" ref="AZ334" si="7331">AY334</f>
        <v>460902</v>
      </c>
      <c r="BA334" s="295">
        <f t="shared" ref="BA334" si="7332">AZ334</f>
        <v>460902</v>
      </c>
      <c r="BB334" s="293">
        <f>ROUND(BA334*(1+取值表!$D$16),0)</f>
        <v>489939</v>
      </c>
      <c r="BC334" s="295">
        <f>BB334</f>
        <v>489939</v>
      </c>
      <c r="BD334" s="295">
        <f t="shared" ref="BD334" si="7333">BC334</f>
        <v>489939</v>
      </c>
      <c r="BE334" s="295">
        <f>BD334</f>
        <v>489939</v>
      </c>
      <c r="BF334" s="293">
        <f>ROUND(BE334*(1+取值表!$D$16),0)</f>
        <v>520805</v>
      </c>
      <c r="BG334" s="295">
        <f>BF334</f>
        <v>520805</v>
      </c>
      <c r="BH334" s="295">
        <f t="shared" ref="BH334" si="7334">BG334</f>
        <v>520805</v>
      </c>
      <c r="BI334" s="295">
        <f t="shared" ref="BI334" si="7335">BH334</f>
        <v>520805</v>
      </c>
      <c r="BJ334" s="293">
        <f>ROUND(BI334*(1+取值表!$D$16),0)</f>
        <v>553616</v>
      </c>
      <c r="BK334" s="295">
        <f t="shared" ref="BK334" si="7336">BJ334</f>
        <v>553616</v>
      </c>
      <c r="BL334" s="295">
        <f t="shared" ref="BL334" si="7337">BK334</f>
        <v>553616</v>
      </c>
      <c r="BM334" s="295">
        <f t="shared" ref="BM334" si="7338">BL334</f>
        <v>553616</v>
      </c>
      <c r="BN334" s="293">
        <f>ROUND(BM334*(1+取值表!$D$16),0)</f>
        <v>588494</v>
      </c>
      <c r="BO334" s="295">
        <f t="shared" ref="BO334" si="7339">BN334</f>
        <v>588494</v>
      </c>
      <c r="BP334" s="295">
        <f t="shared" ref="BP334" si="7340">BO334</f>
        <v>588494</v>
      </c>
      <c r="BQ334" s="295">
        <f t="shared" ref="BQ334" si="7341">BP334</f>
        <v>588494</v>
      </c>
      <c r="BR334" s="293">
        <f>ROUND(BQ334*(1+取值表!$D$16),0)</f>
        <v>625569</v>
      </c>
      <c r="BS334" s="295">
        <f t="shared" ref="BS334" si="7342">BR334</f>
        <v>625569</v>
      </c>
      <c r="BT334" s="295">
        <f t="shared" ref="BT334" si="7343">BS334</f>
        <v>625569</v>
      </c>
      <c r="BU334" s="295">
        <f t="shared" ref="BU334" si="7344">BT334</f>
        <v>625569</v>
      </c>
      <c r="BV334" s="293">
        <f>ROUND(BU334*(1+取值表!$D$16),0)</f>
        <v>664980</v>
      </c>
      <c r="BW334" s="295">
        <f t="shared" ref="BW334" si="7345">BV334</f>
        <v>664980</v>
      </c>
      <c r="BX334" s="295">
        <f t="shared" ref="BX334" si="7346">BW334</f>
        <v>664980</v>
      </c>
      <c r="BY334" s="295">
        <f t="shared" ref="BY334" si="7347">BX334</f>
        <v>664980</v>
      </c>
      <c r="BZ334" s="293">
        <f>ROUND(BY334*(1+取值表!$D$16),0)</f>
        <v>706874</v>
      </c>
      <c r="CA334" s="295">
        <f t="shared" ref="CA334" si="7348">BZ334</f>
        <v>706874</v>
      </c>
      <c r="CB334" s="295">
        <f t="shared" ref="CB334" si="7349">CA334</f>
        <v>706874</v>
      </c>
      <c r="CC334" s="295">
        <f t="shared" ref="CC334" si="7350">CB334</f>
        <v>706874</v>
      </c>
      <c r="CD334" s="293">
        <f>ROUND(CC334*(1+取值表!$D$16),0)</f>
        <v>751407</v>
      </c>
      <c r="CE334" s="295">
        <f t="shared" ref="CE334" si="7351">CD334</f>
        <v>751407</v>
      </c>
      <c r="CF334" s="295">
        <f t="shared" ref="CF334" si="7352">CE334</f>
        <v>751407</v>
      </c>
      <c r="CG334" s="295">
        <f t="shared" ref="CG334" si="7353">CF334</f>
        <v>751407</v>
      </c>
      <c r="CH334" s="293">
        <f>ROUND(CG334*(1+取值表!$D$16),0)</f>
        <v>798746</v>
      </c>
      <c r="CI334" s="295">
        <f>CH334</f>
        <v>798746</v>
      </c>
      <c r="CJ334" s="295">
        <f t="shared" ref="CJ334" si="7354">CI334</f>
        <v>798746</v>
      </c>
      <c r="CK334" s="295">
        <f t="shared" ref="CK334" si="7355">CJ334</f>
        <v>798746</v>
      </c>
      <c r="CL334" s="293">
        <f>ROUND(CK334*(1+取值表!$D$16),0)</f>
        <v>849067</v>
      </c>
      <c r="CM334" s="295">
        <f>CL334</f>
        <v>849067</v>
      </c>
      <c r="CN334" s="295">
        <f t="shared" ref="CN334" si="7356">CM334</f>
        <v>849067</v>
      </c>
      <c r="CO334" s="295">
        <f t="shared" ref="CO334" si="7357">CN334</f>
        <v>849067</v>
      </c>
      <c r="CP334" s="293">
        <f t="shared" si="7102"/>
        <v>41482652</v>
      </c>
    </row>
    <row r="335" spans="1:212">
      <c r="A335" s="670"/>
      <c r="B335" s="672"/>
      <c r="C335" s="674"/>
      <c r="D335" s="676"/>
      <c r="E335" s="678"/>
      <c r="F335" s="666"/>
      <c r="G335" s="666"/>
      <c r="H335" s="668"/>
      <c r="I335" s="291"/>
      <c r="J335" s="295"/>
      <c r="K335" s="293"/>
      <c r="L335" s="293"/>
      <c r="M335" s="293"/>
      <c r="N335" s="293"/>
      <c r="O335" s="293"/>
      <c r="P335" s="293"/>
      <c r="Q335" s="293"/>
      <c r="R335" s="293"/>
      <c r="S335" s="293"/>
      <c r="T335" s="293"/>
      <c r="U335" s="293"/>
      <c r="V335" s="293"/>
      <c r="W335" s="293"/>
      <c r="X335" s="293"/>
      <c r="Y335" s="293"/>
      <c r="Z335" s="293"/>
      <c r="AA335" s="293"/>
      <c r="AB335" s="293"/>
      <c r="AC335" s="293"/>
      <c r="AD335" s="293"/>
      <c r="AE335" s="293"/>
      <c r="AF335" s="293"/>
      <c r="AG335" s="293"/>
      <c r="AH335" s="293"/>
      <c r="AI335" s="293"/>
      <c r="AJ335" s="293"/>
      <c r="AK335" s="293"/>
      <c r="AL335" s="293"/>
      <c r="AM335" s="293"/>
      <c r="AN335" s="293"/>
      <c r="AO335" s="293"/>
      <c r="AP335" s="293"/>
      <c r="AQ335" s="293"/>
      <c r="AR335" s="293"/>
      <c r="AS335" s="293"/>
      <c r="AT335" s="293"/>
      <c r="AU335" s="293"/>
      <c r="AV335" s="293"/>
      <c r="AW335" s="293"/>
      <c r="AX335" s="293"/>
      <c r="AY335" s="293"/>
      <c r="AZ335" s="293"/>
      <c r="BA335" s="293"/>
      <c r="BB335" s="293"/>
      <c r="BC335" s="293"/>
      <c r="BD335" s="293"/>
      <c r="BE335" s="293"/>
      <c r="BF335" s="293"/>
      <c r="BG335" s="293"/>
      <c r="BH335" s="293"/>
      <c r="BI335" s="293"/>
      <c r="BJ335" s="293"/>
      <c r="BK335" s="293"/>
      <c r="BL335" s="293"/>
      <c r="BM335" s="293"/>
      <c r="BN335" s="293"/>
      <c r="BO335" s="293"/>
      <c r="BP335" s="293"/>
      <c r="BQ335" s="293"/>
      <c r="BR335" s="293"/>
      <c r="BS335" s="293"/>
      <c r="BT335" s="293"/>
      <c r="BU335" s="293"/>
      <c r="BV335" s="293"/>
      <c r="BW335" s="293"/>
      <c r="BX335" s="293"/>
      <c r="BY335" s="293"/>
      <c r="BZ335" s="293"/>
      <c r="CA335" s="293"/>
      <c r="CB335" s="293"/>
      <c r="CC335" s="293"/>
      <c r="CD335" s="293"/>
      <c r="CE335" s="293"/>
      <c r="CF335" s="293"/>
      <c r="CG335" s="293"/>
      <c r="CH335" s="293"/>
      <c r="CI335" s="293"/>
      <c r="CJ335" s="293"/>
      <c r="CK335" s="293"/>
      <c r="CL335" s="293"/>
      <c r="CM335" s="293"/>
      <c r="CN335" s="293"/>
      <c r="CO335" s="293"/>
      <c r="CP335" s="293">
        <f t="shared" si="7102"/>
        <v>0</v>
      </c>
    </row>
    <row r="336" spans="1:212">
      <c r="A336" s="669">
        <v>172</v>
      </c>
      <c r="B336" s="671" t="s">
        <v>302</v>
      </c>
      <c r="C336" s="673" t="s">
        <v>753</v>
      </c>
      <c r="D336" s="675" t="s">
        <v>300</v>
      </c>
      <c r="E336" s="677" t="s">
        <v>522</v>
      </c>
      <c r="F336" s="665">
        <v>100</v>
      </c>
      <c r="G336" s="665">
        <v>7</v>
      </c>
      <c r="H336" s="667">
        <f>F336*G336*365</f>
        <v>255500</v>
      </c>
      <c r="I336" s="291">
        <v>56575</v>
      </c>
      <c r="J336" s="295">
        <f>ROUND(G336*F336*365/4,0)</f>
        <v>63875</v>
      </c>
      <c r="K336" s="292">
        <f>J336</f>
        <v>63875</v>
      </c>
      <c r="L336" s="293">
        <f>K336</f>
        <v>63875</v>
      </c>
      <c r="M336" s="293">
        <f>L336</f>
        <v>63875</v>
      </c>
      <c r="N336" s="293">
        <f>ROUND(M336*(1+取值表!$D$16)*取值表!$I$16,0)</f>
        <v>63893</v>
      </c>
      <c r="O336" s="293">
        <f>N336</f>
        <v>63893</v>
      </c>
      <c r="P336" s="293">
        <f>O336</f>
        <v>63893</v>
      </c>
      <c r="Q336" s="293">
        <f>P336</f>
        <v>63893</v>
      </c>
      <c r="R336" s="294">
        <f>ROUND(Q336*(1+取值表!$D$14),0)</f>
        <v>67918</v>
      </c>
      <c r="S336" s="293">
        <f t="shared" ref="S336:T336" si="7358">R336</f>
        <v>67918</v>
      </c>
      <c r="T336" s="293">
        <f t="shared" si="7358"/>
        <v>67918</v>
      </c>
      <c r="U336" s="293">
        <f>T336</f>
        <v>67918</v>
      </c>
      <c r="V336" s="293">
        <f>ROUND(U336*(1+取值表!$D$16),0)</f>
        <v>72197</v>
      </c>
      <c r="W336" s="293">
        <f t="shared" ref="W336:Y336" si="7359">V336</f>
        <v>72197</v>
      </c>
      <c r="X336" s="293">
        <f t="shared" si="7359"/>
        <v>72197</v>
      </c>
      <c r="Y336" s="293">
        <f t="shared" si="7359"/>
        <v>72197</v>
      </c>
      <c r="Z336" s="293">
        <f>ROUND(Y336*(1+取值表!$D$16),0)</f>
        <v>76745</v>
      </c>
      <c r="AA336" s="293">
        <f t="shared" ref="AA336" si="7360">Z336</f>
        <v>76745</v>
      </c>
      <c r="AB336" s="293">
        <f t="shared" ref="AB336" si="7361">AA336</f>
        <v>76745</v>
      </c>
      <c r="AC336" s="293">
        <f>AB336</f>
        <v>76745</v>
      </c>
      <c r="AD336" s="293">
        <f>ROUND(AC336*(1+取值表!$D$16),0)</f>
        <v>81580</v>
      </c>
      <c r="AE336" s="293">
        <f t="shared" ref="AE336" si="7362">AD336</f>
        <v>81580</v>
      </c>
      <c r="AF336" s="293">
        <f t="shared" ref="AF336" si="7363">AE336</f>
        <v>81580</v>
      </c>
      <c r="AG336" s="293">
        <f t="shared" ref="AG336" si="7364">AF336</f>
        <v>81580</v>
      </c>
      <c r="AH336" s="293">
        <f>ROUND(AG336*(1+取值表!$D$16),0)</f>
        <v>86720</v>
      </c>
      <c r="AI336" s="293">
        <f t="shared" ref="AI336" si="7365">AH336</f>
        <v>86720</v>
      </c>
      <c r="AJ336" s="293">
        <f t="shared" ref="AJ336" si="7366">AI336</f>
        <v>86720</v>
      </c>
      <c r="AK336" s="293">
        <f t="shared" ref="AK336" si="7367">AJ336</f>
        <v>86720</v>
      </c>
      <c r="AL336" s="293">
        <f>ROUND(AK336*(1+取值表!$D$16),0)</f>
        <v>92183</v>
      </c>
      <c r="AM336" s="293">
        <f t="shared" ref="AM336" si="7368">AL336</f>
        <v>92183</v>
      </c>
      <c r="AN336" s="293">
        <f t="shared" ref="AN336" si="7369">AM336</f>
        <v>92183</v>
      </c>
      <c r="AO336" s="293">
        <f t="shared" ref="AO336" si="7370">AN336</f>
        <v>92183</v>
      </c>
      <c r="AP336" s="293">
        <f>ROUND(AO336*(1+取值表!$D$16),0)</f>
        <v>97991</v>
      </c>
      <c r="AQ336" s="293">
        <f t="shared" ref="AQ336" si="7371">AP336</f>
        <v>97991</v>
      </c>
      <c r="AR336" s="293">
        <f t="shared" ref="AR336" si="7372">AQ336</f>
        <v>97991</v>
      </c>
      <c r="AS336" s="293">
        <f t="shared" ref="AS336" si="7373">AR336</f>
        <v>97991</v>
      </c>
      <c r="AT336" s="293">
        <f>ROUND(AS336*(1+取值表!$D$16),0)</f>
        <v>104164</v>
      </c>
      <c r="AU336" s="293">
        <f t="shared" ref="AU336" si="7374">AT336</f>
        <v>104164</v>
      </c>
      <c r="AV336" s="293">
        <f t="shared" ref="AV336" si="7375">AU336</f>
        <v>104164</v>
      </c>
      <c r="AW336" s="293">
        <f t="shared" ref="AW336" si="7376">AV336</f>
        <v>104164</v>
      </c>
      <c r="AX336" s="293">
        <f>ROUND(AW336*(1+取值表!$D$16),0)</f>
        <v>110726</v>
      </c>
      <c r="AY336" s="293">
        <f t="shared" ref="AY336" si="7377">AX336</f>
        <v>110726</v>
      </c>
      <c r="AZ336" s="293">
        <f t="shared" ref="AZ336" si="7378">AY336</f>
        <v>110726</v>
      </c>
      <c r="BA336" s="293">
        <f t="shared" ref="BA336" si="7379">AZ336</f>
        <v>110726</v>
      </c>
      <c r="BB336" s="293">
        <f>ROUND(BA336*(1+取值表!$D$16),0)</f>
        <v>117702</v>
      </c>
      <c r="BC336" s="293">
        <f>BB336</f>
        <v>117702</v>
      </c>
      <c r="BD336" s="293">
        <f t="shared" ref="BD336" si="7380">BC336</f>
        <v>117702</v>
      </c>
      <c r="BE336" s="293">
        <f>BD336</f>
        <v>117702</v>
      </c>
      <c r="BF336" s="293">
        <f>ROUND(BE336*(1+取值表!$D$16),0)</f>
        <v>125117</v>
      </c>
      <c r="BG336" s="293">
        <f>BF336</f>
        <v>125117</v>
      </c>
      <c r="BH336" s="293">
        <f t="shared" ref="BH336" si="7381">BG336</f>
        <v>125117</v>
      </c>
      <c r="BI336" s="293">
        <f t="shared" ref="BI336" si="7382">BH336</f>
        <v>125117</v>
      </c>
      <c r="BJ336" s="293">
        <f>ROUND(BI336*(1+取值表!$D$16),0)</f>
        <v>132999</v>
      </c>
      <c r="BK336" s="293">
        <f t="shared" ref="BK336" si="7383">BJ336</f>
        <v>132999</v>
      </c>
      <c r="BL336" s="293">
        <f t="shared" ref="BL336" si="7384">BK336</f>
        <v>132999</v>
      </c>
      <c r="BM336" s="293">
        <f t="shared" ref="BM336" si="7385">BL336</f>
        <v>132999</v>
      </c>
      <c r="BN336" s="293">
        <f>ROUND(BM336*(1+取值表!$D$16),0)</f>
        <v>141378</v>
      </c>
      <c r="BO336" s="293">
        <f t="shared" ref="BO336" si="7386">BN336</f>
        <v>141378</v>
      </c>
      <c r="BP336" s="293">
        <f t="shared" ref="BP336" si="7387">BO336</f>
        <v>141378</v>
      </c>
      <c r="BQ336" s="293">
        <f t="shared" ref="BQ336" si="7388">BP336</f>
        <v>141378</v>
      </c>
      <c r="BR336" s="293">
        <f>ROUND(BQ336*(1+取值表!$D$16),0)</f>
        <v>150285</v>
      </c>
      <c r="BS336" s="293">
        <f t="shared" ref="BS336" si="7389">BR336</f>
        <v>150285</v>
      </c>
      <c r="BT336" s="293">
        <f t="shared" ref="BT336" si="7390">BS336</f>
        <v>150285</v>
      </c>
      <c r="BU336" s="293">
        <f t="shared" ref="BU336" si="7391">BT336</f>
        <v>150285</v>
      </c>
      <c r="BV336" s="293">
        <f>ROUND(BU336*(1+取值表!$D$16),0)</f>
        <v>159753</v>
      </c>
      <c r="BW336" s="293">
        <f t="shared" ref="BW336" si="7392">BV336</f>
        <v>159753</v>
      </c>
      <c r="BX336" s="293">
        <f t="shared" ref="BX336" si="7393">BW336</f>
        <v>159753</v>
      </c>
      <c r="BY336" s="293">
        <f t="shared" ref="BY336" si="7394">BX336</f>
        <v>159753</v>
      </c>
      <c r="BZ336" s="293">
        <f>ROUND(BY336*(1+取值表!$D$16),0)</f>
        <v>169817</v>
      </c>
      <c r="CA336" s="293">
        <f t="shared" ref="CA336" si="7395">BZ336</f>
        <v>169817</v>
      </c>
      <c r="CB336" s="293">
        <f t="shared" ref="CB336" si="7396">CA336</f>
        <v>169817</v>
      </c>
      <c r="CC336" s="293">
        <f t="shared" ref="CC336" si="7397">CB336</f>
        <v>169817</v>
      </c>
      <c r="CD336" s="293">
        <f>ROUND(CC336*(1+取值表!$D$16),0)</f>
        <v>180515</v>
      </c>
      <c r="CE336" s="293">
        <f t="shared" ref="CE336" si="7398">CD336</f>
        <v>180515</v>
      </c>
      <c r="CF336" s="293">
        <f t="shared" ref="CF336" si="7399">CE336</f>
        <v>180515</v>
      </c>
      <c r="CG336" s="293">
        <f t="shared" ref="CG336" si="7400">CF336</f>
        <v>180515</v>
      </c>
      <c r="CH336" s="293">
        <f>ROUND(CG336*(1+取值表!$D$16),0)</f>
        <v>191887</v>
      </c>
      <c r="CI336" s="293">
        <f>CH336</f>
        <v>191887</v>
      </c>
      <c r="CJ336" s="293">
        <f t="shared" ref="CJ336" si="7401">CI336</f>
        <v>191887</v>
      </c>
      <c r="CK336" s="293">
        <f t="shared" ref="CK336" si="7402">CJ336</f>
        <v>191887</v>
      </c>
      <c r="CL336" s="293">
        <f>ROUND(CK336*(1+取值表!$D$16),0)</f>
        <v>203976</v>
      </c>
      <c r="CM336" s="293">
        <f>CL336</f>
        <v>203976</v>
      </c>
      <c r="CN336" s="293">
        <f t="shared" ref="CN336" si="7403">CM336</f>
        <v>203976</v>
      </c>
      <c r="CO336" s="293">
        <f t="shared" ref="CO336" si="7404">CN336</f>
        <v>203976</v>
      </c>
      <c r="CP336" s="293">
        <f t="shared" si="7102"/>
        <v>9965684</v>
      </c>
    </row>
    <row r="337" spans="1:212">
      <c r="A337" s="670"/>
      <c r="B337" s="672"/>
      <c r="C337" s="674"/>
      <c r="D337" s="676"/>
      <c r="E337" s="678"/>
      <c r="F337" s="666"/>
      <c r="G337" s="666"/>
      <c r="H337" s="668"/>
      <c r="I337" s="291"/>
      <c r="J337" s="295"/>
      <c r="K337" s="293"/>
      <c r="L337" s="293"/>
      <c r="M337" s="293"/>
      <c r="N337" s="293"/>
      <c r="O337" s="293"/>
      <c r="P337" s="293"/>
      <c r="Q337" s="293"/>
      <c r="R337" s="293"/>
      <c r="S337" s="293"/>
      <c r="T337" s="293"/>
      <c r="U337" s="293"/>
      <c r="V337" s="293"/>
      <c r="W337" s="293"/>
      <c r="X337" s="293"/>
      <c r="Y337" s="293"/>
      <c r="Z337" s="293"/>
      <c r="AA337" s="293"/>
      <c r="AB337" s="293"/>
      <c r="AC337" s="293"/>
      <c r="AD337" s="293"/>
      <c r="AE337" s="293"/>
      <c r="AF337" s="293"/>
      <c r="AG337" s="293"/>
      <c r="AH337" s="293"/>
      <c r="AI337" s="293"/>
      <c r="AJ337" s="293"/>
      <c r="AK337" s="293"/>
      <c r="AL337" s="293"/>
      <c r="AM337" s="293"/>
      <c r="AN337" s="293"/>
      <c r="AO337" s="293"/>
      <c r="AP337" s="293"/>
      <c r="AQ337" s="293"/>
      <c r="AR337" s="293"/>
      <c r="AS337" s="293"/>
      <c r="AT337" s="293"/>
      <c r="AU337" s="293"/>
      <c r="AV337" s="293"/>
      <c r="AW337" s="293"/>
      <c r="AX337" s="293"/>
      <c r="AY337" s="293"/>
      <c r="AZ337" s="293"/>
      <c r="BA337" s="293"/>
      <c r="BB337" s="293"/>
      <c r="BC337" s="293"/>
      <c r="BD337" s="293"/>
      <c r="BE337" s="293"/>
      <c r="BF337" s="293"/>
      <c r="BG337" s="293"/>
      <c r="BH337" s="293"/>
      <c r="BI337" s="293"/>
      <c r="BJ337" s="293"/>
      <c r="BK337" s="293"/>
      <c r="BL337" s="293"/>
      <c r="BM337" s="293"/>
      <c r="BN337" s="293"/>
      <c r="BO337" s="293"/>
      <c r="BP337" s="293"/>
      <c r="BQ337" s="293"/>
      <c r="BR337" s="293"/>
      <c r="BS337" s="293"/>
      <c r="BT337" s="293"/>
      <c r="BU337" s="293"/>
      <c r="BV337" s="293"/>
      <c r="BW337" s="293"/>
      <c r="BX337" s="293"/>
      <c r="BY337" s="293"/>
      <c r="BZ337" s="293"/>
      <c r="CA337" s="293"/>
      <c r="CB337" s="293"/>
      <c r="CC337" s="293"/>
      <c r="CD337" s="293"/>
      <c r="CE337" s="293"/>
      <c r="CF337" s="293"/>
      <c r="CG337" s="293"/>
      <c r="CH337" s="293"/>
      <c r="CI337" s="293"/>
      <c r="CJ337" s="293"/>
      <c r="CK337" s="293"/>
      <c r="CL337" s="293"/>
      <c r="CM337" s="293"/>
      <c r="CN337" s="293"/>
      <c r="CO337" s="293"/>
      <c r="CP337" s="293">
        <f t="shared" si="7102"/>
        <v>0</v>
      </c>
    </row>
    <row r="338" spans="1:212" ht="12" customHeight="1">
      <c r="A338" s="669">
        <v>173</v>
      </c>
      <c r="B338" s="689" t="s">
        <v>303</v>
      </c>
      <c r="C338" s="673" t="s">
        <v>292</v>
      </c>
      <c r="D338" s="675" t="s">
        <v>304</v>
      </c>
      <c r="E338" s="677" t="s">
        <v>522</v>
      </c>
      <c r="F338" s="665">
        <v>288.97000000000003</v>
      </c>
      <c r="G338" s="665">
        <v>5.5</v>
      </c>
      <c r="H338" s="667">
        <f>F338*G338*365</f>
        <v>580107.27500000002</v>
      </c>
      <c r="I338" s="291">
        <v>142389.97</v>
      </c>
      <c r="J338" s="295">
        <f>ROUND(G338*F338*365/4,0)</f>
        <v>145027</v>
      </c>
      <c r="K338" s="293">
        <f t="shared" ref="K338:R338" si="7405">J338</f>
        <v>145027</v>
      </c>
      <c r="L338" s="293">
        <f t="shared" si="7405"/>
        <v>145027</v>
      </c>
      <c r="M338" s="293">
        <f t="shared" si="7405"/>
        <v>145027</v>
      </c>
      <c r="N338" s="293">
        <f t="shared" si="7405"/>
        <v>145027</v>
      </c>
      <c r="O338" s="293">
        <f>N338</f>
        <v>145027</v>
      </c>
      <c r="P338" s="293">
        <f>O338</f>
        <v>145027</v>
      </c>
      <c r="Q338" s="293">
        <f>P338</f>
        <v>145027</v>
      </c>
      <c r="R338" s="292">
        <f t="shared" si="7405"/>
        <v>145027</v>
      </c>
      <c r="S338" s="293">
        <f>R338</f>
        <v>145027</v>
      </c>
      <c r="T338" s="293">
        <f>S338</f>
        <v>145027</v>
      </c>
      <c r="U338" s="293">
        <f>T338</f>
        <v>145027</v>
      </c>
      <c r="V338" s="293">
        <f>ROUND(U338*(1+取值表!$D$16)*取值表!$I$16,0)</f>
        <v>145068</v>
      </c>
      <c r="W338" s="293">
        <f>V338</f>
        <v>145068</v>
      </c>
      <c r="X338" s="293">
        <f>W338</f>
        <v>145068</v>
      </c>
      <c r="Y338" s="293">
        <f>X338</f>
        <v>145068</v>
      </c>
      <c r="Z338" s="294">
        <f>ROUND(Y338*(1+取值表!$D$16),0)</f>
        <v>154207</v>
      </c>
      <c r="AA338" s="293">
        <f t="shared" ref="AA338:AB338" si="7406">Z338</f>
        <v>154207</v>
      </c>
      <c r="AB338" s="293">
        <f t="shared" si="7406"/>
        <v>154207</v>
      </c>
      <c r="AC338" s="293">
        <f>AB338</f>
        <v>154207</v>
      </c>
      <c r="AD338" s="293">
        <f>ROUND(AC338*(1+取值表!$D$16),0)</f>
        <v>163922</v>
      </c>
      <c r="AE338" s="293">
        <f t="shared" ref="AE338:AG338" si="7407">AD338</f>
        <v>163922</v>
      </c>
      <c r="AF338" s="293">
        <f t="shared" si="7407"/>
        <v>163922</v>
      </c>
      <c r="AG338" s="293">
        <f t="shared" si="7407"/>
        <v>163922</v>
      </c>
      <c r="AH338" s="293">
        <f>ROUND(AG338*(1+取值表!$D$16),0)</f>
        <v>174249</v>
      </c>
      <c r="AI338" s="293">
        <f t="shared" ref="AI338" si="7408">AH338</f>
        <v>174249</v>
      </c>
      <c r="AJ338" s="293">
        <f t="shared" ref="AJ338" si="7409">AI338</f>
        <v>174249</v>
      </c>
      <c r="AK338" s="293">
        <f t="shared" ref="AK338" si="7410">AJ338</f>
        <v>174249</v>
      </c>
      <c r="AL338" s="293">
        <f>ROUND(AK338*(1+取值表!$D$16),0)</f>
        <v>185227</v>
      </c>
      <c r="AM338" s="293">
        <f t="shared" ref="AM338" si="7411">AL338</f>
        <v>185227</v>
      </c>
      <c r="AN338" s="293">
        <f t="shared" ref="AN338" si="7412">AM338</f>
        <v>185227</v>
      </c>
      <c r="AO338" s="293">
        <f t="shared" ref="AO338" si="7413">AN338</f>
        <v>185227</v>
      </c>
      <c r="AP338" s="293">
        <f>ROUND(AO338*(1+取值表!$D$16),0)</f>
        <v>196896</v>
      </c>
      <c r="AQ338" s="293">
        <f t="shared" ref="AQ338" si="7414">AP338</f>
        <v>196896</v>
      </c>
      <c r="AR338" s="293">
        <f t="shared" ref="AR338" si="7415">AQ338</f>
        <v>196896</v>
      </c>
      <c r="AS338" s="293">
        <f t="shared" ref="AS338" si="7416">AR338</f>
        <v>196896</v>
      </c>
      <c r="AT338" s="293">
        <f>ROUND(AS338*(1+取值表!$D$16),0)</f>
        <v>209300</v>
      </c>
      <c r="AU338" s="293">
        <f t="shared" ref="AU338" si="7417">AT338</f>
        <v>209300</v>
      </c>
      <c r="AV338" s="293">
        <f t="shared" ref="AV338" si="7418">AU338</f>
        <v>209300</v>
      </c>
      <c r="AW338" s="293">
        <f t="shared" ref="AW338" si="7419">AV338</f>
        <v>209300</v>
      </c>
      <c r="AX338" s="293">
        <f>ROUND(AW338*(1+取值表!$D$16),0)</f>
        <v>222486</v>
      </c>
      <c r="AY338" s="293">
        <f t="shared" ref="AY338" si="7420">AX338</f>
        <v>222486</v>
      </c>
      <c r="AZ338" s="293">
        <f t="shared" ref="AZ338" si="7421">AY338</f>
        <v>222486</v>
      </c>
      <c r="BA338" s="293">
        <f t="shared" ref="BA338" si="7422">AZ338</f>
        <v>222486</v>
      </c>
      <c r="BB338" s="293">
        <f>ROUND(BA338*(1+取值表!$D$16),0)</f>
        <v>236503</v>
      </c>
      <c r="BC338" s="293">
        <f>BB338</f>
        <v>236503</v>
      </c>
      <c r="BD338" s="293">
        <f t="shared" ref="BD338" si="7423">BC338</f>
        <v>236503</v>
      </c>
      <c r="BE338" s="293">
        <f>BD338</f>
        <v>236503</v>
      </c>
      <c r="BF338" s="293">
        <f>ROUND(BE338*(1+取值表!$D$16),0)</f>
        <v>251403</v>
      </c>
      <c r="BG338" s="293">
        <f>BF338</f>
        <v>251403</v>
      </c>
      <c r="BH338" s="293">
        <f t="shared" ref="BH338" si="7424">BG338</f>
        <v>251403</v>
      </c>
      <c r="BI338" s="293">
        <f t="shared" ref="BI338" si="7425">BH338</f>
        <v>251403</v>
      </c>
      <c r="BJ338" s="293">
        <f>ROUND(BI338*(1+取值表!$D$16),0)</f>
        <v>267241</v>
      </c>
      <c r="BK338" s="293">
        <f t="shared" ref="BK338" si="7426">BJ338</f>
        <v>267241</v>
      </c>
      <c r="BL338" s="293">
        <f t="shared" ref="BL338" si="7427">BK338</f>
        <v>267241</v>
      </c>
      <c r="BM338" s="293">
        <f t="shared" ref="BM338" si="7428">BL338</f>
        <v>267241</v>
      </c>
      <c r="BN338" s="293">
        <f>ROUND(BM338*(1+取值表!$D$16),0)</f>
        <v>284077</v>
      </c>
      <c r="BO338" s="293">
        <f t="shared" ref="BO338" si="7429">BN338</f>
        <v>284077</v>
      </c>
      <c r="BP338" s="293">
        <f t="shared" ref="BP338" si="7430">BO338</f>
        <v>284077</v>
      </c>
      <c r="BQ338" s="293">
        <f t="shared" ref="BQ338" si="7431">BP338</f>
        <v>284077</v>
      </c>
      <c r="BR338" s="293">
        <f>ROUND(BQ338*(1+取值表!$D$16),0)</f>
        <v>301974</v>
      </c>
      <c r="BS338" s="293">
        <f t="shared" ref="BS338" si="7432">BR338</f>
        <v>301974</v>
      </c>
      <c r="BT338" s="293">
        <f t="shared" ref="BT338" si="7433">BS338</f>
        <v>301974</v>
      </c>
      <c r="BU338" s="293">
        <f t="shared" ref="BU338" si="7434">BT338</f>
        <v>301974</v>
      </c>
      <c r="BV338" s="293">
        <f>ROUND(BU338*(1+取值表!$D$16),0)</f>
        <v>320998</v>
      </c>
      <c r="BW338" s="293">
        <f t="shared" ref="BW338" si="7435">BV338</f>
        <v>320998</v>
      </c>
      <c r="BX338" s="293">
        <f t="shared" ref="BX338" si="7436">BW338</f>
        <v>320998</v>
      </c>
      <c r="BY338" s="293">
        <f t="shared" ref="BY338" si="7437">BX338</f>
        <v>320998</v>
      </c>
      <c r="BZ338" s="293">
        <f>ROUND(BY338*(1+取值表!$D$16),0)</f>
        <v>341221</v>
      </c>
      <c r="CA338" s="293">
        <f t="shared" ref="CA338" si="7438">BZ338</f>
        <v>341221</v>
      </c>
      <c r="CB338" s="293">
        <f t="shared" ref="CB338" si="7439">CA338</f>
        <v>341221</v>
      </c>
      <c r="CC338" s="293">
        <f t="shared" ref="CC338" si="7440">CB338</f>
        <v>341221</v>
      </c>
      <c r="CD338" s="293">
        <f>ROUND(CC338*(1+取值表!$D$16),0)</f>
        <v>362718</v>
      </c>
      <c r="CE338" s="293">
        <f t="shared" ref="CE338" si="7441">CD338</f>
        <v>362718</v>
      </c>
      <c r="CF338" s="293">
        <f t="shared" ref="CF338" si="7442">CE338</f>
        <v>362718</v>
      </c>
      <c r="CG338" s="293">
        <f t="shared" ref="CG338" si="7443">CF338</f>
        <v>362718</v>
      </c>
      <c r="CH338" s="293">
        <f>ROUND(CG338*(1+取值表!$D$16),0)</f>
        <v>385569</v>
      </c>
      <c r="CI338" s="293">
        <f>CH338</f>
        <v>385569</v>
      </c>
      <c r="CJ338" s="293">
        <f t="shared" ref="CJ338" si="7444">CI338</f>
        <v>385569</v>
      </c>
      <c r="CK338" s="293">
        <f t="shared" ref="CK338" si="7445">CJ338</f>
        <v>385569</v>
      </c>
      <c r="CL338" s="293">
        <f>ROUND(CK338*(1+取值表!$D$16),0)</f>
        <v>409860</v>
      </c>
      <c r="CM338" s="293">
        <f>CL338</f>
        <v>409860</v>
      </c>
      <c r="CN338" s="293">
        <f t="shared" ref="CN338" si="7446">CM338</f>
        <v>409860</v>
      </c>
      <c r="CO338" s="293">
        <f t="shared" ref="CO338" si="7447">CN338</f>
        <v>409860</v>
      </c>
      <c r="CP338" s="293">
        <f t="shared" si="7102"/>
        <v>20192000</v>
      </c>
    </row>
    <row r="339" spans="1:212">
      <c r="A339" s="670"/>
      <c r="B339" s="690"/>
      <c r="C339" s="674"/>
      <c r="D339" s="676"/>
      <c r="E339" s="678"/>
      <c r="F339" s="666"/>
      <c r="G339" s="666"/>
      <c r="H339" s="668"/>
      <c r="I339" s="291"/>
      <c r="J339" s="295"/>
      <c r="K339" s="293"/>
      <c r="L339" s="293"/>
      <c r="M339" s="293"/>
      <c r="N339" s="293"/>
      <c r="O339" s="293"/>
      <c r="P339" s="293"/>
      <c r="Q339" s="293"/>
      <c r="R339" s="293"/>
      <c r="S339" s="293"/>
      <c r="T339" s="293"/>
      <c r="U339" s="293"/>
      <c r="V339" s="293"/>
      <c r="W339" s="293"/>
      <c r="X339" s="293"/>
      <c r="Y339" s="293"/>
      <c r="Z339" s="293"/>
      <c r="AA339" s="293"/>
      <c r="AB339" s="293"/>
      <c r="AC339" s="293"/>
      <c r="AD339" s="293"/>
      <c r="AE339" s="293"/>
      <c r="AF339" s="293"/>
      <c r="AG339" s="293"/>
      <c r="AH339" s="293"/>
      <c r="AI339" s="293"/>
      <c r="AJ339" s="293"/>
      <c r="AK339" s="293"/>
      <c r="AL339" s="293"/>
      <c r="AM339" s="293"/>
      <c r="AN339" s="293"/>
      <c r="AO339" s="293"/>
      <c r="AP339" s="293"/>
      <c r="AQ339" s="293"/>
      <c r="AR339" s="293"/>
      <c r="AS339" s="293"/>
      <c r="AT339" s="293"/>
      <c r="AU339" s="293"/>
      <c r="AV339" s="293"/>
      <c r="AW339" s="293"/>
      <c r="AX339" s="293"/>
      <c r="AY339" s="293"/>
      <c r="AZ339" s="293"/>
      <c r="BA339" s="293"/>
      <c r="BB339" s="293"/>
      <c r="BC339" s="293"/>
      <c r="BD339" s="293"/>
      <c r="BE339" s="293"/>
      <c r="BF339" s="293"/>
      <c r="BG339" s="293"/>
      <c r="BH339" s="293"/>
      <c r="BI339" s="293"/>
      <c r="BJ339" s="293"/>
      <c r="BK339" s="293"/>
      <c r="BL339" s="293"/>
      <c r="BM339" s="293"/>
      <c r="BN339" s="293"/>
      <c r="BO339" s="293"/>
      <c r="BP339" s="293"/>
      <c r="BQ339" s="293"/>
      <c r="BR339" s="293"/>
      <c r="BS339" s="293"/>
      <c r="BT339" s="293"/>
      <c r="BU339" s="293"/>
      <c r="BV339" s="293"/>
      <c r="BW339" s="293"/>
      <c r="BX339" s="293"/>
      <c r="BY339" s="293"/>
      <c r="BZ339" s="293"/>
      <c r="CA339" s="293"/>
      <c r="CB339" s="293"/>
      <c r="CC339" s="293"/>
      <c r="CD339" s="293"/>
      <c r="CE339" s="293"/>
      <c r="CF339" s="293"/>
      <c r="CG339" s="293"/>
      <c r="CH339" s="293"/>
      <c r="CI339" s="293"/>
      <c r="CJ339" s="293"/>
      <c r="CK339" s="293"/>
      <c r="CL339" s="293"/>
      <c r="CM339" s="293"/>
      <c r="CN339" s="293"/>
      <c r="CO339" s="293"/>
      <c r="CP339" s="293">
        <f t="shared" si="7102"/>
        <v>0</v>
      </c>
    </row>
    <row r="340" spans="1:212">
      <c r="A340" s="669">
        <v>174</v>
      </c>
      <c r="B340" s="689" t="s">
        <v>305</v>
      </c>
      <c r="C340" s="673" t="s">
        <v>273</v>
      </c>
      <c r="D340" s="675" t="s">
        <v>306</v>
      </c>
      <c r="E340" s="677" t="s">
        <v>522</v>
      </c>
      <c r="F340" s="665">
        <v>98.58</v>
      </c>
      <c r="G340" s="665">
        <v>11</v>
      </c>
      <c r="H340" s="667">
        <f>F340*G340*365</f>
        <v>395798.69999999995</v>
      </c>
      <c r="I340" s="291">
        <v>98949.68</v>
      </c>
      <c r="J340" s="295">
        <f>ROUND(G340*F340*365/4,0)</f>
        <v>98950</v>
      </c>
      <c r="K340" s="292">
        <f>J340</f>
        <v>98950</v>
      </c>
      <c r="L340" s="293">
        <f>K340</f>
        <v>98950</v>
      </c>
      <c r="M340" s="293">
        <f>L340</f>
        <v>98950</v>
      </c>
      <c r="N340" s="293">
        <f>ROUND(M340*(1+取值表!$D$16)*取值表!$I$16,0)</f>
        <v>98978</v>
      </c>
      <c r="O340" s="293">
        <f>N340</f>
        <v>98978</v>
      </c>
      <c r="P340" s="293">
        <f>O340</f>
        <v>98978</v>
      </c>
      <c r="Q340" s="293">
        <f>P340</f>
        <v>98978</v>
      </c>
      <c r="R340" s="294">
        <f>ROUND(Q340*(1+取值表!$D$14),0)</f>
        <v>105214</v>
      </c>
      <c r="S340" s="293">
        <f>R340</f>
        <v>105214</v>
      </c>
      <c r="T340" s="293">
        <f>S340</f>
        <v>105214</v>
      </c>
      <c r="U340" s="293">
        <f>T340</f>
        <v>105214</v>
      </c>
      <c r="V340" s="293">
        <f>ROUND(U340*(1+取值表!$D$16),0)</f>
        <v>111842</v>
      </c>
      <c r="W340" s="293">
        <f t="shared" ref="W340:Y340" si="7448">V340</f>
        <v>111842</v>
      </c>
      <c r="X340" s="293">
        <f t="shared" si="7448"/>
        <v>111842</v>
      </c>
      <c r="Y340" s="293">
        <f t="shared" si="7448"/>
        <v>111842</v>
      </c>
      <c r="Z340" s="293">
        <f>ROUND(Y340*(1+取值表!$D$16),0)</f>
        <v>118888</v>
      </c>
      <c r="AA340" s="293">
        <f t="shared" ref="AA340:AB340" si="7449">Z340</f>
        <v>118888</v>
      </c>
      <c r="AB340" s="293">
        <f t="shared" si="7449"/>
        <v>118888</v>
      </c>
      <c r="AC340" s="293">
        <f>AB340</f>
        <v>118888</v>
      </c>
      <c r="AD340" s="293">
        <f>ROUND(AC340*(1+取值表!$D$16),0)</f>
        <v>126378</v>
      </c>
      <c r="AE340" s="293">
        <f t="shared" ref="AE340" si="7450">AD340</f>
        <v>126378</v>
      </c>
      <c r="AF340" s="293">
        <f t="shared" ref="AF340" si="7451">AE340</f>
        <v>126378</v>
      </c>
      <c r="AG340" s="293">
        <f t="shared" ref="AG340" si="7452">AF340</f>
        <v>126378</v>
      </c>
      <c r="AH340" s="293">
        <f>ROUND(AG340*(1+取值表!$D$16),0)</f>
        <v>134340</v>
      </c>
      <c r="AI340" s="293">
        <f t="shared" ref="AI340" si="7453">AH340</f>
        <v>134340</v>
      </c>
      <c r="AJ340" s="293">
        <f t="shared" ref="AJ340" si="7454">AI340</f>
        <v>134340</v>
      </c>
      <c r="AK340" s="293">
        <f t="shared" ref="AK340" si="7455">AJ340</f>
        <v>134340</v>
      </c>
      <c r="AL340" s="293">
        <f>ROUND(AK340*(1+取值表!$D$16),0)</f>
        <v>142803</v>
      </c>
      <c r="AM340" s="293">
        <f t="shared" ref="AM340" si="7456">AL340</f>
        <v>142803</v>
      </c>
      <c r="AN340" s="293">
        <f t="shared" ref="AN340" si="7457">AM340</f>
        <v>142803</v>
      </c>
      <c r="AO340" s="293">
        <f t="shared" ref="AO340" si="7458">AN340</f>
        <v>142803</v>
      </c>
      <c r="AP340" s="293">
        <f>ROUND(AO340*(1+取值表!$D$16),0)</f>
        <v>151800</v>
      </c>
      <c r="AQ340" s="293">
        <f t="shared" ref="AQ340" si="7459">AP340</f>
        <v>151800</v>
      </c>
      <c r="AR340" s="293">
        <f t="shared" ref="AR340" si="7460">AQ340</f>
        <v>151800</v>
      </c>
      <c r="AS340" s="293">
        <f t="shared" ref="AS340" si="7461">AR340</f>
        <v>151800</v>
      </c>
      <c r="AT340" s="293">
        <f>ROUND(AS340*(1+取值表!$D$16),0)</f>
        <v>161363</v>
      </c>
      <c r="AU340" s="293">
        <f t="shared" ref="AU340" si="7462">AT340</f>
        <v>161363</v>
      </c>
      <c r="AV340" s="293">
        <f t="shared" ref="AV340" si="7463">AU340</f>
        <v>161363</v>
      </c>
      <c r="AW340" s="293">
        <f t="shared" ref="AW340" si="7464">AV340</f>
        <v>161363</v>
      </c>
      <c r="AX340" s="293">
        <f>ROUND(AW340*(1+取值表!$D$16),0)</f>
        <v>171529</v>
      </c>
      <c r="AY340" s="293">
        <f t="shared" ref="AY340" si="7465">AX340</f>
        <v>171529</v>
      </c>
      <c r="AZ340" s="293">
        <f t="shared" ref="AZ340" si="7466">AY340</f>
        <v>171529</v>
      </c>
      <c r="BA340" s="293">
        <f t="shared" ref="BA340" si="7467">AZ340</f>
        <v>171529</v>
      </c>
      <c r="BB340" s="293">
        <f>ROUND(BA340*(1+取值表!$D$16),0)</f>
        <v>182335</v>
      </c>
      <c r="BC340" s="293">
        <f>BB340</f>
        <v>182335</v>
      </c>
      <c r="BD340" s="293">
        <f t="shared" ref="BD340" si="7468">BC340</f>
        <v>182335</v>
      </c>
      <c r="BE340" s="293">
        <f>BD340</f>
        <v>182335</v>
      </c>
      <c r="BF340" s="293">
        <f>ROUND(BE340*(1+取值表!$D$16),0)</f>
        <v>193822</v>
      </c>
      <c r="BG340" s="293">
        <f>BF340</f>
        <v>193822</v>
      </c>
      <c r="BH340" s="293">
        <f t="shared" ref="BH340" si="7469">BG340</f>
        <v>193822</v>
      </c>
      <c r="BI340" s="293">
        <f t="shared" ref="BI340" si="7470">BH340</f>
        <v>193822</v>
      </c>
      <c r="BJ340" s="293">
        <f>ROUND(BI340*(1+取值表!$D$16),0)</f>
        <v>206033</v>
      </c>
      <c r="BK340" s="293">
        <f t="shared" ref="BK340" si="7471">BJ340</f>
        <v>206033</v>
      </c>
      <c r="BL340" s="293">
        <f t="shared" ref="BL340" si="7472">BK340</f>
        <v>206033</v>
      </c>
      <c r="BM340" s="293">
        <f t="shared" ref="BM340" si="7473">BL340</f>
        <v>206033</v>
      </c>
      <c r="BN340" s="293">
        <f>ROUND(BM340*(1+取值表!$D$16),0)</f>
        <v>219013</v>
      </c>
      <c r="BO340" s="293">
        <f t="shared" ref="BO340" si="7474">BN340</f>
        <v>219013</v>
      </c>
      <c r="BP340" s="293">
        <f t="shared" ref="BP340" si="7475">BO340</f>
        <v>219013</v>
      </c>
      <c r="BQ340" s="293">
        <f t="shared" ref="BQ340" si="7476">BP340</f>
        <v>219013</v>
      </c>
      <c r="BR340" s="293">
        <f>ROUND(BQ340*(1+取值表!$D$16),0)</f>
        <v>232811</v>
      </c>
      <c r="BS340" s="293">
        <f t="shared" ref="BS340" si="7477">BR340</f>
        <v>232811</v>
      </c>
      <c r="BT340" s="293">
        <f t="shared" ref="BT340" si="7478">BS340</f>
        <v>232811</v>
      </c>
      <c r="BU340" s="293">
        <f t="shared" ref="BU340" si="7479">BT340</f>
        <v>232811</v>
      </c>
      <c r="BV340" s="293">
        <f>ROUND(BU340*(1+取值表!$D$16),0)</f>
        <v>247478</v>
      </c>
      <c r="BW340" s="293">
        <f t="shared" ref="BW340" si="7480">BV340</f>
        <v>247478</v>
      </c>
      <c r="BX340" s="293">
        <f t="shared" ref="BX340" si="7481">BW340</f>
        <v>247478</v>
      </c>
      <c r="BY340" s="293">
        <f t="shared" ref="BY340" si="7482">BX340</f>
        <v>247478</v>
      </c>
      <c r="BZ340" s="293">
        <f>ROUND(BY340*(1+取值表!$D$16),0)</f>
        <v>263069</v>
      </c>
      <c r="CA340" s="293">
        <f t="shared" ref="CA340" si="7483">BZ340</f>
        <v>263069</v>
      </c>
      <c r="CB340" s="293">
        <f t="shared" ref="CB340" si="7484">CA340</f>
        <v>263069</v>
      </c>
      <c r="CC340" s="293">
        <f t="shared" ref="CC340" si="7485">CB340</f>
        <v>263069</v>
      </c>
      <c r="CD340" s="293">
        <f>ROUND(CC340*(1+取值表!$D$16),0)</f>
        <v>279642</v>
      </c>
      <c r="CE340" s="293">
        <f t="shared" ref="CE340" si="7486">CD340</f>
        <v>279642</v>
      </c>
      <c r="CF340" s="293">
        <f t="shared" ref="CF340" si="7487">CE340</f>
        <v>279642</v>
      </c>
      <c r="CG340" s="293">
        <f t="shared" ref="CG340" si="7488">CF340</f>
        <v>279642</v>
      </c>
      <c r="CH340" s="293">
        <f>ROUND(CG340*(1+取值表!$D$16),0)</f>
        <v>297259</v>
      </c>
      <c r="CI340" s="293">
        <f>CH340</f>
        <v>297259</v>
      </c>
      <c r="CJ340" s="293">
        <f t="shared" ref="CJ340" si="7489">CI340</f>
        <v>297259</v>
      </c>
      <c r="CK340" s="293">
        <f t="shared" ref="CK340" si="7490">CJ340</f>
        <v>297259</v>
      </c>
      <c r="CL340" s="293">
        <f>ROUND(CK340*(1+取值表!$D$16),0)</f>
        <v>315986</v>
      </c>
      <c r="CM340" s="293">
        <f>CL340</f>
        <v>315986</v>
      </c>
      <c r="CN340" s="293">
        <f t="shared" ref="CN340" si="7491">CM340</f>
        <v>315986</v>
      </c>
      <c r="CO340" s="293">
        <f t="shared" ref="CO340" si="7492">CN340</f>
        <v>315986</v>
      </c>
      <c r="CP340" s="293">
        <f t="shared" si="7102"/>
        <v>15438132</v>
      </c>
    </row>
    <row r="341" spans="1:212">
      <c r="A341" s="670"/>
      <c r="B341" s="690"/>
      <c r="C341" s="674"/>
      <c r="D341" s="676"/>
      <c r="E341" s="678"/>
      <c r="F341" s="666"/>
      <c r="G341" s="666"/>
      <c r="H341" s="668"/>
      <c r="I341" s="291"/>
      <c r="J341" s="295"/>
      <c r="K341" s="293"/>
      <c r="L341" s="293"/>
      <c r="M341" s="293"/>
      <c r="N341" s="293"/>
      <c r="O341" s="293"/>
      <c r="P341" s="293"/>
      <c r="Q341" s="293"/>
      <c r="R341" s="293"/>
      <c r="S341" s="293"/>
      <c r="T341" s="293"/>
      <c r="U341" s="293"/>
      <c r="V341" s="293"/>
      <c r="W341" s="293"/>
      <c r="X341" s="293"/>
      <c r="Y341" s="293"/>
      <c r="Z341" s="293"/>
      <c r="AA341" s="293"/>
      <c r="AB341" s="293"/>
      <c r="AC341" s="293"/>
      <c r="AD341" s="293"/>
      <c r="AE341" s="293"/>
      <c r="AF341" s="293"/>
      <c r="AG341" s="293"/>
      <c r="AH341" s="293"/>
      <c r="AI341" s="293"/>
      <c r="AJ341" s="293"/>
      <c r="AK341" s="293"/>
      <c r="AL341" s="293"/>
      <c r="AM341" s="293"/>
      <c r="AN341" s="293"/>
      <c r="AO341" s="293"/>
      <c r="AP341" s="293"/>
      <c r="AQ341" s="293"/>
      <c r="AR341" s="293"/>
      <c r="AS341" s="293"/>
      <c r="AT341" s="293"/>
      <c r="AU341" s="293"/>
      <c r="AV341" s="293"/>
      <c r="AW341" s="293"/>
      <c r="AX341" s="293"/>
      <c r="AY341" s="293"/>
      <c r="AZ341" s="293"/>
      <c r="BA341" s="293"/>
      <c r="BB341" s="293"/>
      <c r="BC341" s="293"/>
      <c r="BD341" s="293"/>
      <c r="BE341" s="293"/>
      <c r="BF341" s="293"/>
      <c r="BG341" s="293"/>
      <c r="BH341" s="293"/>
      <c r="BI341" s="293"/>
      <c r="BJ341" s="293"/>
      <c r="BK341" s="293"/>
      <c r="BL341" s="293"/>
      <c r="BM341" s="293"/>
      <c r="BN341" s="293"/>
      <c r="BO341" s="293"/>
      <c r="BP341" s="293"/>
      <c r="BQ341" s="293"/>
      <c r="BR341" s="293"/>
      <c r="BS341" s="293"/>
      <c r="BT341" s="293"/>
      <c r="BU341" s="293"/>
      <c r="BV341" s="293"/>
      <c r="BW341" s="293"/>
      <c r="BX341" s="293"/>
      <c r="BY341" s="293"/>
      <c r="BZ341" s="293"/>
      <c r="CA341" s="293"/>
      <c r="CB341" s="293"/>
      <c r="CC341" s="293"/>
      <c r="CD341" s="293"/>
      <c r="CE341" s="293"/>
      <c r="CF341" s="293"/>
      <c r="CG341" s="293"/>
      <c r="CH341" s="293"/>
      <c r="CI341" s="293"/>
      <c r="CJ341" s="293"/>
      <c r="CK341" s="293"/>
      <c r="CL341" s="293"/>
      <c r="CM341" s="293"/>
      <c r="CN341" s="293"/>
      <c r="CO341" s="293"/>
      <c r="CP341" s="293">
        <f t="shared" si="7102"/>
        <v>0</v>
      </c>
    </row>
    <row r="342" spans="1:212">
      <c r="A342" s="669">
        <v>175</v>
      </c>
      <c r="B342" s="689" t="s">
        <v>307</v>
      </c>
      <c r="C342" s="673" t="s">
        <v>308</v>
      </c>
      <c r="D342" s="675" t="s">
        <v>524</v>
      </c>
      <c r="E342" s="677" t="s">
        <v>522</v>
      </c>
      <c r="F342" s="665">
        <v>60</v>
      </c>
      <c r="G342" s="665">
        <v>16</v>
      </c>
      <c r="H342" s="667">
        <f>F342*G342*365</f>
        <v>350400</v>
      </c>
      <c r="I342" s="291">
        <v>57513.05</v>
      </c>
      <c r="J342" s="295">
        <f>ROUND(G342*F342*365/4,0)</f>
        <v>87600</v>
      </c>
      <c r="K342" s="293">
        <f t="shared" ref="K342:N342" si="7493">J342</f>
        <v>87600</v>
      </c>
      <c r="L342" s="293">
        <f t="shared" si="7493"/>
        <v>87600</v>
      </c>
      <c r="M342" s="293">
        <f t="shared" si="7493"/>
        <v>87600</v>
      </c>
      <c r="N342" s="292">
        <f t="shared" si="7493"/>
        <v>87600</v>
      </c>
      <c r="O342" s="293">
        <f>N342</f>
        <v>87600</v>
      </c>
      <c r="P342" s="293">
        <f>O342</f>
        <v>87600</v>
      </c>
      <c r="Q342" s="293">
        <f>P342</f>
        <v>87600</v>
      </c>
      <c r="R342" s="293">
        <f>ROUND(Q342*(1+取值表!$D$16)*取值表!$I$16,0)</f>
        <v>87625</v>
      </c>
      <c r="S342" s="293">
        <f>R342</f>
        <v>87625</v>
      </c>
      <c r="T342" s="293">
        <f>S342</f>
        <v>87625</v>
      </c>
      <c r="U342" s="293">
        <f>T342</f>
        <v>87625</v>
      </c>
      <c r="V342" s="294">
        <f>ROUND(U342*(1+取值表!$D$14),0)</f>
        <v>93145</v>
      </c>
      <c r="W342" s="293">
        <f t="shared" ref="W342:Y342" si="7494">V342</f>
        <v>93145</v>
      </c>
      <c r="X342" s="293">
        <f t="shared" si="7494"/>
        <v>93145</v>
      </c>
      <c r="Y342" s="293">
        <f t="shared" si="7494"/>
        <v>93145</v>
      </c>
      <c r="Z342" s="293">
        <f>ROUND(Y342*(1+取值表!$D$16),0)</f>
        <v>99013</v>
      </c>
      <c r="AA342" s="293">
        <f t="shared" ref="AA342:AB342" si="7495">Z342</f>
        <v>99013</v>
      </c>
      <c r="AB342" s="293">
        <f t="shared" si="7495"/>
        <v>99013</v>
      </c>
      <c r="AC342" s="293">
        <f>AB342</f>
        <v>99013</v>
      </c>
      <c r="AD342" s="293">
        <f>ROUND(AC342*(1+取值表!$D$16),0)</f>
        <v>105251</v>
      </c>
      <c r="AE342" s="293">
        <f t="shared" ref="AE342" si="7496">AD342</f>
        <v>105251</v>
      </c>
      <c r="AF342" s="293">
        <f t="shared" ref="AF342" si="7497">AE342</f>
        <v>105251</v>
      </c>
      <c r="AG342" s="293">
        <f t="shared" ref="AG342" si="7498">AF342</f>
        <v>105251</v>
      </c>
      <c r="AH342" s="293">
        <f>ROUND(AG342*(1+取值表!$D$16),0)</f>
        <v>111882</v>
      </c>
      <c r="AI342" s="293">
        <f t="shared" ref="AI342" si="7499">AH342</f>
        <v>111882</v>
      </c>
      <c r="AJ342" s="293">
        <f t="shared" ref="AJ342" si="7500">AI342</f>
        <v>111882</v>
      </c>
      <c r="AK342" s="293">
        <f t="shared" ref="AK342" si="7501">AJ342</f>
        <v>111882</v>
      </c>
      <c r="AL342" s="293">
        <f>ROUND(AK342*(1+取值表!$D$16),0)</f>
        <v>118931</v>
      </c>
      <c r="AM342" s="293">
        <f t="shared" ref="AM342" si="7502">AL342</f>
        <v>118931</v>
      </c>
      <c r="AN342" s="293">
        <f t="shared" ref="AN342" si="7503">AM342</f>
        <v>118931</v>
      </c>
      <c r="AO342" s="293">
        <f t="shared" ref="AO342" si="7504">AN342</f>
        <v>118931</v>
      </c>
      <c r="AP342" s="293">
        <f>ROUND(AO342*(1+取值表!$D$16),0)</f>
        <v>126424</v>
      </c>
      <c r="AQ342" s="293">
        <f t="shared" ref="AQ342" si="7505">AP342</f>
        <v>126424</v>
      </c>
      <c r="AR342" s="293">
        <f t="shared" ref="AR342" si="7506">AQ342</f>
        <v>126424</v>
      </c>
      <c r="AS342" s="293">
        <f t="shared" ref="AS342" si="7507">AR342</f>
        <v>126424</v>
      </c>
      <c r="AT342" s="293">
        <f>ROUND(AS342*(1+取值表!$D$16),0)</f>
        <v>134389</v>
      </c>
      <c r="AU342" s="293">
        <f t="shared" ref="AU342" si="7508">AT342</f>
        <v>134389</v>
      </c>
      <c r="AV342" s="293">
        <f t="shared" ref="AV342" si="7509">AU342</f>
        <v>134389</v>
      </c>
      <c r="AW342" s="293">
        <f t="shared" ref="AW342" si="7510">AV342</f>
        <v>134389</v>
      </c>
      <c r="AX342" s="293">
        <f>ROUND(AW342*(1+取值表!$D$16),0)</f>
        <v>142856</v>
      </c>
      <c r="AY342" s="293">
        <f t="shared" ref="AY342" si="7511">AX342</f>
        <v>142856</v>
      </c>
      <c r="AZ342" s="293">
        <f t="shared" ref="AZ342" si="7512">AY342</f>
        <v>142856</v>
      </c>
      <c r="BA342" s="293">
        <f t="shared" ref="BA342" si="7513">AZ342</f>
        <v>142856</v>
      </c>
      <c r="BB342" s="293">
        <f>ROUND(BA342*(1+取值表!$D$16),0)</f>
        <v>151856</v>
      </c>
      <c r="BC342" s="293">
        <f>BB342</f>
        <v>151856</v>
      </c>
      <c r="BD342" s="293">
        <f t="shared" ref="BD342" si="7514">BC342</f>
        <v>151856</v>
      </c>
      <c r="BE342" s="293">
        <f>BD342</f>
        <v>151856</v>
      </c>
      <c r="BF342" s="293">
        <f>ROUND(BE342*(1+取值表!$D$16),0)</f>
        <v>161423</v>
      </c>
      <c r="BG342" s="293">
        <f>BF342</f>
        <v>161423</v>
      </c>
      <c r="BH342" s="293">
        <f t="shared" ref="BH342" si="7515">BG342</f>
        <v>161423</v>
      </c>
      <c r="BI342" s="293">
        <f t="shared" ref="BI342" si="7516">BH342</f>
        <v>161423</v>
      </c>
      <c r="BJ342" s="293">
        <f>ROUND(BI342*(1+取值表!$D$16),0)</f>
        <v>171593</v>
      </c>
      <c r="BK342" s="293">
        <f t="shared" ref="BK342" si="7517">BJ342</f>
        <v>171593</v>
      </c>
      <c r="BL342" s="293">
        <f t="shared" ref="BL342" si="7518">BK342</f>
        <v>171593</v>
      </c>
      <c r="BM342" s="293">
        <f t="shared" ref="BM342" si="7519">BL342</f>
        <v>171593</v>
      </c>
      <c r="BN342" s="293">
        <f>ROUND(BM342*(1+取值表!$D$16),0)</f>
        <v>182403</v>
      </c>
      <c r="BO342" s="293">
        <f t="shared" ref="BO342" si="7520">BN342</f>
        <v>182403</v>
      </c>
      <c r="BP342" s="293">
        <f t="shared" ref="BP342" si="7521">BO342</f>
        <v>182403</v>
      </c>
      <c r="BQ342" s="293">
        <f t="shared" ref="BQ342" si="7522">BP342</f>
        <v>182403</v>
      </c>
      <c r="BR342" s="293">
        <f>ROUND(BQ342*(1+取值表!$D$16),0)</f>
        <v>193894</v>
      </c>
      <c r="BS342" s="293">
        <f t="shared" ref="BS342" si="7523">BR342</f>
        <v>193894</v>
      </c>
      <c r="BT342" s="293">
        <f t="shared" ref="BT342" si="7524">BS342</f>
        <v>193894</v>
      </c>
      <c r="BU342" s="293">
        <f t="shared" ref="BU342" si="7525">BT342</f>
        <v>193894</v>
      </c>
      <c r="BV342" s="293">
        <f>ROUND(BU342*(1+取值表!$D$16),0)</f>
        <v>206109</v>
      </c>
      <c r="BW342" s="293">
        <f t="shared" ref="BW342" si="7526">BV342</f>
        <v>206109</v>
      </c>
      <c r="BX342" s="293">
        <f t="shared" ref="BX342" si="7527">BW342</f>
        <v>206109</v>
      </c>
      <c r="BY342" s="293">
        <f t="shared" ref="BY342" si="7528">BX342</f>
        <v>206109</v>
      </c>
      <c r="BZ342" s="293">
        <f>ROUND(BY342*(1+取值表!$D$16),0)</f>
        <v>219094</v>
      </c>
      <c r="CA342" s="293">
        <f t="shared" ref="CA342" si="7529">BZ342</f>
        <v>219094</v>
      </c>
      <c r="CB342" s="293">
        <f t="shared" ref="CB342" si="7530">CA342</f>
        <v>219094</v>
      </c>
      <c r="CC342" s="293">
        <f t="shared" ref="CC342" si="7531">CB342</f>
        <v>219094</v>
      </c>
      <c r="CD342" s="293">
        <f>ROUND(CC342*(1+取值表!$D$16),0)</f>
        <v>232897</v>
      </c>
      <c r="CE342" s="293">
        <f t="shared" ref="CE342" si="7532">CD342</f>
        <v>232897</v>
      </c>
      <c r="CF342" s="293">
        <f t="shared" ref="CF342" si="7533">CE342</f>
        <v>232897</v>
      </c>
      <c r="CG342" s="293">
        <f t="shared" ref="CG342" si="7534">CF342</f>
        <v>232897</v>
      </c>
      <c r="CH342" s="293">
        <f>ROUND(CG342*(1+取值表!$D$16),0)</f>
        <v>247570</v>
      </c>
      <c r="CI342" s="293">
        <f>CH342</f>
        <v>247570</v>
      </c>
      <c r="CJ342" s="293">
        <f t="shared" ref="CJ342" si="7535">CI342</f>
        <v>247570</v>
      </c>
      <c r="CK342" s="293">
        <f t="shared" ref="CK342" si="7536">CJ342</f>
        <v>247570</v>
      </c>
      <c r="CL342" s="293">
        <f>ROUND(CK342*(1+取值表!$D$16),0)</f>
        <v>263167</v>
      </c>
      <c r="CM342" s="293">
        <f>CL342</f>
        <v>263167</v>
      </c>
      <c r="CN342" s="293">
        <f t="shared" ref="CN342" si="7537">CM342</f>
        <v>263167</v>
      </c>
      <c r="CO342" s="293">
        <f t="shared" ref="CO342" si="7538">CN342</f>
        <v>263167</v>
      </c>
      <c r="CP342" s="293">
        <f t="shared" si="7102"/>
        <v>12898888</v>
      </c>
    </row>
    <row r="343" spans="1:212">
      <c r="A343" s="670"/>
      <c r="B343" s="690"/>
      <c r="C343" s="674"/>
      <c r="D343" s="676"/>
      <c r="E343" s="678"/>
      <c r="F343" s="666"/>
      <c r="G343" s="666"/>
      <c r="H343" s="668"/>
      <c r="I343" s="291"/>
      <c r="J343" s="295"/>
      <c r="K343" s="293"/>
      <c r="L343" s="293"/>
      <c r="M343" s="293"/>
      <c r="N343" s="293"/>
      <c r="O343" s="293"/>
      <c r="P343" s="293"/>
      <c r="Q343" s="293"/>
      <c r="R343" s="293"/>
      <c r="S343" s="293"/>
      <c r="T343" s="293"/>
      <c r="U343" s="293"/>
      <c r="V343" s="293"/>
      <c r="W343" s="293"/>
      <c r="X343" s="293"/>
      <c r="Y343" s="293"/>
      <c r="Z343" s="293"/>
      <c r="AA343" s="293"/>
      <c r="AB343" s="293"/>
      <c r="AC343" s="293"/>
      <c r="AD343" s="293"/>
      <c r="AE343" s="293"/>
      <c r="AF343" s="293"/>
      <c r="AG343" s="293"/>
      <c r="AH343" s="293"/>
      <c r="AI343" s="293"/>
      <c r="AJ343" s="293"/>
      <c r="AK343" s="293"/>
      <c r="AL343" s="293"/>
      <c r="AM343" s="293"/>
      <c r="AN343" s="293"/>
      <c r="AO343" s="293"/>
      <c r="AP343" s="293"/>
      <c r="AQ343" s="293"/>
      <c r="AR343" s="293"/>
      <c r="AS343" s="293"/>
      <c r="AT343" s="293"/>
      <c r="AU343" s="293"/>
      <c r="AV343" s="293"/>
      <c r="AW343" s="293"/>
      <c r="AX343" s="293"/>
      <c r="AY343" s="293"/>
      <c r="AZ343" s="293"/>
      <c r="BA343" s="293"/>
      <c r="BB343" s="293"/>
      <c r="BC343" s="293"/>
      <c r="BD343" s="293"/>
      <c r="BE343" s="293"/>
      <c r="BF343" s="293"/>
      <c r="BG343" s="293"/>
      <c r="BH343" s="293"/>
      <c r="BI343" s="293"/>
      <c r="BJ343" s="293"/>
      <c r="BK343" s="293"/>
      <c r="BL343" s="293"/>
      <c r="BM343" s="293"/>
      <c r="BN343" s="293"/>
      <c r="BO343" s="293"/>
      <c r="BP343" s="293"/>
      <c r="BQ343" s="293"/>
      <c r="BR343" s="293"/>
      <c r="BS343" s="293"/>
      <c r="BT343" s="293"/>
      <c r="BU343" s="293"/>
      <c r="BV343" s="293"/>
      <c r="BW343" s="293"/>
      <c r="BX343" s="293"/>
      <c r="BY343" s="293"/>
      <c r="BZ343" s="293"/>
      <c r="CA343" s="293"/>
      <c r="CB343" s="293"/>
      <c r="CC343" s="293"/>
      <c r="CD343" s="293"/>
      <c r="CE343" s="293"/>
      <c r="CF343" s="293"/>
      <c r="CG343" s="293"/>
      <c r="CH343" s="293"/>
      <c r="CI343" s="293"/>
      <c r="CJ343" s="293"/>
      <c r="CK343" s="293"/>
      <c r="CL343" s="293"/>
      <c r="CM343" s="293"/>
      <c r="CN343" s="293"/>
      <c r="CO343" s="293"/>
      <c r="CP343" s="293">
        <f t="shared" si="7102"/>
        <v>0</v>
      </c>
    </row>
    <row r="344" spans="1:212" ht="15" customHeight="1">
      <c r="A344" s="669">
        <v>176</v>
      </c>
      <c r="B344" s="689" t="s">
        <v>309</v>
      </c>
      <c r="C344" s="673" t="s">
        <v>310</v>
      </c>
      <c r="D344" s="675" t="s">
        <v>517</v>
      </c>
      <c r="E344" s="677" t="s">
        <v>522</v>
      </c>
      <c r="F344" s="665">
        <v>44.95</v>
      </c>
      <c r="G344" s="665">
        <v>18</v>
      </c>
      <c r="H344" s="667">
        <f>F344*G344*365</f>
        <v>295321.5</v>
      </c>
      <c r="I344" s="291">
        <v>73830.38</v>
      </c>
      <c r="J344" s="295">
        <f>ROUND(G344*F344*365/4,0)</f>
        <v>73830</v>
      </c>
      <c r="K344" s="292">
        <f>J344</f>
        <v>73830</v>
      </c>
      <c r="L344" s="293">
        <f>K344</f>
        <v>73830</v>
      </c>
      <c r="M344" s="293">
        <f>L344</f>
        <v>73830</v>
      </c>
      <c r="N344" s="293">
        <f>ROUND(M344*(1+取值表!$D$16)*取值表!$I$16,0)</f>
        <v>73851</v>
      </c>
      <c r="O344" s="293">
        <f>N344</f>
        <v>73851</v>
      </c>
      <c r="P344" s="293">
        <f>O344</f>
        <v>73851</v>
      </c>
      <c r="Q344" s="293">
        <f>P344</f>
        <v>73851</v>
      </c>
      <c r="R344" s="294">
        <f>ROUND(Q344*(1+取值表!$D$14),0)</f>
        <v>78504</v>
      </c>
      <c r="S344" s="293">
        <f t="shared" ref="S344:T344" si="7539">R344</f>
        <v>78504</v>
      </c>
      <c r="T344" s="293">
        <f t="shared" si="7539"/>
        <v>78504</v>
      </c>
      <c r="U344" s="293">
        <f>T344</f>
        <v>78504</v>
      </c>
      <c r="V344" s="293">
        <f>ROUND(U344*(1+取值表!$D$16),0)</f>
        <v>83450</v>
      </c>
      <c r="W344" s="293">
        <f t="shared" ref="W344:Y344" si="7540">V344</f>
        <v>83450</v>
      </c>
      <c r="X344" s="293">
        <f t="shared" si="7540"/>
        <v>83450</v>
      </c>
      <c r="Y344" s="293">
        <f t="shared" si="7540"/>
        <v>83450</v>
      </c>
      <c r="Z344" s="293">
        <f>ROUND(Y344*(1+取值表!$D$16),0)</f>
        <v>88707</v>
      </c>
      <c r="AA344" s="293">
        <f t="shared" ref="AA344" si="7541">Z344</f>
        <v>88707</v>
      </c>
      <c r="AB344" s="293">
        <f t="shared" ref="AB344" si="7542">AA344</f>
        <v>88707</v>
      </c>
      <c r="AC344" s="293">
        <f>AB344</f>
        <v>88707</v>
      </c>
      <c r="AD344" s="293">
        <f>ROUND(AC344*(1+取值表!$D$16),0)</f>
        <v>94296</v>
      </c>
      <c r="AE344" s="293">
        <f t="shared" ref="AE344" si="7543">AD344</f>
        <v>94296</v>
      </c>
      <c r="AF344" s="293">
        <f t="shared" ref="AF344" si="7544">AE344</f>
        <v>94296</v>
      </c>
      <c r="AG344" s="293">
        <f t="shared" ref="AG344" si="7545">AF344</f>
        <v>94296</v>
      </c>
      <c r="AH344" s="293">
        <f>ROUND(AG344*(1+取值表!$D$16),0)</f>
        <v>100237</v>
      </c>
      <c r="AI344" s="293">
        <f t="shared" ref="AI344" si="7546">AH344</f>
        <v>100237</v>
      </c>
      <c r="AJ344" s="293">
        <f t="shared" ref="AJ344" si="7547">AI344</f>
        <v>100237</v>
      </c>
      <c r="AK344" s="293">
        <f t="shared" ref="AK344" si="7548">AJ344</f>
        <v>100237</v>
      </c>
      <c r="AL344" s="293">
        <f>ROUND(AK344*(1+取值表!$D$16),0)</f>
        <v>106552</v>
      </c>
      <c r="AM344" s="293">
        <f t="shared" ref="AM344" si="7549">AL344</f>
        <v>106552</v>
      </c>
      <c r="AN344" s="293">
        <f t="shared" ref="AN344" si="7550">AM344</f>
        <v>106552</v>
      </c>
      <c r="AO344" s="293">
        <f t="shared" ref="AO344" si="7551">AN344</f>
        <v>106552</v>
      </c>
      <c r="AP344" s="293">
        <f>ROUND(AO344*(1+取值表!$D$16),0)</f>
        <v>113265</v>
      </c>
      <c r="AQ344" s="293">
        <f t="shared" ref="AQ344" si="7552">AP344</f>
        <v>113265</v>
      </c>
      <c r="AR344" s="293">
        <f t="shared" ref="AR344" si="7553">AQ344</f>
        <v>113265</v>
      </c>
      <c r="AS344" s="293">
        <f t="shared" ref="AS344" si="7554">AR344</f>
        <v>113265</v>
      </c>
      <c r="AT344" s="293">
        <f>ROUND(AS344*(1+取值表!$D$16),0)</f>
        <v>120401</v>
      </c>
      <c r="AU344" s="293">
        <f t="shared" ref="AU344" si="7555">AT344</f>
        <v>120401</v>
      </c>
      <c r="AV344" s="293">
        <f t="shared" ref="AV344" si="7556">AU344</f>
        <v>120401</v>
      </c>
      <c r="AW344" s="293">
        <f t="shared" ref="AW344" si="7557">AV344</f>
        <v>120401</v>
      </c>
      <c r="AX344" s="293">
        <f>ROUND(AW344*(1+取值表!$D$16),0)</f>
        <v>127986</v>
      </c>
      <c r="AY344" s="293">
        <f t="shared" ref="AY344" si="7558">AX344</f>
        <v>127986</v>
      </c>
      <c r="AZ344" s="293">
        <f t="shared" ref="AZ344" si="7559">AY344</f>
        <v>127986</v>
      </c>
      <c r="BA344" s="293">
        <f t="shared" ref="BA344" si="7560">AZ344</f>
        <v>127986</v>
      </c>
      <c r="BB344" s="293">
        <f>ROUND(BA344*(1+取值表!$D$16),0)</f>
        <v>136049</v>
      </c>
      <c r="BC344" s="293">
        <f>BB344</f>
        <v>136049</v>
      </c>
      <c r="BD344" s="293">
        <f t="shared" ref="BD344" si="7561">BC344</f>
        <v>136049</v>
      </c>
      <c r="BE344" s="293">
        <f>BD344</f>
        <v>136049</v>
      </c>
      <c r="BF344" s="293">
        <f>ROUND(BE344*(1+取值表!$D$16),0)</f>
        <v>144620</v>
      </c>
      <c r="BG344" s="293">
        <f>BF344</f>
        <v>144620</v>
      </c>
      <c r="BH344" s="293">
        <f t="shared" ref="BH344" si="7562">BG344</f>
        <v>144620</v>
      </c>
      <c r="BI344" s="293">
        <f t="shared" ref="BI344" si="7563">BH344</f>
        <v>144620</v>
      </c>
      <c r="BJ344" s="293">
        <f>ROUND(BI344*(1+取值表!$D$16),0)</f>
        <v>153731</v>
      </c>
      <c r="BK344" s="293">
        <f t="shared" ref="BK344" si="7564">BJ344</f>
        <v>153731</v>
      </c>
      <c r="BL344" s="293">
        <f t="shared" ref="BL344" si="7565">BK344</f>
        <v>153731</v>
      </c>
      <c r="BM344" s="293">
        <f t="shared" ref="BM344" si="7566">BL344</f>
        <v>153731</v>
      </c>
      <c r="BN344" s="293">
        <f>ROUND(BM344*(1+取值表!$D$16),0)</f>
        <v>163416</v>
      </c>
      <c r="BO344" s="293">
        <f t="shared" ref="BO344" si="7567">BN344</f>
        <v>163416</v>
      </c>
      <c r="BP344" s="293">
        <f t="shared" ref="BP344" si="7568">BO344</f>
        <v>163416</v>
      </c>
      <c r="BQ344" s="293">
        <f t="shared" ref="BQ344" si="7569">BP344</f>
        <v>163416</v>
      </c>
      <c r="BR344" s="293">
        <f>ROUND(BQ344*(1+取值表!$D$16),0)</f>
        <v>173711</v>
      </c>
      <c r="BS344" s="293">
        <f t="shared" ref="BS344" si="7570">BR344</f>
        <v>173711</v>
      </c>
      <c r="BT344" s="293">
        <f t="shared" ref="BT344" si="7571">BS344</f>
        <v>173711</v>
      </c>
      <c r="BU344" s="293">
        <f t="shared" ref="BU344" si="7572">BT344</f>
        <v>173711</v>
      </c>
      <c r="BV344" s="293">
        <f>ROUND(BU344*(1+取值表!$D$16),0)</f>
        <v>184655</v>
      </c>
      <c r="BW344" s="293">
        <f t="shared" ref="BW344" si="7573">BV344</f>
        <v>184655</v>
      </c>
      <c r="BX344" s="293">
        <f t="shared" ref="BX344" si="7574">BW344</f>
        <v>184655</v>
      </c>
      <c r="BY344" s="293">
        <f t="shared" ref="BY344" si="7575">BX344</f>
        <v>184655</v>
      </c>
      <c r="BZ344" s="293">
        <f>ROUND(BY344*(1+取值表!$D$16),0)</f>
        <v>196288</v>
      </c>
      <c r="CA344" s="293">
        <f t="shared" ref="CA344" si="7576">BZ344</f>
        <v>196288</v>
      </c>
      <c r="CB344" s="293">
        <f t="shared" ref="CB344" si="7577">CA344</f>
        <v>196288</v>
      </c>
      <c r="CC344" s="293">
        <f t="shared" ref="CC344" si="7578">CB344</f>
        <v>196288</v>
      </c>
      <c r="CD344" s="293">
        <f>ROUND(CC344*(1+取值表!$D$16),0)</f>
        <v>208654</v>
      </c>
      <c r="CE344" s="293">
        <f t="shared" ref="CE344" si="7579">CD344</f>
        <v>208654</v>
      </c>
      <c r="CF344" s="293">
        <f t="shared" ref="CF344" si="7580">CE344</f>
        <v>208654</v>
      </c>
      <c r="CG344" s="293">
        <f t="shared" ref="CG344" si="7581">CF344</f>
        <v>208654</v>
      </c>
      <c r="CH344" s="293">
        <f>ROUND(CG344*(1+取值表!$D$16),0)</f>
        <v>221799</v>
      </c>
      <c r="CI344" s="293">
        <f>CH344</f>
        <v>221799</v>
      </c>
      <c r="CJ344" s="293">
        <f t="shared" ref="CJ344" si="7582">CI344</f>
        <v>221799</v>
      </c>
      <c r="CK344" s="293">
        <f t="shared" ref="CK344" si="7583">CJ344</f>
        <v>221799</v>
      </c>
      <c r="CL344" s="293">
        <f>ROUND(CK344*(1+取值表!$D$16),0)</f>
        <v>235772</v>
      </c>
      <c r="CM344" s="293">
        <f>CL344</f>
        <v>235772</v>
      </c>
      <c r="CN344" s="293">
        <f t="shared" ref="CN344" si="7584">CM344</f>
        <v>235772</v>
      </c>
      <c r="CO344" s="293">
        <f t="shared" ref="CO344" si="7585">CN344</f>
        <v>235772</v>
      </c>
      <c r="CP344" s="293">
        <f t="shared" si="7102"/>
        <v>11519096</v>
      </c>
    </row>
    <row r="345" spans="1:212">
      <c r="A345" s="670"/>
      <c r="B345" s="690"/>
      <c r="C345" s="674"/>
      <c r="D345" s="676"/>
      <c r="E345" s="678"/>
      <c r="F345" s="666"/>
      <c r="G345" s="666"/>
      <c r="H345" s="668"/>
      <c r="I345" s="291"/>
      <c r="J345" s="295"/>
      <c r="K345" s="293"/>
      <c r="L345" s="293"/>
      <c r="M345" s="293"/>
      <c r="N345" s="293"/>
      <c r="O345" s="293"/>
      <c r="P345" s="293"/>
      <c r="Q345" s="293"/>
      <c r="R345" s="293"/>
      <c r="S345" s="293"/>
      <c r="T345" s="293"/>
      <c r="U345" s="293"/>
      <c r="V345" s="293"/>
      <c r="W345" s="293"/>
      <c r="X345" s="293"/>
      <c r="Y345" s="293"/>
      <c r="Z345" s="293"/>
      <c r="AA345" s="293"/>
      <c r="AB345" s="293"/>
      <c r="AC345" s="293"/>
      <c r="AD345" s="293"/>
      <c r="AE345" s="293"/>
      <c r="AF345" s="293"/>
      <c r="AG345" s="293"/>
      <c r="AH345" s="293"/>
      <c r="AI345" s="293"/>
      <c r="AJ345" s="293"/>
      <c r="AK345" s="293"/>
      <c r="AL345" s="293"/>
      <c r="AM345" s="293"/>
      <c r="AN345" s="293"/>
      <c r="AO345" s="293"/>
      <c r="AP345" s="293"/>
      <c r="AQ345" s="293"/>
      <c r="AR345" s="293"/>
      <c r="AS345" s="293"/>
      <c r="AT345" s="293"/>
      <c r="AU345" s="293"/>
      <c r="AV345" s="293"/>
      <c r="AW345" s="293"/>
      <c r="AX345" s="293"/>
      <c r="AY345" s="293"/>
      <c r="AZ345" s="293"/>
      <c r="BA345" s="293"/>
      <c r="BB345" s="293"/>
      <c r="BC345" s="293"/>
      <c r="BD345" s="293"/>
      <c r="BE345" s="293"/>
      <c r="BF345" s="293"/>
      <c r="BG345" s="293"/>
      <c r="BH345" s="293"/>
      <c r="BI345" s="293"/>
      <c r="BJ345" s="293"/>
      <c r="BK345" s="293"/>
      <c r="BL345" s="293"/>
      <c r="BM345" s="293"/>
      <c r="BN345" s="293"/>
      <c r="BO345" s="293"/>
      <c r="BP345" s="293"/>
      <c r="BQ345" s="293"/>
      <c r="BR345" s="293"/>
      <c r="BS345" s="293"/>
      <c r="BT345" s="293"/>
      <c r="BU345" s="293"/>
      <c r="BV345" s="293"/>
      <c r="BW345" s="293"/>
      <c r="BX345" s="293"/>
      <c r="BY345" s="293"/>
      <c r="BZ345" s="293"/>
      <c r="CA345" s="293"/>
      <c r="CB345" s="293"/>
      <c r="CC345" s="293"/>
      <c r="CD345" s="293"/>
      <c r="CE345" s="293"/>
      <c r="CF345" s="293"/>
      <c r="CG345" s="293"/>
      <c r="CH345" s="293"/>
      <c r="CI345" s="293"/>
      <c r="CJ345" s="293"/>
      <c r="CK345" s="293"/>
      <c r="CL345" s="293"/>
      <c r="CM345" s="293"/>
      <c r="CN345" s="293"/>
      <c r="CO345" s="293"/>
      <c r="CP345" s="293">
        <f t="shared" si="7102"/>
        <v>0</v>
      </c>
    </row>
    <row r="346" spans="1:212" ht="12">
      <c r="A346" s="669">
        <v>177</v>
      </c>
      <c r="B346" s="692" t="s">
        <v>311</v>
      </c>
      <c r="C346" s="646" t="s">
        <v>312</v>
      </c>
      <c r="D346" s="647" t="s">
        <v>525</v>
      </c>
      <c r="E346" s="648" t="s">
        <v>522</v>
      </c>
      <c r="F346" s="642">
        <v>14.81</v>
      </c>
      <c r="G346" s="642">
        <v>20</v>
      </c>
      <c r="H346" s="643">
        <f>F346*G346*365</f>
        <v>108113</v>
      </c>
      <c r="I346" s="291">
        <v>24325.43</v>
      </c>
      <c r="J346" s="295">
        <f>ROUND(G346*F346*365/4,0)</f>
        <v>27028</v>
      </c>
      <c r="K346" s="293">
        <f>J346</f>
        <v>27028</v>
      </c>
      <c r="L346" s="350">
        <f>K346</f>
        <v>27028</v>
      </c>
      <c r="M346" s="351">
        <f>L346</f>
        <v>27028</v>
      </c>
      <c r="N346" s="293">
        <f>ROUND(M346*(1+取值表!$D$16)*取值表!$I$16,0)</f>
        <v>27036</v>
      </c>
      <c r="O346" s="350">
        <f>N346</f>
        <v>27036</v>
      </c>
      <c r="P346" s="350">
        <f>O346</f>
        <v>27036</v>
      </c>
      <c r="Q346" s="350">
        <f>P346</f>
        <v>27036</v>
      </c>
      <c r="R346" s="294">
        <f>ROUND(Q346*(1+取值表!$D$14),0)</f>
        <v>28739</v>
      </c>
      <c r="S346" s="350">
        <f t="shared" ref="S346:T346" si="7586">R346</f>
        <v>28739</v>
      </c>
      <c r="T346" s="350">
        <f t="shared" si="7586"/>
        <v>28739</v>
      </c>
      <c r="U346" s="350">
        <f>T346</f>
        <v>28739</v>
      </c>
      <c r="V346" s="293">
        <f>ROUND(U346*(1+取值表!$D$16),0)</f>
        <v>30550</v>
      </c>
      <c r="W346" s="350">
        <f t="shared" ref="W346:Y346" si="7587">V346</f>
        <v>30550</v>
      </c>
      <c r="X346" s="350">
        <f t="shared" si="7587"/>
        <v>30550</v>
      </c>
      <c r="Y346" s="350">
        <f t="shared" si="7587"/>
        <v>30550</v>
      </c>
      <c r="Z346" s="293">
        <f>ROUND(Y346*(1+取值表!$D$16),0)</f>
        <v>32475</v>
      </c>
      <c r="AA346" s="350">
        <f t="shared" ref="AA346" si="7588">Z346</f>
        <v>32475</v>
      </c>
      <c r="AB346" s="350">
        <f t="shared" ref="AB346" si="7589">AA346</f>
        <v>32475</v>
      </c>
      <c r="AC346" s="350">
        <f>AB346</f>
        <v>32475</v>
      </c>
      <c r="AD346" s="293">
        <f>ROUND(AC346*(1+取值表!$D$16),0)</f>
        <v>34521</v>
      </c>
      <c r="AE346" s="350">
        <f t="shared" ref="AE346" si="7590">AD346</f>
        <v>34521</v>
      </c>
      <c r="AF346" s="350">
        <f t="shared" ref="AF346" si="7591">AE346</f>
        <v>34521</v>
      </c>
      <c r="AG346" s="350">
        <f t="shared" ref="AG346" si="7592">AF346</f>
        <v>34521</v>
      </c>
      <c r="AH346" s="293">
        <f>ROUND(AG346*(1+取值表!$D$16),0)</f>
        <v>36696</v>
      </c>
      <c r="AI346" s="350">
        <f t="shared" ref="AI346" si="7593">AH346</f>
        <v>36696</v>
      </c>
      <c r="AJ346" s="350">
        <f t="shared" ref="AJ346" si="7594">AI346</f>
        <v>36696</v>
      </c>
      <c r="AK346" s="350">
        <f t="shared" ref="AK346" si="7595">AJ346</f>
        <v>36696</v>
      </c>
      <c r="AL346" s="293">
        <f>ROUND(AK346*(1+取值表!$D$16),0)</f>
        <v>39008</v>
      </c>
      <c r="AM346" s="350">
        <f t="shared" ref="AM346" si="7596">AL346</f>
        <v>39008</v>
      </c>
      <c r="AN346" s="350">
        <f t="shared" ref="AN346" si="7597">AM346</f>
        <v>39008</v>
      </c>
      <c r="AO346" s="350">
        <f t="shared" ref="AO346" si="7598">AN346</f>
        <v>39008</v>
      </c>
      <c r="AP346" s="293">
        <f>ROUND(AO346*(1+取值表!$D$16),0)</f>
        <v>41466</v>
      </c>
      <c r="AQ346" s="350">
        <f t="shared" ref="AQ346" si="7599">AP346</f>
        <v>41466</v>
      </c>
      <c r="AR346" s="350">
        <f t="shared" ref="AR346" si="7600">AQ346</f>
        <v>41466</v>
      </c>
      <c r="AS346" s="350">
        <f t="shared" ref="AS346" si="7601">AR346</f>
        <v>41466</v>
      </c>
      <c r="AT346" s="293">
        <f>ROUND(AS346*(1+取值表!$D$16),0)</f>
        <v>44078</v>
      </c>
      <c r="AU346" s="350">
        <f t="shared" ref="AU346" si="7602">AT346</f>
        <v>44078</v>
      </c>
      <c r="AV346" s="350">
        <f t="shared" ref="AV346" si="7603">AU346</f>
        <v>44078</v>
      </c>
      <c r="AW346" s="350">
        <f t="shared" ref="AW346" si="7604">AV346</f>
        <v>44078</v>
      </c>
      <c r="AX346" s="293">
        <f>ROUND(AW346*(1+取值表!$D$16),0)</f>
        <v>46855</v>
      </c>
      <c r="AY346" s="350">
        <f t="shared" ref="AY346" si="7605">AX346</f>
        <v>46855</v>
      </c>
      <c r="AZ346" s="350">
        <f t="shared" ref="AZ346" si="7606">AY346</f>
        <v>46855</v>
      </c>
      <c r="BA346" s="350">
        <f t="shared" ref="BA346" si="7607">AZ346</f>
        <v>46855</v>
      </c>
      <c r="BB346" s="293">
        <f>ROUND(BA346*(1+取值表!$D$16),0)</f>
        <v>49807</v>
      </c>
      <c r="BC346" s="350">
        <f>BB346</f>
        <v>49807</v>
      </c>
      <c r="BD346" s="350">
        <f t="shared" ref="BD346" si="7608">BC346</f>
        <v>49807</v>
      </c>
      <c r="BE346" s="350">
        <f>BD346</f>
        <v>49807</v>
      </c>
      <c r="BF346" s="293">
        <f>ROUND(BE346*(1+取值表!$D$16),0)</f>
        <v>52945</v>
      </c>
      <c r="BG346" s="350">
        <f>BF346</f>
        <v>52945</v>
      </c>
      <c r="BH346" s="350">
        <f t="shared" ref="BH346" si="7609">BG346</f>
        <v>52945</v>
      </c>
      <c r="BI346" s="350">
        <f t="shared" ref="BI346" si="7610">BH346</f>
        <v>52945</v>
      </c>
      <c r="BJ346" s="293">
        <f>ROUND(BI346*(1+取值表!$D$16),0)</f>
        <v>56281</v>
      </c>
      <c r="BK346" s="350">
        <f t="shared" ref="BK346" si="7611">BJ346</f>
        <v>56281</v>
      </c>
      <c r="BL346" s="350">
        <f t="shared" ref="BL346" si="7612">BK346</f>
        <v>56281</v>
      </c>
      <c r="BM346" s="350">
        <f t="shared" ref="BM346" si="7613">BL346</f>
        <v>56281</v>
      </c>
      <c r="BN346" s="293">
        <f>ROUND(BM346*(1+取值表!$D$16),0)</f>
        <v>59827</v>
      </c>
      <c r="BO346" s="350">
        <f t="shared" ref="BO346" si="7614">BN346</f>
        <v>59827</v>
      </c>
      <c r="BP346" s="350">
        <f t="shared" ref="BP346" si="7615">BO346</f>
        <v>59827</v>
      </c>
      <c r="BQ346" s="350">
        <f t="shared" ref="BQ346" si="7616">BP346</f>
        <v>59827</v>
      </c>
      <c r="BR346" s="293">
        <f>ROUND(BQ346*(1+取值表!$D$16),0)</f>
        <v>63596</v>
      </c>
      <c r="BS346" s="350">
        <f t="shared" ref="BS346" si="7617">BR346</f>
        <v>63596</v>
      </c>
      <c r="BT346" s="350">
        <f t="shared" ref="BT346" si="7618">BS346</f>
        <v>63596</v>
      </c>
      <c r="BU346" s="350">
        <f t="shared" ref="BU346" si="7619">BT346</f>
        <v>63596</v>
      </c>
      <c r="BV346" s="293">
        <f>ROUND(BU346*(1+取值表!$D$16),0)</f>
        <v>67603</v>
      </c>
      <c r="BW346" s="350">
        <f t="shared" ref="BW346" si="7620">BV346</f>
        <v>67603</v>
      </c>
      <c r="BX346" s="350">
        <f t="shared" ref="BX346" si="7621">BW346</f>
        <v>67603</v>
      </c>
      <c r="BY346" s="350">
        <f t="shared" ref="BY346" si="7622">BX346</f>
        <v>67603</v>
      </c>
      <c r="BZ346" s="293">
        <f>ROUND(BY346*(1+取值表!$D$16),0)</f>
        <v>71862</v>
      </c>
      <c r="CA346" s="350">
        <f t="shared" ref="CA346" si="7623">BZ346</f>
        <v>71862</v>
      </c>
      <c r="CB346" s="350">
        <f t="shared" ref="CB346" si="7624">CA346</f>
        <v>71862</v>
      </c>
      <c r="CC346" s="350">
        <f t="shared" ref="CC346" si="7625">CB346</f>
        <v>71862</v>
      </c>
      <c r="CD346" s="293">
        <f>ROUND(CC346*(1+取值表!$D$16),0)</f>
        <v>76389</v>
      </c>
      <c r="CE346" s="350">
        <f t="shared" ref="CE346" si="7626">CD346</f>
        <v>76389</v>
      </c>
      <c r="CF346" s="350">
        <f t="shared" ref="CF346" si="7627">CE346</f>
        <v>76389</v>
      </c>
      <c r="CG346" s="350">
        <f t="shared" ref="CG346" si="7628">CF346</f>
        <v>76389</v>
      </c>
      <c r="CH346" s="293">
        <f>ROUND(CG346*(1+取值表!$D$16),0)</f>
        <v>81202</v>
      </c>
      <c r="CI346" s="350">
        <f>CH346</f>
        <v>81202</v>
      </c>
      <c r="CJ346" s="350">
        <f t="shared" ref="CJ346" si="7629">CI346</f>
        <v>81202</v>
      </c>
      <c r="CK346" s="350">
        <f t="shared" ref="CK346" si="7630">CJ346</f>
        <v>81202</v>
      </c>
      <c r="CL346" s="293">
        <f>ROUND(CK346*(1+取值表!$D$16),0)</f>
        <v>86318</v>
      </c>
      <c r="CM346" s="350">
        <f>CL346</f>
        <v>86318</v>
      </c>
      <c r="CN346" s="350">
        <f t="shared" ref="CN346" si="7631">CM346</f>
        <v>86318</v>
      </c>
      <c r="CO346" s="350">
        <f t="shared" ref="CO346" si="7632">CN346</f>
        <v>86318</v>
      </c>
      <c r="CP346" s="293">
        <f t="shared" si="7102"/>
        <v>4217128</v>
      </c>
    </row>
    <row r="347" spans="1:212">
      <c r="A347" s="670"/>
      <c r="B347" s="692"/>
      <c r="C347" s="646"/>
      <c r="D347" s="647"/>
      <c r="E347" s="648"/>
      <c r="F347" s="642"/>
      <c r="G347" s="642"/>
      <c r="H347" s="643"/>
      <c r="I347" s="291"/>
      <c r="J347" s="295"/>
      <c r="K347" s="293"/>
      <c r="L347" s="293"/>
      <c r="M347" s="293"/>
      <c r="N347" s="293"/>
      <c r="O347" s="293"/>
      <c r="P347" s="293"/>
      <c r="Q347" s="293"/>
      <c r="R347" s="293"/>
      <c r="S347" s="293"/>
      <c r="T347" s="293"/>
      <c r="U347" s="293"/>
      <c r="V347" s="293"/>
      <c r="W347" s="293"/>
      <c r="X347" s="293"/>
      <c r="Y347" s="293"/>
      <c r="Z347" s="293"/>
      <c r="AA347" s="293"/>
      <c r="AB347" s="293"/>
      <c r="AC347" s="293"/>
      <c r="AD347" s="293"/>
      <c r="AE347" s="293"/>
      <c r="AF347" s="293"/>
      <c r="AG347" s="293"/>
      <c r="AH347" s="293"/>
      <c r="AI347" s="293"/>
      <c r="AJ347" s="293"/>
      <c r="AK347" s="293"/>
      <c r="AL347" s="293"/>
      <c r="AM347" s="293"/>
      <c r="AN347" s="293"/>
      <c r="AO347" s="293"/>
      <c r="AP347" s="293"/>
      <c r="AQ347" s="293"/>
      <c r="AR347" s="293"/>
      <c r="AS347" s="293"/>
      <c r="AT347" s="293"/>
      <c r="AU347" s="293"/>
      <c r="AV347" s="293"/>
      <c r="AW347" s="293"/>
      <c r="AX347" s="293"/>
      <c r="AY347" s="293"/>
      <c r="AZ347" s="293"/>
      <c r="BA347" s="293"/>
      <c r="BB347" s="293"/>
      <c r="BC347" s="293"/>
      <c r="BD347" s="293"/>
      <c r="BE347" s="293"/>
      <c r="BF347" s="293"/>
      <c r="BG347" s="293"/>
      <c r="BH347" s="293"/>
      <c r="BI347" s="293"/>
      <c r="BJ347" s="293"/>
      <c r="BK347" s="293"/>
      <c r="BL347" s="293"/>
      <c r="BM347" s="293"/>
      <c r="BN347" s="293"/>
      <c r="BO347" s="293"/>
      <c r="BP347" s="293"/>
      <c r="BQ347" s="293"/>
      <c r="BR347" s="293"/>
      <c r="BS347" s="293"/>
      <c r="BT347" s="293"/>
      <c r="BU347" s="293"/>
      <c r="BV347" s="293"/>
      <c r="BW347" s="293"/>
      <c r="BX347" s="293"/>
      <c r="BY347" s="293"/>
      <c r="BZ347" s="293"/>
      <c r="CA347" s="293"/>
      <c r="CB347" s="293"/>
      <c r="CC347" s="293"/>
      <c r="CD347" s="293"/>
      <c r="CE347" s="293"/>
      <c r="CF347" s="293"/>
      <c r="CG347" s="293"/>
      <c r="CH347" s="293"/>
      <c r="CI347" s="293"/>
      <c r="CJ347" s="293"/>
      <c r="CK347" s="293"/>
      <c r="CL347" s="293"/>
      <c r="CM347" s="293"/>
      <c r="CN347" s="293"/>
      <c r="CO347" s="293"/>
      <c r="CP347" s="293">
        <f t="shared" si="7102"/>
        <v>0</v>
      </c>
    </row>
    <row r="348" spans="1:212" ht="11.25" customHeight="1">
      <c r="A348" s="669">
        <v>178</v>
      </c>
      <c r="B348" s="691" t="s">
        <v>313</v>
      </c>
      <c r="C348" s="646" t="s">
        <v>15</v>
      </c>
      <c r="D348" s="647" t="s">
        <v>526</v>
      </c>
      <c r="E348" s="648" t="s">
        <v>522</v>
      </c>
      <c r="F348" s="642">
        <v>1015.5</v>
      </c>
      <c r="G348" s="642">
        <f>AVERAGE(5.5,6.5,7,7.5)</f>
        <v>6.625</v>
      </c>
      <c r="H348" s="643">
        <f>F348*G348*365</f>
        <v>2455605.9375</v>
      </c>
      <c r="I348" s="291">
        <v>500000</v>
      </c>
      <c r="J348" s="295">
        <f>K348</f>
        <v>509654</v>
      </c>
      <c r="K348" s="293">
        <f>ROUND(5.5*365*F348/4,0)</f>
        <v>509654</v>
      </c>
      <c r="L348" s="293">
        <f t="shared" ref="L348:R348" si="7633">M348</f>
        <v>602318</v>
      </c>
      <c r="M348" s="293">
        <f t="shared" si="7633"/>
        <v>602318</v>
      </c>
      <c r="N348" s="293">
        <f>O348</f>
        <v>602318</v>
      </c>
      <c r="O348" s="293">
        <f>P348</f>
        <v>602318</v>
      </c>
      <c r="P348" s="293">
        <f>Q348</f>
        <v>602318</v>
      </c>
      <c r="Q348" s="293">
        <f t="shared" si="7633"/>
        <v>602318</v>
      </c>
      <c r="R348" s="293">
        <f t="shared" si="7633"/>
        <v>602318</v>
      </c>
      <c r="S348" s="293">
        <f>ROUND(6.5*365*F348/4,0)</f>
        <v>602318</v>
      </c>
      <c r="T348" s="293">
        <f>U348</f>
        <v>648651</v>
      </c>
      <c r="U348" s="293">
        <f t="shared" ref="U348:Z348" si="7634">V348</f>
        <v>648651</v>
      </c>
      <c r="V348" s="293">
        <f t="shared" si="7634"/>
        <v>648651</v>
      </c>
      <c r="W348" s="293">
        <f t="shared" si="7634"/>
        <v>648651</v>
      </c>
      <c r="X348" s="293">
        <f t="shared" si="7634"/>
        <v>648651</v>
      </c>
      <c r="Y348" s="293">
        <f t="shared" si="7634"/>
        <v>648651</v>
      </c>
      <c r="Z348" s="293">
        <f t="shared" si="7634"/>
        <v>648651</v>
      </c>
      <c r="AA348" s="293">
        <f>ROUND(7*365*F348/4,0)</f>
        <v>648651</v>
      </c>
      <c r="AB348" s="293">
        <f>AC348</f>
        <v>694983</v>
      </c>
      <c r="AC348" s="293">
        <f t="shared" ref="AC348:AH348" si="7635">AD348</f>
        <v>694983</v>
      </c>
      <c r="AD348" s="293">
        <f t="shared" si="7635"/>
        <v>694983</v>
      </c>
      <c r="AE348" s="293">
        <f t="shared" si="7635"/>
        <v>694983</v>
      </c>
      <c r="AF348" s="293">
        <f t="shared" si="7635"/>
        <v>694983</v>
      </c>
      <c r="AG348" s="293">
        <f t="shared" si="7635"/>
        <v>694983</v>
      </c>
      <c r="AH348" s="293">
        <f t="shared" si="7635"/>
        <v>694983</v>
      </c>
      <c r="AI348" s="292">
        <f>ROUND(7.5*365*F348/4,0)</f>
        <v>694983</v>
      </c>
      <c r="AJ348" s="293">
        <f>AI348</f>
        <v>694983</v>
      </c>
      <c r="AK348" s="293">
        <f>AJ348</f>
        <v>694983</v>
      </c>
      <c r="AL348" s="293">
        <f>ROUND(AK348*(1+取值表!$E$14)*取值表!$I$14,0)</f>
        <v>695180</v>
      </c>
      <c r="AM348" s="293">
        <f>AL348</f>
        <v>695180</v>
      </c>
      <c r="AN348" s="293">
        <f>AM348</f>
        <v>695180</v>
      </c>
      <c r="AO348" s="293">
        <f>AN348</f>
        <v>695180</v>
      </c>
      <c r="AP348" s="294">
        <f>ROUND(AO348*(1+取值表!$D$16),0)</f>
        <v>738976</v>
      </c>
      <c r="AQ348" s="293">
        <f t="shared" ref="AQ348:AS348" si="7636">AP348</f>
        <v>738976</v>
      </c>
      <c r="AR348" s="293">
        <f t="shared" si="7636"/>
        <v>738976</v>
      </c>
      <c r="AS348" s="293">
        <f t="shared" si="7636"/>
        <v>738976</v>
      </c>
      <c r="AT348" s="293">
        <f>ROUND(AS348*(1+取值表!$D$16),0)</f>
        <v>785531</v>
      </c>
      <c r="AU348" s="293">
        <f t="shared" ref="AU348:BI348" si="7637">AT348</f>
        <v>785531</v>
      </c>
      <c r="AV348" s="293">
        <f t="shared" si="7637"/>
        <v>785531</v>
      </c>
      <c r="AW348" s="293">
        <f t="shared" si="7637"/>
        <v>785531</v>
      </c>
      <c r="AX348" s="293">
        <f>ROUND(AW348*(1+取值表!$D$16),0)</f>
        <v>835019</v>
      </c>
      <c r="AY348" s="293">
        <f t="shared" si="7637"/>
        <v>835019</v>
      </c>
      <c r="AZ348" s="293">
        <f t="shared" si="7637"/>
        <v>835019</v>
      </c>
      <c r="BA348" s="293">
        <f t="shared" si="7637"/>
        <v>835019</v>
      </c>
      <c r="BB348" s="293">
        <f>ROUND(BA348*(1+取值表!$D$16),0)</f>
        <v>887625</v>
      </c>
      <c r="BC348" s="293">
        <f>BB348</f>
        <v>887625</v>
      </c>
      <c r="BD348" s="293">
        <f t="shared" si="7637"/>
        <v>887625</v>
      </c>
      <c r="BE348" s="293">
        <f>BD348</f>
        <v>887625</v>
      </c>
      <c r="BF348" s="293">
        <f>ROUND(BE348*(1+取值表!$D$16),0)</f>
        <v>943545</v>
      </c>
      <c r="BG348" s="293">
        <f>BF348</f>
        <v>943545</v>
      </c>
      <c r="BH348" s="293">
        <f t="shared" si="7637"/>
        <v>943545</v>
      </c>
      <c r="BI348" s="293">
        <f t="shared" si="7637"/>
        <v>943545</v>
      </c>
      <c r="BJ348" s="293">
        <f>ROUND(BI348*(1+取值表!$D$16),0)</f>
        <v>1002988</v>
      </c>
      <c r="BK348" s="293">
        <f t="shared" ref="BK348" si="7638">BJ348</f>
        <v>1002988</v>
      </c>
      <c r="BL348" s="293">
        <f t="shared" ref="BL348" si="7639">BK348</f>
        <v>1002988</v>
      </c>
      <c r="BM348" s="293">
        <f t="shared" ref="BM348" si="7640">BL348</f>
        <v>1002988</v>
      </c>
      <c r="BN348" s="293">
        <f>ROUND(BM348*(1+取值表!$D$16),0)</f>
        <v>1066176</v>
      </c>
      <c r="BO348" s="293">
        <f t="shared" ref="BO348" si="7641">BN348</f>
        <v>1066176</v>
      </c>
      <c r="BP348" s="293">
        <f t="shared" ref="BP348" si="7642">BO348</f>
        <v>1066176</v>
      </c>
      <c r="BQ348" s="293">
        <f t="shared" ref="BQ348" si="7643">BP348</f>
        <v>1066176</v>
      </c>
      <c r="BR348" s="293">
        <f>ROUND(BQ348*(1+取值表!$D$16),0)</f>
        <v>1133345</v>
      </c>
      <c r="BS348" s="293">
        <f t="shared" ref="BS348" si="7644">BR348</f>
        <v>1133345</v>
      </c>
      <c r="BT348" s="293">
        <f t="shared" ref="BT348" si="7645">BS348</f>
        <v>1133345</v>
      </c>
      <c r="BU348" s="293">
        <f t="shared" ref="BU348" si="7646">BT348</f>
        <v>1133345</v>
      </c>
      <c r="BV348" s="293">
        <f>ROUND(BU348*(1+取值表!$D$16),0)</f>
        <v>1204746</v>
      </c>
      <c r="BW348" s="293">
        <f t="shared" ref="BW348" si="7647">BV348</f>
        <v>1204746</v>
      </c>
      <c r="BX348" s="293">
        <f t="shared" ref="BX348" si="7648">BW348</f>
        <v>1204746</v>
      </c>
      <c r="BY348" s="293">
        <f t="shared" ref="BY348" si="7649">BX348</f>
        <v>1204746</v>
      </c>
      <c r="BZ348" s="293">
        <f>ROUND(BY348*(1+取值表!$D$16),0)</f>
        <v>1280645</v>
      </c>
      <c r="CA348" s="293">
        <f t="shared" ref="CA348" si="7650">BZ348</f>
        <v>1280645</v>
      </c>
      <c r="CB348" s="293">
        <f t="shared" ref="CB348" si="7651">CA348</f>
        <v>1280645</v>
      </c>
      <c r="CC348" s="293">
        <f t="shared" ref="CC348" si="7652">CB348</f>
        <v>1280645</v>
      </c>
      <c r="CD348" s="293">
        <f>ROUND(CC348*(1+取值表!$D$16),0)</f>
        <v>1361326</v>
      </c>
      <c r="CE348" s="293">
        <f t="shared" ref="CE348" si="7653">CD348</f>
        <v>1361326</v>
      </c>
      <c r="CF348" s="293">
        <f t="shared" ref="CF348" si="7654">CE348</f>
        <v>1361326</v>
      </c>
      <c r="CG348" s="293">
        <f t="shared" ref="CG348" si="7655">CF348</f>
        <v>1361326</v>
      </c>
      <c r="CH348" s="293">
        <f>ROUND(CG348*(1+取值表!$D$16),0)</f>
        <v>1447090</v>
      </c>
      <c r="CI348" s="293">
        <f>CH348</f>
        <v>1447090</v>
      </c>
      <c r="CJ348" s="293">
        <f t="shared" ref="CJ348" si="7656">CI348</f>
        <v>1447090</v>
      </c>
      <c r="CK348" s="293">
        <f t="shared" ref="CK348" si="7657">CJ348</f>
        <v>1447090</v>
      </c>
      <c r="CL348" s="293">
        <f>ROUND(CK348*(1+取值表!$D$16),0)</f>
        <v>1538257</v>
      </c>
      <c r="CM348" s="293">
        <f>CL348</f>
        <v>1538257</v>
      </c>
      <c r="CN348" s="293">
        <f t="shared" ref="CN348" si="7658">CM348</f>
        <v>1538257</v>
      </c>
      <c r="CO348" s="293">
        <f t="shared" ref="CO348" si="7659">CN348</f>
        <v>1538257</v>
      </c>
      <c r="CP348" s="293">
        <f t="shared" si="7102"/>
        <v>77658686</v>
      </c>
      <c r="CQ348" s="352"/>
    </row>
    <row r="349" spans="1:212" ht="12" customHeight="1">
      <c r="A349" s="670"/>
      <c r="B349" s="691"/>
      <c r="C349" s="646"/>
      <c r="D349" s="647"/>
      <c r="E349" s="648"/>
      <c r="F349" s="642"/>
      <c r="G349" s="642"/>
      <c r="H349" s="643"/>
      <c r="I349" s="291"/>
      <c r="J349" s="295"/>
      <c r="K349" s="293"/>
      <c r="L349" s="293"/>
      <c r="M349" s="293"/>
      <c r="N349" s="293"/>
      <c r="O349" s="293"/>
      <c r="P349" s="293"/>
      <c r="Q349" s="293"/>
      <c r="R349" s="293"/>
      <c r="S349" s="293"/>
      <c r="T349" s="293"/>
      <c r="U349" s="293"/>
      <c r="V349" s="293"/>
      <c r="W349" s="293"/>
      <c r="X349" s="293"/>
      <c r="Y349" s="293"/>
      <c r="Z349" s="293"/>
      <c r="AA349" s="293"/>
      <c r="AB349" s="293"/>
      <c r="AC349" s="293"/>
      <c r="AD349" s="293"/>
      <c r="AE349" s="293"/>
      <c r="AF349" s="293"/>
      <c r="AG349" s="293"/>
      <c r="AH349" s="293"/>
      <c r="AI349" s="293"/>
      <c r="AJ349" s="293"/>
      <c r="AK349" s="293"/>
      <c r="AL349" s="293"/>
      <c r="AM349" s="293"/>
      <c r="AN349" s="293"/>
      <c r="AO349" s="293"/>
      <c r="AP349" s="293"/>
      <c r="AQ349" s="293"/>
      <c r="AR349" s="293"/>
      <c r="AS349" s="293"/>
      <c r="AT349" s="293"/>
      <c r="AU349" s="293"/>
      <c r="AV349" s="293"/>
      <c r="AW349" s="293"/>
      <c r="AX349" s="293"/>
      <c r="AY349" s="293"/>
      <c r="AZ349" s="293"/>
      <c r="BA349" s="293"/>
      <c r="BB349" s="293"/>
      <c r="BC349" s="293"/>
      <c r="BD349" s="293"/>
      <c r="BE349" s="293"/>
      <c r="BF349" s="293"/>
      <c r="BG349" s="293"/>
      <c r="BH349" s="293"/>
      <c r="BI349" s="293"/>
      <c r="BJ349" s="293"/>
      <c r="BK349" s="293"/>
      <c r="BL349" s="293"/>
      <c r="BM349" s="293"/>
      <c r="BN349" s="293"/>
      <c r="BO349" s="293"/>
      <c r="BP349" s="293"/>
      <c r="BQ349" s="293"/>
      <c r="BR349" s="293"/>
      <c r="BS349" s="293"/>
      <c r="BT349" s="293"/>
      <c r="BU349" s="293"/>
      <c r="BV349" s="293"/>
      <c r="BW349" s="293"/>
      <c r="BX349" s="293"/>
      <c r="BY349" s="293"/>
      <c r="BZ349" s="293"/>
      <c r="CA349" s="293"/>
      <c r="CB349" s="293"/>
      <c r="CC349" s="293"/>
      <c r="CD349" s="293"/>
      <c r="CE349" s="293"/>
      <c r="CF349" s="293"/>
      <c r="CG349" s="293"/>
      <c r="CH349" s="293"/>
      <c r="CI349" s="293"/>
      <c r="CJ349" s="293"/>
      <c r="CK349" s="293"/>
      <c r="CL349" s="293"/>
      <c r="CM349" s="293"/>
      <c r="CN349" s="293"/>
      <c r="CO349" s="293"/>
      <c r="CP349" s="293">
        <f t="shared" si="7102"/>
        <v>0</v>
      </c>
    </row>
    <row r="350" spans="1:212" ht="12" customHeight="1">
      <c r="A350" s="669">
        <v>179</v>
      </c>
      <c r="B350" s="692" t="s">
        <v>314</v>
      </c>
      <c r="C350" s="646" t="s">
        <v>315</v>
      </c>
      <c r="D350" s="647" t="s">
        <v>527</v>
      </c>
      <c r="E350" s="648" t="s">
        <v>522</v>
      </c>
      <c r="F350" s="642">
        <v>153.44999999999999</v>
      </c>
      <c r="G350" s="642">
        <f>AVERAGE(10,11)</f>
        <v>10.5</v>
      </c>
      <c r="H350" s="643">
        <f>F350*G350*365</f>
        <v>588097.125</v>
      </c>
      <c r="I350" s="291">
        <v>144643.89000000001</v>
      </c>
      <c r="J350" s="295">
        <f>ROUND(10*F350*365/4,0)</f>
        <v>140023</v>
      </c>
      <c r="K350" s="293">
        <f>L350</f>
        <v>154025</v>
      </c>
      <c r="L350" s="293">
        <f>M350</f>
        <v>154025</v>
      </c>
      <c r="M350" s="293">
        <f>N350</f>
        <v>154025</v>
      </c>
      <c r="N350" s="292">
        <f>ROUND(F350*11*365/4,0)</f>
        <v>154025</v>
      </c>
      <c r="O350" s="293">
        <f>N350</f>
        <v>154025</v>
      </c>
      <c r="P350" s="293">
        <f>O350</f>
        <v>154025</v>
      </c>
      <c r="Q350" s="293">
        <f>P350</f>
        <v>154025</v>
      </c>
      <c r="R350" s="293">
        <f>ROUND(Q350*(1+取值表!$D$16)*取值表!$I$16,0)</f>
        <v>154069</v>
      </c>
      <c r="S350" s="293">
        <f>R350</f>
        <v>154069</v>
      </c>
      <c r="T350" s="293">
        <f>S350</f>
        <v>154069</v>
      </c>
      <c r="U350" s="293">
        <f>T350</f>
        <v>154069</v>
      </c>
      <c r="V350" s="294">
        <f>ROUND(U350*(1+取值表!$D$16),0)</f>
        <v>163775</v>
      </c>
      <c r="W350" s="293">
        <f t="shared" ref="W350:Y350" si="7660">V350</f>
        <v>163775</v>
      </c>
      <c r="X350" s="293">
        <f t="shared" si="7660"/>
        <v>163775</v>
      </c>
      <c r="Y350" s="293">
        <f t="shared" si="7660"/>
        <v>163775</v>
      </c>
      <c r="Z350" s="293">
        <f>ROUND(Y350*(1+取值表!$D$16),0)</f>
        <v>174093</v>
      </c>
      <c r="AA350" s="293">
        <f t="shared" ref="AA350:AB350" si="7661">Z350</f>
        <v>174093</v>
      </c>
      <c r="AB350" s="293">
        <f t="shared" si="7661"/>
        <v>174093</v>
      </c>
      <c r="AC350" s="293">
        <f>AB350</f>
        <v>174093</v>
      </c>
      <c r="AD350" s="293">
        <f>ROUND(AC350*(1+取值表!$D$16),0)</f>
        <v>185061</v>
      </c>
      <c r="AE350" s="293">
        <f t="shared" ref="AE350" si="7662">AD350</f>
        <v>185061</v>
      </c>
      <c r="AF350" s="293">
        <f t="shared" ref="AF350" si="7663">AE350</f>
        <v>185061</v>
      </c>
      <c r="AG350" s="293">
        <f t="shared" ref="AG350" si="7664">AF350</f>
        <v>185061</v>
      </c>
      <c r="AH350" s="293">
        <f>ROUND(AG350*(1+取值表!$D$16),0)</f>
        <v>196720</v>
      </c>
      <c r="AI350" s="293">
        <f t="shared" ref="AI350" si="7665">AH350</f>
        <v>196720</v>
      </c>
      <c r="AJ350" s="293">
        <f t="shared" ref="AJ350" si="7666">AI350</f>
        <v>196720</v>
      </c>
      <c r="AK350" s="293">
        <f t="shared" ref="AK350" si="7667">AJ350</f>
        <v>196720</v>
      </c>
      <c r="AL350" s="293">
        <f>ROUND(AK350*(1+取值表!$D$16),0)</f>
        <v>209113</v>
      </c>
      <c r="AM350" s="293">
        <f t="shared" ref="AM350" si="7668">AL350</f>
        <v>209113</v>
      </c>
      <c r="AN350" s="293">
        <f t="shared" ref="AN350" si="7669">AM350</f>
        <v>209113</v>
      </c>
      <c r="AO350" s="293">
        <f t="shared" ref="AO350" si="7670">AN350</f>
        <v>209113</v>
      </c>
      <c r="AP350" s="293">
        <f>ROUND(AO350*(1+取值表!$D$16),0)</f>
        <v>222287</v>
      </c>
      <c r="AQ350" s="293">
        <f t="shared" ref="AQ350" si="7671">AP350</f>
        <v>222287</v>
      </c>
      <c r="AR350" s="293">
        <f t="shared" ref="AR350" si="7672">AQ350</f>
        <v>222287</v>
      </c>
      <c r="AS350" s="293">
        <f t="shared" ref="AS350" si="7673">AR350</f>
        <v>222287</v>
      </c>
      <c r="AT350" s="293">
        <f>ROUND(AS350*(1+取值表!$D$16),0)</f>
        <v>236291</v>
      </c>
      <c r="AU350" s="293">
        <f t="shared" ref="AU350" si="7674">AT350</f>
        <v>236291</v>
      </c>
      <c r="AV350" s="293">
        <f t="shared" ref="AV350" si="7675">AU350</f>
        <v>236291</v>
      </c>
      <c r="AW350" s="293">
        <f t="shared" ref="AW350" si="7676">AV350</f>
        <v>236291</v>
      </c>
      <c r="AX350" s="293">
        <f>ROUND(AW350*(1+取值表!$D$16),0)</f>
        <v>251177</v>
      </c>
      <c r="AY350" s="293">
        <f t="shared" ref="AY350" si="7677">AX350</f>
        <v>251177</v>
      </c>
      <c r="AZ350" s="293">
        <f t="shared" ref="AZ350" si="7678">AY350</f>
        <v>251177</v>
      </c>
      <c r="BA350" s="293">
        <f t="shared" ref="BA350" si="7679">AZ350</f>
        <v>251177</v>
      </c>
      <c r="BB350" s="293">
        <f>ROUND(BA350*(1+取值表!$D$16),0)</f>
        <v>267001</v>
      </c>
      <c r="BC350" s="293">
        <f>BB350</f>
        <v>267001</v>
      </c>
      <c r="BD350" s="293">
        <f t="shared" ref="BD350" si="7680">BC350</f>
        <v>267001</v>
      </c>
      <c r="BE350" s="293">
        <f>BD350</f>
        <v>267001</v>
      </c>
      <c r="BF350" s="293">
        <f>ROUND(BE350*(1+取值表!$D$16),0)</f>
        <v>283822</v>
      </c>
      <c r="BG350" s="293">
        <f>BF350</f>
        <v>283822</v>
      </c>
      <c r="BH350" s="293">
        <f t="shared" ref="BH350" si="7681">BG350</f>
        <v>283822</v>
      </c>
      <c r="BI350" s="293">
        <f t="shared" ref="BI350" si="7682">BH350</f>
        <v>283822</v>
      </c>
      <c r="BJ350" s="293">
        <f>ROUND(BI350*(1+取值表!$D$16),0)</f>
        <v>301703</v>
      </c>
      <c r="BK350" s="293">
        <f t="shared" ref="BK350" si="7683">BJ350</f>
        <v>301703</v>
      </c>
      <c r="BL350" s="293">
        <f t="shared" ref="BL350" si="7684">BK350</f>
        <v>301703</v>
      </c>
      <c r="BM350" s="293">
        <f t="shared" ref="BM350" si="7685">BL350</f>
        <v>301703</v>
      </c>
      <c r="BN350" s="293">
        <f>ROUND(BM350*(1+取值表!$D$16),0)</f>
        <v>320710</v>
      </c>
      <c r="BO350" s="293">
        <f t="shared" ref="BO350" si="7686">BN350</f>
        <v>320710</v>
      </c>
      <c r="BP350" s="293">
        <f t="shared" ref="BP350" si="7687">BO350</f>
        <v>320710</v>
      </c>
      <c r="BQ350" s="293">
        <f t="shared" ref="BQ350" si="7688">BP350</f>
        <v>320710</v>
      </c>
      <c r="BR350" s="293">
        <f>ROUND(BQ350*(1+取值表!$D$16),0)</f>
        <v>340915</v>
      </c>
      <c r="BS350" s="293">
        <f t="shared" ref="BS350" si="7689">BR350</f>
        <v>340915</v>
      </c>
      <c r="BT350" s="293">
        <f t="shared" ref="BT350" si="7690">BS350</f>
        <v>340915</v>
      </c>
      <c r="BU350" s="293">
        <f t="shared" ref="BU350" si="7691">BT350</f>
        <v>340915</v>
      </c>
      <c r="BV350" s="293">
        <f>ROUND(BU350*(1+取值表!$D$16),0)</f>
        <v>362393</v>
      </c>
      <c r="BW350" s="293">
        <f t="shared" ref="BW350" si="7692">BV350</f>
        <v>362393</v>
      </c>
      <c r="BX350" s="293">
        <f t="shared" ref="BX350" si="7693">BW350</f>
        <v>362393</v>
      </c>
      <c r="BY350" s="293">
        <f t="shared" ref="BY350" si="7694">BX350</f>
        <v>362393</v>
      </c>
      <c r="BZ350" s="293">
        <f>ROUND(BY350*(1+取值表!$D$16),0)</f>
        <v>385224</v>
      </c>
      <c r="CA350" s="293">
        <f t="shared" ref="CA350" si="7695">BZ350</f>
        <v>385224</v>
      </c>
      <c r="CB350" s="293">
        <f t="shared" ref="CB350" si="7696">CA350</f>
        <v>385224</v>
      </c>
      <c r="CC350" s="293">
        <f t="shared" ref="CC350" si="7697">CB350</f>
        <v>385224</v>
      </c>
      <c r="CD350" s="293">
        <f>ROUND(CC350*(1+取值表!$D$16),0)</f>
        <v>409493</v>
      </c>
      <c r="CE350" s="293">
        <f t="shared" ref="CE350" si="7698">CD350</f>
        <v>409493</v>
      </c>
      <c r="CF350" s="293">
        <f t="shared" ref="CF350" si="7699">CE350</f>
        <v>409493</v>
      </c>
      <c r="CG350" s="293">
        <f t="shared" ref="CG350" si="7700">CF350</f>
        <v>409493</v>
      </c>
      <c r="CH350" s="293">
        <f>ROUND(CG350*(1+取值表!$D$16),0)</f>
        <v>435291</v>
      </c>
      <c r="CI350" s="293">
        <f>CH350</f>
        <v>435291</v>
      </c>
      <c r="CJ350" s="293">
        <f t="shared" ref="CJ350" si="7701">CI350</f>
        <v>435291</v>
      </c>
      <c r="CK350" s="293">
        <f t="shared" ref="CK350" si="7702">CJ350</f>
        <v>435291</v>
      </c>
      <c r="CL350" s="293">
        <f>ROUND(CK350*(1+取值表!$D$16),0)</f>
        <v>462714</v>
      </c>
      <c r="CM350" s="293">
        <f>CL350</f>
        <v>462714</v>
      </c>
      <c r="CN350" s="293">
        <f t="shared" ref="CN350" si="7703">CM350</f>
        <v>462714</v>
      </c>
      <c r="CO350" s="293">
        <f t="shared" ref="CO350" si="7704">CN350</f>
        <v>462714</v>
      </c>
      <c r="CP350" s="293">
        <f t="shared" si="7102"/>
        <v>22665606</v>
      </c>
    </row>
    <row r="351" spans="1:212">
      <c r="A351" s="670"/>
      <c r="B351" s="692"/>
      <c r="C351" s="646"/>
      <c r="D351" s="647"/>
      <c r="E351" s="648"/>
      <c r="F351" s="642"/>
      <c r="G351" s="642"/>
      <c r="H351" s="643"/>
      <c r="I351" s="291"/>
      <c r="J351" s="295"/>
      <c r="K351" s="293"/>
      <c r="L351" s="293"/>
      <c r="M351" s="293"/>
      <c r="N351" s="293"/>
      <c r="O351" s="293"/>
      <c r="P351" s="293"/>
      <c r="Q351" s="293"/>
      <c r="R351" s="293"/>
      <c r="S351" s="293"/>
      <c r="T351" s="293"/>
      <c r="U351" s="293"/>
      <c r="V351" s="293"/>
      <c r="W351" s="293"/>
      <c r="X351" s="293"/>
      <c r="Y351" s="293"/>
      <c r="Z351" s="293"/>
      <c r="AA351" s="293"/>
      <c r="AB351" s="293"/>
      <c r="AC351" s="293"/>
      <c r="AD351" s="293"/>
      <c r="AE351" s="293"/>
      <c r="AF351" s="293"/>
      <c r="AG351" s="293"/>
      <c r="AH351" s="293"/>
      <c r="AI351" s="293"/>
      <c r="AJ351" s="293"/>
      <c r="AK351" s="293"/>
      <c r="AL351" s="293"/>
      <c r="AM351" s="293"/>
      <c r="AN351" s="293"/>
      <c r="AO351" s="293"/>
      <c r="AP351" s="293"/>
      <c r="AQ351" s="293"/>
      <c r="AR351" s="293"/>
      <c r="AS351" s="293"/>
      <c r="AT351" s="293"/>
      <c r="AU351" s="293"/>
      <c r="AV351" s="293"/>
      <c r="AW351" s="293"/>
      <c r="AX351" s="293"/>
      <c r="AY351" s="293"/>
      <c r="AZ351" s="293"/>
      <c r="BA351" s="293"/>
      <c r="BB351" s="293"/>
      <c r="BC351" s="293"/>
      <c r="BD351" s="293"/>
      <c r="BE351" s="293"/>
      <c r="BF351" s="293"/>
      <c r="BG351" s="293"/>
      <c r="BH351" s="293"/>
      <c r="BI351" s="293"/>
      <c r="BJ351" s="293"/>
      <c r="BK351" s="293"/>
      <c r="BL351" s="293"/>
      <c r="BM351" s="293"/>
      <c r="BN351" s="293"/>
      <c r="BO351" s="293"/>
      <c r="BP351" s="293"/>
      <c r="BQ351" s="293"/>
      <c r="BR351" s="293"/>
      <c r="BS351" s="293"/>
      <c r="BT351" s="293"/>
      <c r="BU351" s="293"/>
      <c r="BV351" s="293"/>
      <c r="BW351" s="293"/>
      <c r="BX351" s="293"/>
      <c r="BY351" s="293"/>
      <c r="BZ351" s="293"/>
      <c r="CA351" s="293"/>
      <c r="CB351" s="293"/>
      <c r="CC351" s="293"/>
      <c r="CD351" s="293"/>
      <c r="CE351" s="293"/>
      <c r="CF351" s="293"/>
      <c r="CG351" s="293"/>
      <c r="CH351" s="293"/>
      <c r="CI351" s="293"/>
      <c r="CJ351" s="293"/>
      <c r="CK351" s="293"/>
      <c r="CL351" s="293"/>
      <c r="CM351" s="293"/>
      <c r="CN351" s="293"/>
      <c r="CO351" s="293"/>
      <c r="CP351" s="293">
        <f t="shared" si="7102"/>
        <v>0</v>
      </c>
    </row>
    <row r="352" spans="1:212" s="299" customFormat="1">
      <c r="A352" s="669">
        <v>180</v>
      </c>
      <c r="B352" s="691" t="s">
        <v>570</v>
      </c>
      <c r="C352" s="659" t="s">
        <v>716</v>
      </c>
      <c r="D352" s="647" t="s">
        <v>646</v>
      </c>
      <c r="E352" s="660" t="s">
        <v>522</v>
      </c>
      <c r="F352" s="661">
        <v>15.5</v>
      </c>
      <c r="G352" s="661">
        <v>24</v>
      </c>
      <c r="H352" s="662">
        <f>F352*G352*365</f>
        <v>135780</v>
      </c>
      <c r="I352" s="307">
        <v>33945</v>
      </c>
      <c r="J352" s="292">
        <f>ROUND(G352*F352*365/4,0)</f>
        <v>33945</v>
      </c>
      <c r="K352" s="295">
        <f>J352</f>
        <v>33945</v>
      </c>
      <c r="L352" s="295">
        <f>K352</f>
        <v>33945</v>
      </c>
      <c r="M352" s="295">
        <f>L352</f>
        <v>33945</v>
      </c>
      <c r="N352" s="293">
        <f>ROUND(M352*(1+取值表!$D$16)*取值表!$I$16,0)</f>
        <v>33955</v>
      </c>
      <c r="O352" s="295">
        <f>N352</f>
        <v>33955</v>
      </c>
      <c r="P352" s="295">
        <f>O352</f>
        <v>33955</v>
      </c>
      <c r="Q352" s="295">
        <f>P352</f>
        <v>33955</v>
      </c>
      <c r="R352" s="294">
        <f>ROUND(Q352*(1+取值表!$D$14),0)</f>
        <v>36094</v>
      </c>
      <c r="S352" s="295">
        <f t="shared" ref="S352:T352" si="7705">R352</f>
        <v>36094</v>
      </c>
      <c r="T352" s="295">
        <f t="shared" si="7705"/>
        <v>36094</v>
      </c>
      <c r="U352" s="295">
        <f>T352</f>
        <v>36094</v>
      </c>
      <c r="V352" s="293">
        <f>ROUND(U352*(1+取值表!$D$16),0)</f>
        <v>38368</v>
      </c>
      <c r="W352" s="295">
        <f t="shared" ref="W352:Y352" si="7706">V352</f>
        <v>38368</v>
      </c>
      <c r="X352" s="295">
        <f t="shared" si="7706"/>
        <v>38368</v>
      </c>
      <c r="Y352" s="295">
        <f t="shared" si="7706"/>
        <v>38368</v>
      </c>
      <c r="Z352" s="293">
        <f>ROUND(Y352*(1+取值表!$D$16),0)</f>
        <v>40785</v>
      </c>
      <c r="AA352" s="295">
        <f t="shared" ref="AA352" si="7707">Z352</f>
        <v>40785</v>
      </c>
      <c r="AB352" s="295">
        <f t="shared" ref="AB352" si="7708">AA352</f>
        <v>40785</v>
      </c>
      <c r="AC352" s="295">
        <f>AB352</f>
        <v>40785</v>
      </c>
      <c r="AD352" s="293">
        <f>ROUND(AC352*(1+取值表!$D$16),0)</f>
        <v>43354</v>
      </c>
      <c r="AE352" s="295">
        <f t="shared" ref="AE352" si="7709">AD352</f>
        <v>43354</v>
      </c>
      <c r="AF352" s="295">
        <f t="shared" ref="AF352" si="7710">AE352</f>
        <v>43354</v>
      </c>
      <c r="AG352" s="295">
        <f t="shared" ref="AG352" si="7711">AF352</f>
        <v>43354</v>
      </c>
      <c r="AH352" s="293">
        <f>ROUND(AG352*(1+取值表!$D$16),0)</f>
        <v>46085</v>
      </c>
      <c r="AI352" s="295">
        <f t="shared" ref="AI352" si="7712">AH352</f>
        <v>46085</v>
      </c>
      <c r="AJ352" s="295">
        <f t="shared" ref="AJ352" si="7713">AI352</f>
        <v>46085</v>
      </c>
      <c r="AK352" s="295">
        <f t="shared" ref="AK352" si="7714">AJ352</f>
        <v>46085</v>
      </c>
      <c r="AL352" s="293">
        <f>ROUND(AK352*(1+取值表!$D$16),0)</f>
        <v>48988</v>
      </c>
      <c r="AM352" s="295">
        <f t="shared" ref="AM352" si="7715">AL352</f>
        <v>48988</v>
      </c>
      <c r="AN352" s="295">
        <f t="shared" ref="AN352" si="7716">AM352</f>
        <v>48988</v>
      </c>
      <c r="AO352" s="295">
        <f t="shared" ref="AO352" si="7717">AN352</f>
        <v>48988</v>
      </c>
      <c r="AP352" s="293">
        <f>ROUND(AO352*(1+取值表!$D$16),0)</f>
        <v>52074</v>
      </c>
      <c r="AQ352" s="295">
        <f t="shared" ref="AQ352" si="7718">AP352</f>
        <v>52074</v>
      </c>
      <c r="AR352" s="295">
        <f t="shared" ref="AR352" si="7719">AQ352</f>
        <v>52074</v>
      </c>
      <c r="AS352" s="295">
        <f t="shared" ref="AS352" si="7720">AR352</f>
        <v>52074</v>
      </c>
      <c r="AT352" s="293">
        <f>ROUND(AS352*(1+取值表!$D$16),0)</f>
        <v>55355</v>
      </c>
      <c r="AU352" s="295">
        <f t="shared" ref="AU352" si="7721">AT352</f>
        <v>55355</v>
      </c>
      <c r="AV352" s="295">
        <f t="shared" ref="AV352" si="7722">AU352</f>
        <v>55355</v>
      </c>
      <c r="AW352" s="295">
        <f t="shared" ref="AW352" si="7723">AV352</f>
        <v>55355</v>
      </c>
      <c r="AX352" s="293">
        <f>ROUND(AW352*(1+取值表!$D$16),0)</f>
        <v>58842</v>
      </c>
      <c r="AY352" s="295">
        <f t="shared" ref="AY352" si="7724">AX352</f>
        <v>58842</v>
      </c>
      <c r="AZ352" s="295">
        <f t="shared" ref="AZ352" si="7725">AY352</f>
        <v>58842</v>
      </c>
      <c r="BA352" s="295">
        <f t="shared" ref="BA352" si="7726">AZ352</f>
        <v>58842</v>
      </c>
      <c r="BB352" s="293">
        <f>ROUND(BA352*(1+取值表!$D$16),0)</f>
        <v>62549</v>
      </c>
      <c r="BC352" s="295">
        <f>BB352</f>
        <v>62549</v>
      </c>
      <c r="BD352" s="295">
        <f t="shared" ref="BD352" si="7727">BC352</f>
        <v>62549</v>
      </c>
      <c r="BE352" s="295">
        <f>BD352</f>
        <v>62549</v>
      </c>
      <c r="BF352" s="293">
        <f>ROUND(BE352*(1+取值表!$D$16),0)</f>
        <v>66490</v>
      </c>
      <c r="BG352" s="295">
        <f>BF352</f>
        <v>66490</v>
      </c>
      <c r="BH352" s="295">
        <f t="shared" ref="BH352" si="7728">BG352</f>
        <v>66490</v>
      </c>
      <c r="BI352" s="295">
        <f t="shared" ref="BI352" si="7729">BH352</f>
        <v>66490</v>
      </c>
      <c r="BJ352" s="293">
        <f>ROUND(BI352*(1+取值表!$D$16),0)</f>
        <v>70679</v>
      </c>
      <c r="BK352" s="295">
        <f t="shared" ref="BK352" si="7730">BJ352</f>
        <v>70679</v>
      </c>
      <c r="BL352" s="295">
        <f t="shared" ref="BL352" si="7731">BK352</f>
        <v>70679</v>
      </c>
      <c r="BM352" s="295">
        <f t="shared" ref="BM352" si="7732">BL352</f>
        <v>70679</v>
      </c>
      <c r="BN352" s="293">
        <f>ROUND(BM352*(1+取值表!$D$16),0)</f>
        <v>75132</v>
      </c>
      <c r="BO352" s="295">
        <f t="shared" ref="BO352" si="7733">BN352</f>
        <v>75132</v>
      </c>
      <c r="BP352" s="295">
        <f t="shared" ref="BP352" si="7734">BO352</f>
        <v>75132</v>
      </c>
      <c r="BQ352" s="295">
        <f t="shared" ref="BQ352" si="7735">BP352</f>
        <v>75132</v>
      </c>
      <c r="BR352" s="293">
        <f>ROUND(BQ352*(1+取值表!$D$16),0)</f>
        <v>79865</v>
      </c>
      <c r="BS352" s="295">
        <f t="shared" ref="BS352" si="7736">BR352</f>
        <v>79865</v>
      </c>
      <c r="BT352" s="295">
        <f t="shared" ref="BT352" si="7737">BS352</f>
        <v>79865</v>
      </c>
      <c r="BU352" s="295">
        <f t="shared" ref="BU352" si="7738">BT352</f>
        <v>79865</v>
      </c>
      <c r="BV352" s="293">
        <f>ROUND(BU352*(1+取值表!$D$16),0)</f>
        <v>84896</v>
      </c>
      <c r="BW352" s="295">
        <f t="shared" ref="BW352" si="7739">BV352</f>
        <v>84896</v>
      </c>
      <c r="BX352" s="295">
        <f t="shared" ref="BX352" si="7740">BW352</f>
        <v>84896</v>
      </c>
      <c r="BY352" s="295">
        <f t="shared" ref="BY352" si="7741">BX352</f>
        <v>84896</v>
      </c>
      <c r="BZ352" s="293">
        <f>ROUND(BY352*(1+取值表!$D$16),0)</f>
        <v>90244</v>
      </c>
      <c r="CA352" s="295">
        <f t="shared" ref="CA352" si="7742">BZ352</f>
        <v>90244</v>
      </c>
      <c r="CB352" s="295">
        <f t="shared" ref="CB352" si="7743">CA352</f>
        <v>90244</v>
      </c>
      <c r="CC352" s="295">
        <f t="shared" ref="CC352" si="7744">CB352</f>
        <v>90244</v>
      </c>
      <c r="CD352" s="293">
        <f>ROUND(CC352*(1+取值表!$D$16),0)</f>
        <v>95929</v>
      </c>
      <c r="CE352" s="295">
        <f t="shared" ref="CE352" si="7745">CD352</f>
        <v>95929</v>
      </c>
      <c r="CF352" s="295">
        <f t="shared" ref="CF352" si="7746">CE352</f>
        <v>95929</v>
      </c>
      <c r="CG352" s="295">
        <f t="shared" ref="CG352" si="7747">CF352</f>
        <v>95929</v>
      </c>
      <c r="CH352" s="293">
        <f>ROUND(CG352*(1+取值表!$D$16),0)</f>
        <v>101973</v>
      </c>
      <c r="CI352" s="295">
        <f>CH352</f>
        <v>101973</v>
      </c>
      <c r="CJ352" s="295">
        <f t="shared" ref="CJ352" si="7748">CI352</f>
        <v>101973</v>
      </c>
      <c r="CK352" s="295">
        <f t="shared" ref="CK352" si="7749">CJ352</f>
        <v>101973</v>
      </c>
      <c r="CL352" s="293">
        <f>ROUND(CK352*(1+取值表!$D$16),0)</f>
        <v>108397</v>
      </c>
      <c r="CM352" s="295">
        <f>CL352</f>
        <v>108397</v>
      </c>
      <c r="CN352" s="295">
        <f t="shared" ref="CN352" si="7750">CM352</f>
        <v>108397</v>
      </c>
      <c r="CO352" s="295">
        <f t="shared" ref="CO352" si="7751">CN352</f>
        <v>108397</v>
      </c>
      <c r="CP352" s="293">
        <f t="shared" si="7102"/>
        <v>5295996</v>
      </c>
      <c r="CQ352" s="308"/>
      <c r="CR352" s="308"/>
      <c r="CS352" s="308"/>
      <c r="CT352" s="308"/>
      <c r="CU352" s="308"/>
      <c r="CV352" s="308"/>
      <c r="CW352" s="308"/>
      <c r="CX352" s="308"/>
      <c r="CY352" s="308"/>
      <c r="CZ352" s="308"/>
      <c r="DA352" s="308"/>
      <c r="DB352" s="308"/>
      <c r="DC352" s="308"/>
      <c r="DD352" s="308"/>
      <c r="DE352" s="308"/>
      <c r="DF352" s="308"/>
      <c r="DG352" s="308"/>
      <c r="DH352" s="308"/>
      <c r="DI352" s="308"/>
      <c r="DJ352" s="308"/>
      <c r="DK352" s="308"/>
      <c r="DL352" s="308"/>
      <c r="DM352" s="308"/>
      <c r="DN352" s="308"/>
      <c r="DO352" s="308"/>
      <c r="DP352" s="308"/>
      <c r="DQ352" s="308"/>
      <c r="DR352" s="308"/>
      <c r="DS352" s="308"/>
      <c r="DT352" s="308"/>
      <c r="DU352" s="308"/>
      <c r="DV352" s="308"/>
      <c r="DW352" s="308"/>
      <c r="DX352" s="308"/>
      <c r="DY352" s="308"/>
      <c r="DZ352" s="308"/>
      <c r="EA352" s="308"/>
      <c r="EB352" s="308"/>
      <c r="EC352" s="308"/>
      <c r="ED352" s="308"/>
      <c r="EE352" s="308"/>
      <c r="EF352" s="308"/>
      <c r="EG352" s="308"/>
      <c r="EH352" s="308"/>
      <c r="EI352" s="308"/>
      <c r="EJ352" s="308"/>
      <c r="EK352" s="308"/>
      <c r="EL352" s="308"/>
      <c r="EM352" s="308"/>
      <c r="EN352" s="308"/>
      <c r="EO352" s="308"/>
      <c r="EP352" s="308"/>
      <c r="EQ352" s="308"/>
      <c r="ER352" s="308"/>
      <c r="ES352" s="308"/>
      <c r="ET352" s="308"/>
      <c r="EU352" s="308"/>
      <c r="EV352" s="308"/>
      <c r="EW352" s="308"/>
      <c r="EX352" s="308"/>
      <c r="EY352" s="308"/>
      <c r="EZ352" s="308"/>
      <c r="FA352" s="308"/>
      <c r="FB352" s="308"/>
      <c r="FC352" s="308"/>
      <c r="FD352" s="308"/>
      <c r="FE352" s="308"/>
      <c r="FF352" s="308"/>
      <c r="FG352" s="308"/>
      <c r="FH352" s="308"/>
      <c r="FI352" s="308"/>
      <c r="FJ352" s="308"/>
      <c r="FK352" s="308"/>
      <c r="FL352" s="308"/>
      <c r="FM352" s="308"/>
      <c r="FN352" s="308"/>
      <c r="FO352" s="308"/>
      <c r="FP352" s="308"/>
      <c r="FQ352" s="308"/>
      <c r="FR352" s="308"/>
      <c r="FS352" s="308"/>
      <c r="FT352" s="308"/>
      <c r="FU352" s="308"/>
      <c r="FV352" s="308"/>
      <c r="FW352" s="308"/>
      <c r="FX352" s="308"/>
      <c r="FY352" s="308"/>
      <c r="FZ352" s="308"/>
      <c r="GA352" s="308"/>
      <c r="GB352" s="308"/>
      <c r="GC352" s="308"/>
      <c r="GD352" s="308"/>
      <c r="GE352" s="308"/>
      <c r="GF352" s="308"/>
      <c r="GG352" s="308"/>
      <c r="GH352" s="308"/>
      <c r="GI352" s="308"/>
      <c r="GJ352" s="308"/>
      <c r="GK352" s="308"/>
      <c r="GL352" s="308"/>
      <c r="GM352" s="308"/>
      <c r="GN352" s="308"/>
      <c r="GO352" s="308"/>
      <c r="GP352" s="308"/>
      <c r="GQ352" s="308"/>
      <c r="GR352" s="308"/>
      <c r="GS352" s="308"/>
      <c r="GT352" s="308"/>
      <c r="GU352" s="308"/>
      <c r="GV352" s="308"/>
      <c r="GW352" s="308"/>
      <c r="GX352" s="308"/>
      <c r="GY352" s="308"/>
      <c r="GZ352" s="308"/>
      <c r="HA352" s="380">
        <f>SUM(J352:GZ352)</f>
        <v>10591992</v>
      </c>
      <c r="HB352" s="308">
        <f>HC352*2</f>
        <v>5762.56</v>
      </c>
      <c r="HC352" s="380">
        <v>2881.28</v>
      </c>
      <c r="HD352" s="360">
        <v>225569.03099999999</v>
      </c>
    </row>
    <row r="353" spans="1:212" s="299" customFormat="1">
      <c r="A353" s="670"/>
      <c r="B353" s="691"/>
      <c r="C353" s="659"/>
      <c r="D353" s="647"/>
      <c r="E353" s="660"/>
      <c r="F353" s="661"/>
      <c r="G353" s="661"/>
      <c r="H353" s="662"/>
      <c r="I353" s="313">
        <v>0</v>
      </c>
      <c r="J353" s="295"/>
      <c r="K353" s="295"/>
      <c r="L353" s="295"/>
      <c r="M353" s="295"/>
      <c r="N353" s="295"/>
      <c r="O353" s="295"/>
      <c r="P353" s="295"/>
      <c r="Q353" s="295"/>
      <c r="R353" s="295"/>
      <c r="S353" s="295"/>
      <c r="T353" s="295"/>
      <c r="U353" s="295"/>
      <c r="V353" s="295"/>
      <c r="W353" s="295"/>
      <c r="X353" s="295"/>
      <c r="Y353" s="295"/>
      <c r="Z353" s="295"/>
      <c r="AA353" s="295"/>
      <c r="AB353" s="295"/>
      <c r="AC353" s="295"/>
      <c r="AD353" s="295"/>
      <c r="AE353" s="295"/>
      <c r="AF353" s="295"/>
      <c r="AG353" s="295"/>
      <c r="AH353" s="295"/>
      <c r="AI353" s="295"/>
      <c r="AJ353" s="295"/>
      <c r="AK353" s="295"/>
      <c r="AL353" s="295"/>
      <c r="AM353" s="295"/>
      <c r="AN353" s="295"/>
      <c r="AO353" s="295"/>
      <c r="AP353" s="295"/>
      <c r="AQ353" s="295"/>
      <c r="AR353" s="295"/>
      <c r="AS353" s="295"/>
      <c r="AT353" s="295"/>
      <c r="AU353" s="295"/>
      <c r="AV353" s="295"/>
      <c r="AW353" s="295"/>
      <c r="AX353" s="295"/>
      <c r="AY353" s="295"/>
      <c r="AZ353" s="295"/>
      <c r="BA353" s="295"/>
      <c r="BB353" s="295"/>
      <c r="BC353" s="295"/>
      <c r="BD353" s="295"/>
      <c r="BE353" s="295"/>
      <c r="BF353" s="295"/>
      <c r="BG353" s="295"/>
      <c r="BH353" s="295"/>
      <c r="BI353" s="295"/>
      <c r="BJ353" s="295"/>
      <c r="BK353" s="295"/>
      <c r="BL353" s="295"/>
      <c r="BM353" s="295"/>
      <c r="BN353" s="295"/>
      <c r="BO353" s="295"/>
      <c r="BP353" s="295"/>
      <c r="BQ353" s="295"/>
      <c r="BR353" s="295"/>
      <c r="BS353" s="295"/>
      <c r="BT353" s="295"/>
      <c r="BU353" s="295"/>
      <c r="BV353" s="295"/>
      <c r="BW353" s="295"/>
      <c r="BX353" s="295"/>
      <c r="BY353" s="295"/>
      <c r="BZ353" s="295"/>
      <c r="CA353" s="295"/>
      <c r="CB353" s="295"/>
      <c r="CC353" s="295"/>
      <c r="CD353" s="295"/>
      <c r="CE353" s="295"/>
      <c r="CF353" s="295"/>
      <c r="CG353" s="295"/>
      <c r="CH353" s="295"/>
      <c r="CI353" s="295"/>
      <c r="CJ353" s="295"/>
      <c r="CK353" s="295"/>
      <c r="CL353" s="295"/>
      <c r="CM353" s="295"/>
      <c r="CN353" s="295"/>
      <c r="CO353" s="295"/>
      <c r="CP353" s="293">
        <f t="shared" si="7102"/>
        <v>0</v>
      </c>
      <c r="CQ353" s="312"/>
      <c r="CR353" s="312"/>
      <c r="CS353" s="312"/>
      <c r="CT353" s="312"/>
      <c r="CU353" s="312"/>
      <c r="CV353" s="312"/>
      <c r="CW353" s="312"/>
      <c r="CX353" s="312"/>
      <c r="CY353" s="312"/>
      <c r="CZ353" s="312"/>
      <c r="DA353" s="312"/>
      <c r="DB353" s="312"/>
      <c r="DC353" s="312"/>
      <c r="DD353" s="312"/>
      <c r="DE353" s="312"/>
      <c r="DF353" s="312"/>
      <c r="DG353" s="312"/>
      <c r="DH353" s="312"/>
      <c r="DI353" s="312"/>
      <c r="DJ353" s="312"/>
      <c r="DK353" s="312"/>
      <c r="DL353" s="312"/>
      <c r="DM353" s="312"/>
      <c r="DN353" s="312"/>
      <c r="DO353" s="312"/>
      <c r="DP353" s="312"/>
      <c r="DQ353" s="312"/>
      <c r="DR353" s="312"/>
      <c r="DS353" s="312"/>
      <c r="DT353" s="312"/>
      <c r="DU353" s="312"/>
      <c r="DV353" s="312"/>
      <c r="DW353" s="312"/>
      <c r="DX353" s="312"/>
      <c r="DY353" s="312"/>
      <c r="DZ353" s="312"/>
      <c r="EA353" s="312"/>
      <c r="EB353" s="312"/>
      <c r="EC353" s="312"/>
      <c r="ED353" s="312"/>
      <c r="EE353" s="312"/>
      <c r="EF353" s="312"/>
      <c r="EG353" s="312"/>
      <c r="EH353" s="312"/>
      <c r="EI353" s="312"/>
      <c r="EJ353" s="312"/>
      <c r="EK353" s="312"/>
      <c r="EL353" s="312"/>
      <c r="EM353" s="312"/>
      <c r="EN353" s="312"/>
      <c r="EO353" s="312"/>
      <c r="EP353" s="312"/>
      <c r="EQ353" s="312"/>
      <c r="ER353" s="312"/>
      <c r="ES353" s="312"/>
      <c r="ET353" s="312"/>
      <c r="EU353" s="312"/>
      <c r="EV353" s="312"/>
      <c r="EW353" s="312"/>
      <c r="EX353" s="312"/>
      <c r="EY353" s="312"/>
      <c r="EZ353" s="312"/>
      <c r="FA353" s="312"/>
      <c r="FB353" s="312"/>
      <c r="FC353" s="312"/>
      <c r="FD353" s="312"/>
      <c r="FE353" s="312"/>
      <c r="FF353" s="312"/>
      <c r="FG353" s="312"/>
      <c r="FH353" s="312"/>
      <c r="FI353" s="312"/>
      <c r="FJ353" s="312"/>
      <c r="FK353" s="312"/>
      <c r="FL353" s="312"/>
      <c r="FM353" s="312"/>
      <c r="FN353" s="312"/>
      <c r="FO353" s="312"/>
      <c r="FP353" s="312"/>
      <c r="FQ353" s="312"/>
      <c r="FR353" s="312"/>
      <c r="FS353" s="312"/>
      <c r="FT353" s="312"/>
      <c r="FU353" s="312"/>
      <c r="FV353" s="312"/>
      <c r="FW353" s="312"/>
      <c r="FX353" s="312"/>
      <c r="FY353" s="312"/>
      <c r="FZ353" s="312"/>
      <c r="GA353" s="312"/>
      <c r="GB353" s="312"/>
      <c r="GC353" s="312"/>
      <c r="GD353" s="312"/>
      <c r="GE353" s="312"/>
      <c r="GF353" s="312"/>
      <c r="GG353" s="312"/>
      <c r="GH353" s="312"/>
      <c r="GI353" s="312"/>
      <c r="GJ353" s="312"/>
      <c r="GK353" s="312"/>
      <c r="GL353" s="312"/>
      <c r="GM353" s="312"/>
      <c r="GN353" s="312"/>
      <c r="GO353" s="312"/>
      <c r="GP353" s="312"/>
      <c r="GQ353" s="312"/>
      <c r="GR353" s="312"/>
      <c r="GS353" s="312"/>
      <c r="GT353" s="312"/>
      <c r="GU353" s="312"/>
      <c r="GV353" s="312"/>
      <c r="GW353" s="312"/>
      <c r="GX353" s="312"/>
      <c r="GY353" s="312"/>
      <c r="GZ353" s="312"/>
      <c r="HA353" s="381">
        <f>SUM(J353:GZ353)</f>
        <v>0</v>
      </c>
      <c r="HB353" s="312">
        <v>5762.56</v>
      </c>
      <c r="HC353" s="381">
        <v>2881.28</v>
      </c>
      <c r="HD353" s="360">
        <v>108906.6</v>
      </c>
    </row>
    <row r="354" spans="1:212" s="299" customFormat="1" ht="12.75" customHeight="1">
      <c r="A354" s="669">
        <v>181</v>
      </c>
      <c r="B354" s="691" t="s">
        <v>698</v>
      </c>
      <c r="C354" s="659" t="s">
        <v>754</v>
      </c>
      <c r="D354" s="647" t="s">
        <v>316</v>
      </c>
      <c r="E354" s="660" t="s">
        <v>528</v>
      </c>
      <c r="F354" s="661">
        <f>4065.8+767</f>
        <v>4832.8</v>
      </c>
      <c r="G354" s="661">
        <f>H354/F354/365</f>
        <v>3.6281755039195636</v>
      </c>
      <c r="H354" s="662">
        <f>6400000</f>
        <v>6400000</v>
      </c>
      <c r="I354" s="298">
        <f>500000+100000</f>
        <v>600000</v>
      </c>
      <c r="J354" s="295">
        <f>ROUND(H354/4,0)</f>
        <v>1600000</v>
      </c>
      <c r="K354" s="295">
        <f>J354</f>
        <v>1600000</v>
      </c>
      <c r="L354" s="295">
        <f t="shared" ref="L354:AW354" si="7752">K354</f>
        <v>1600000</v>
      </c>
      <c r="M354" s="295">
        <f t="shared" si="7752"/>
        <v>1600000</v>
      </c>
      <c r="N354" s="295">
        <f t="shared" si="7752"/>
        <v>1600000</v>
      </c>
      <c r="O354" s="295">
        <f>N354</f>
        <v>1600000</v>
      </c>
      <c r="P354" s="295">
        <f>O354</f>
        <v>1600000</v>
      </c>
      <c r="Q354" s="295">
        <f>P354</f>
        <v>1600000</v>
      </c>
      <c r="R354" s="295">
        <f t="shared" si="7752"/>
        <v>1600000</v>
      </c>
      <c r="S354" s="295">
        <f t="shared" si="7752"/>
        <v>1600000</v>
      </c>
      <c r="T354" s="295">
        <f t="shared" si="7752"/>
        <v>1600000</v>
      </c>
      <c r="U354" s="295">
        <f>T354</f>
        <v>1600000</v>
      </c>
      <c r="V354" s="295">
        <f t="shared" si="7752"/>
        <v>1600000</v>
      </c>
      <c r="W354" s="295">
        <f t="shared" si="7752"/>
        <v>1600000</v>
      </c>
      <c r="X354" s="295">
        <f t="shared" si="7752"/>
        <v>1600000</v>
      </c>
      <c r="Y354" s="295">
        <f t="shared" si="7752"/>
        <v>1600000</v>
      </c>
      <c r="Z354" s="295">
        <f t="shared" si="7752"/>
        <v>1600000</v>
      </c>
      <c r="AA354" s="295">
        <f t="shared" si="7752"/>
        <v>1600000</v>
      </c>
      <c r="AB354" s="295">
        <f t="shared" si="7752"/>
        <v>1600000</v>
      </c>
      <c r="AC354" s="295">
        <f>AB354</f>
        <v>1600000</v>
      </c>
      <c r="AD354" s="295">
        <f t="shared" si="7752"/>
        <v>1600000</v>
      </c>
      <c r="AE354" s="295">
        <f t="shared" si="7752"/>
        <v>1600000</v>
      </c>
      <c r="AF354" s="295">
        <f t="shared" si="7752"/>
        <v>1600000</v>
      </c>
      <c r="AG354" s="295">
        <f t="shared" si="7752"/>
        <v>1600000</v>
      </c>
      <c r="AH354" s="295">
        <f t="shared" si="7752"/>
        <v>1600000</v>
      </c>
      <c r="AI354" s="295">
        <f t="shared" si="7752"/>
        <v>1600000</v>
      </c>
      <c r="AJ354" s="295">
        <f t="shared" si="7752"/>
        <v>1600000</v>
      </c>
      <c r="AK354" s="295">
        <f t="shared" si="7752"/>
        <v>1600000</v>
      </c>
      <c r="AL354" s="295">
        <f t="shared" si="7752"/>
        <v>1600000</v>
      </c>
      <c r="AM354" s="295">
        <f t="shared" si="7752"/>
        <v>1600000</v>
      </c>
      <c r="AN354" s="295">
        <f t="shared" si="7752"/>
        <v>1600000</v>
      </c>
      <c r="AO354" s="295">
        <f t="shared" si="7752"/>
        <v>1600000</v>
      </c>
      <c r="AP354" s="295">
        <f t="shared" si="7752"/>
        <v>1600000</v>
      </c>
      <c r="AQ354" s="295">
        <f t="shared" si="7752"/>
        <v>1600000</v>
      </c>
      <c r="AR354" s="295">
        <f t="shared" si="7752"/>
        <v>1600000</v>
      </c>
      <c r="AS354" s="295">
        <f t="shared" si="7752"/>
        <v>1600000</v>
      </c>
      <c r="AT354" s="295">
        <f t="shared" si="7752"/>
        <v>1600000</v>
      </c>
      <c r="AU354" s="295">
        <f t="shared" si="7752"/>
        <v>1600000</v>
      </c>
      <c r="AV354" s="295">
        <f t="shared" si="7752"/>
        <v>1600000</v>
      </c>
      <c r="AW354" s="292">
        <f t="shared" si="7752"/>
        <v>1600000</v>
      </c>
      <c r="AX354" s="293">
        <f>ROUND(AW354*(1+取值表!$E$18)*取值表!$I$18,0)</f>
        <v>1535712</v>
      </c>
      <c r="AY354" s="295">
        <f>AX354</f>
        <v>1535712</v>
      </c>
      <c r="AZ354" s="295">
        <f>AY354</f>
        <v>1535712</v>
      </c>
      <c r="BA354" s="295">
        <f>AZ354</f>
        <v>1535712</v>
      </c>
      <c r="BB354" s="294">
        <f>ROUND(BA354*(1+取值表!$D$18),0)</f>
        <v>1566426</v>
      </c>
      <c r="BC354" s="295">
        <f>BB354</f>
        <v>1566426</v>
      </c>
      <c r="BD354" s="295">
        <f t="shared" ref="BD354" si="7753">BC354</f>
        <v>1566426</v>
      </c>
      <c r="BE354" s="295">
        <f>BD354</f>
        <v>1566426</v>
      </c>
      <c r="BF354" s="293">
        <f>ROUND(BE354*(1+取值表!$D$18),0)</f>
        <v>1597755</v>
      </c>
      <c r="BG354" s="295">
        <f>BF354</f>
        <v>1597755</v>
      </c>
      <c r="BH354" s="295">
        <f t="shared" ref="BH354:BI354" si="7754">BG354</f>
        <v>1597755</v>
      </c>
      <c r="BI354" s="295">
        <f t="shared" si="7754"/>
        <v>1597755</v>
      </c>
      <c r="BJ354" s="293">
        <f>ROUND(BI354*(1+取值表!$D$18),0)</f>
        <v>1629710</v>
      </c>
      <c r="BK354" s="295">
        <f t="shared" ref="BK354" si="7755">BJ354</f>
        <v>1629710</v>
      </c>
      <c r="BL354" s="295">
        <f t="shared" ref="BL354" si="7756">BK354</f>
        <v>1629710</v>
      </c>
      <c r="BM354" s="295">
        <f t="shared" ref="BM354" si="7757">BL354</f>
        <v>1629710</v>
      </c>
      <c r="BN354" s="293">
        <f>ROUND(BM354*(1+取值表!$D$18),0)</f>
        <v>1662304</v>
      </c>
      <c r="BO354" s="295">
        <f t="shared" ref="BO354" si="7758">BN354</f>
        <v>1662304</v>
      </c>
      <c r="BP354" s="295">
        <f t="shared" ref="BP354" si="7759">BO354</f>
        <v>1662304</v>
      </c>
      <c r="BQ354" s="295">
        <f t="shared" ref="BQ354" si="7760">BP354</f>
        <v>1662304</v>
      </c>
      <c r="BR354" s="293">
        <f>ROUND(BQ354*(1+取值表!$D$18),0)</f>
        <v>1695550</v>
      </c>
      <c r="BS354" s="295">
        <f t="shared" ref="BS354" si="7761">BR354</f>
        <v>1695550</v>
      </c>
      <c r="BT354" s="295">
        <f t="shared" ref="BT354" si="7762">BS354</f>
        <v>1695550</v>
      </c>
      <c r="BU354" s="295">
        <f t="shared" ref="BU354" si="7763">BT354</f>
        <v>1695550</v>
      </c>
      <c r="BV354" s="293">
        <f>ROUND(BU354*(1+取值表!$D$18),0)</f>
        <v>1729461</v>
      </c>
      <c r="BW354" s="295">
        <f t="shared" ref="BW354" si="7764">BV354</f>
        <v>1729461</v>
      </c>
      <c r="BX354" s="295">
        <f t="shared" ref="BX354" si="7765">BW354</f>
        <v>1729461</v>
      </c>
      <c r="BY354" s="295">
        <f t="shared" ref="BY354" si="7766">BX354</f>
        <v>1729461</v>
      </c>
      <c r="BZ354" s="293">
        <f>ROUND(BY354*(1+取值表!$D$18),0)</f>
        <v>1764050</v>
      </c>
      <c r="CA354" s="295">
        <f t="shared" ref="CA354" si="7767">BZ354</f>
        <v>1764050</v>
      </c>
      <c r="CB354" s="295">
        <f t="shared" ref="CB354" si="7768">CA354</f>
        <v>1764050</v>
      </c>
      <c r="CC354" s="295">
        <f t="shared" ref="CC354" si="7769">CB354</f>
        <v>1764050</v>
      </c>
      <c r="CD354" s="293">
        <f>ROUND(CC354*(1+取值表!$D$18),0)</f>
        <v>1799331</v>
      </c>
      <c r="CE354" s="295">
        <f t="shared" ref="CE354" si="7770">CD354</f>
        <v>1799331</v>
      </c>
      <c r="CF354" s="295">
        <f t="shared" ref="CF354" si="7771">CE354</f>
        <v>1799331</v>
      </c>
      <c r="CG354" s="295">
        <f t="shared" ref="CG354" si="7772">CF354</f>
        <v>1799331</v>
      </c>
      <c r="CH354" s="293">
        <f>ROUND(CG354*(1+取值表!$D$18),0)</f>
        <v>1835318</v>
      </c>
      <c r="CI354" s="295">
        <f>CH354</f>
        <v>1835318</v>
      </c>
      <c r="CJ354" s="295">
        <f t="shared" ref="CJ354" si="7773">CI354</f>
        <v>1835318</v>
      </c>
      <c r="CK354" s="295">
        <f t="shared" ref="CK354" si="7774">CJ354</f>
        <v>1835318</v>
      </c>
      <c r="CL354" s="293">
        <f>ROUND(CK354*(1+取值表!$D$18),0)</f>
        <v>1872024</v>
      </c>
      <c r="CM354" s="295">
        <f>CL354</f>
        <v>1872024</v>
      </c>
      <c r="CN354" s="295">
        <f t="shared" ref="CN354" si="7775">CM354</f>
        <v>1872024</v>
      </c>
      <c r="CO354" s="295">
        <f t="shared" ref="CO354" si="7776">CN354</f>
        <v>1872024</v>
      </c>
      <c r="CP354" s="293">
        <f t="shared" si="7102"/>
        <v>138750564</v>
      </c>
    </row>
    <row r="355" spans="1:212" s="299" customFormat="1">
      <c r="A355" s="670"/>
      <c r="B355" s="691"/>
      <c r="C355" s="659"/>
      <c r="D355" s="647"/>
      <c r="E355" s="660"/>
      <c r="F355" s="661"/>
      <c r="G355" s="661"/>
      <c r="H355" s="662"/>
      <c r="I355" s="298"/>
      <c r="J355" s="295"/>
      <c r="K355" s="295"/>
      <c r="L355" s="295"/>
      <c r="M355" s="295"/>
      <c r="N355" s="295"/>
      <c r="O355" s="295"/>
      <c r="P355" s="295"/>
      <c r="Q355" s="295"/>
      <c r="R355" s="295"/>
      <c r="S355" s="295"/>
      <c r="T355" s="295"/>
      <c r="U355" s="295"/>
      <c r="V355" s="295"/>
      <c r="W355" s="295"/>
      <c r="X355" s="295"/>
      <c r="Y355" s="295"/>
      <c r="Z355" s="295"/>
      <c r="AA355" s="295"/>
      <c r="AB355" s="295"/>
      <c r="AC355" s="295"/>
      <c r="AD355" s="295"/>
      <c r="AE355" s="295"/>
      <c r="AF355" s="295"/>
      <c r="AG355" s="295"/>
      <c r="AH355" s="295"/>
      <c r="AI355" s="295"/>
      <c r="AJ355" s="295"/>
      <c r="AK355" s="295"/>
      <c r="AL355" s="295"/>
      <c r="AM355" s="295"/>
      <c r="AN355" s="295"/>
      <c r="AO355" s="295"/>
      <c r="AP355" s="295"/>
      <c r="AQ355" s="295"/>
      <c r="AR355" s="295"/>
      <c r="AS355" s="295"/>
      <c r="AT355" s="295"/>
      <c r="AU355" s="295"/>
      <c r="AV355" s="295"/>
      <c r="AW355" s="295"/>
      <c r="AX355" s="295"/>
      <c r="AY355" s="295"/>
      <c r="AZ355" s="295"/>
      <c r="BA355" s="295"/>
      <c r="BB355" s="295"/>
      <c r="BC355" s="295"/>
      <c r="BD355" s="295"/>
      <c r="BE355" s="295"/>
      <c r="BF355" s="295"/>
      <c r="BG355" s="295"/>
      <c r="BH355" s="295"/>
      <c r="BI355" s="295"/>
      <c r="BJ355" s="295"/>
      <c r="BK355" s="295"/>
      <c r="BL355" s="295"/>
      <c r="BM355" s="295"/>
      <c r="BN355" s="295"/>
      <c r="BO355" s="295"/>
      <c r="BP355" s="295"/>
      <c r="BQ355" s="295"/>
      <c r="BR355" s="295"/>
      <c r="BS355" s="295"/>
      <c r="BT355" s="295"/>
      <c r="BU355" s="295"/>
      <c r="BV355" s="295"/>
      <c r="BW355" s="295"/>
      <c r="BX355" s="295"/>
      <c r="BY355" s="295"/>
      <c r="BZ355" s="295"/>
      <c r="CA355" s="295"/>
      <c r="CB355" s="295"/>
      <c r="CC355" s="295"/>
      <c r="CD355" s="295"/>
      <c r="CE355" s="295"/>
      <c r="CF355" s="295"/>
      <c r="CG355" s="295"/>
      <c r="CH355" s="295"/>
      <c r="CI355" s="295"/>
      <c r="CJ355" s="295"/>
      <c r="CK355" s="295"/>
      <c r="CL355" s="295"/>
      <c r="CM355" s="295"/>
      <c r="CN355" s="295"/>
      <c r="CO355" s="295"/>
      <c r="CP355" s="293">
        <f t="shared" si="7102"/>
        <v>0</v>
      </c>
    </row>
    <row r="356" spans="1:212" ht="12" customHeight="1">
      <c r="A356" s="669">
        <v>182</v>
      </c>
      <c r="B356" s="645" t="s">
        <v>317</v>
      </c>
      <c r="C356" s="646" t="s">
        <v>318</v>
      </c>
      <c r="D356" s="647" t="s">
        <v>319</v>
      </c>
      <c r="E356" s="648" t="s">
        <v>529</v>
      </c>
      <c r="F356" s="642">
        <v>1285.57</v>
      </c>
      <c r="G356" s="642">
        <f>AVERAGE(6.5,7.5)</f>
        <v>7</v>
      </c>
      <c r="H356" s="643">
        <f>F356*G356*365</f>
        <v>3284631.35</v>
      </c>
      <c r="I356" s="291">
        <v>718513.1</v>
      </c>
      <c r="J356" s="295">
        <f>ROUND(6.5*365*F356/4,0)</f>
        <v>762504</v>
      </c>
      <c r="K356" s="293">
        <f t="shared" ref="K356:Q356" si="7777">L356</f>
        <v>879812</v>
      </c>
      <c r="L356" s="293">
        <f t="shared" si="7777"/>
        <v>879812</v>
      </c>
      <c r="M356" s="293">
        <f t="shared" si="7777"/>
        <v>879812</v>
      </c>
      <c r="N356" s="293">
        <f>O356</f>
        <v>879812</v>
      </c>
      <c r="O356" s="293">
        <f>P356</f>
        <v>879812</v>
      </c>
      <c r="P356" s="293">
        <f>Q356</f>
        <v>879812</v>
      </c>
      <c r="Q356" s="293">
        <f t="shared" si="7777"/>
        <v>879812</v>
      </c>
      <c r="R356" s="292">
        <f>ROUND(7.5*365*F356/4,0)</f>
        <v>879812</v>
      </c>
      <c r="S356" s="293">
        <f>R356</f>
        <v>879812</v>
      </c>
      <c r="T356" s="293">
        <f>S356</f>
        <v>879812</v>
      </c>
      <c r="U356" s="293">
        <f>T356</f>
        <v>879812</v>
      </c>
      <c r="V356" s="293">
        <f>ROUND(U356*(1+取值表!$D$20)*取值表!$I$20,0)</f>
        <v>862675</v>
      </c>
      <c r="W356" s="293">
        <f>V356</f>
        <v>862675</v>
      </c>
      <c r="X356" s="293">
        <f>W356</f>
        <v>862675</v>
      </c>
      <c r="Y356" s="293">
        <f>X356</f>
        <v>862675</v>
      </c>
      <c r="Z356" s="294">
        <f>ROUND(Y356*(1+取值表!$D$20),0)</f>
        <v>898907</v>
      </c>
      <c r="AA356" s="293">
        <f t="shared" ref="AA356:AB356" si="7778">Z356</f>
        <v>898907</v>
      </c>
      <c r="AB356" s="293">
        <f t="shared" si="7778"/>
        <v>898907</v>
      </c>
      <c r="AC356" s="293">
        <f>AB356</f>
        <v>898907</v>
      </c>
      <c r="AD356" s="293">
        <f>ROUND(AC356*(1+取值表!$E$20),0)</f>
        <v>936661</v>
      </c>
      <c r="AE356" s="293">
        <f t="shared" ref="AE356:AG356" si="7779">AD356</f>
        <v>936661</v>
      </c>
      <c r="AF356" s="293">
        <f t="shared" si="7779"/>
        <v>936661</v>
      </c>
      <c r="AG356" s="293">
        <f t="shared" si="7779"/>
        <v>936661</v>
      </c>
      <c r="AH356" s="293">
        <f>ROUND(AG356*(1+取值表!$E$20),0)</f>
        <v>976001</v>
      </c>
      <c r="AI356" s="293">
        <f t="shared" ref="AI356" si="7780">AH356</f>
        <v>976001</v>
      </c>
      <c r="AJ356" s="293">
        <f t="shared" ref="AJ356" si="7781">AI356</f>
        <v>976001</v>
      </c>
      <c r="AK356" s="293">
        <f t="shared" ref="AK356" si="7782">AJ356</f>
        <v>976001</v>
      </c>
      <c r="AL356" s="293">
        <f>ROUND(AK356*(1+取值表!$E$20),0)</f>
        <v>1016993</v>
      </c>
      <c r="AM356" s="293">
        <f t="shared" ref="AM356" si="7783">AL356</f>
        <v>1016993</v>
      </c>
      <c r="AN356" s="293">
        <f t="shared" ref="AN356" si="7784">AM356</f>
        <v>1016993</v>
      </c>
      <c r="AO356" s="293">
        <f t="shared" ref="AO356" si="7785">AN356</f>
        <v>1016993</v>
      </c>
      <c r="AP356" s="293">
        <f>ROUND(AO356*(1+取值表!$E$20),0)</f>
        <v>1059707</v>
      </c>
      <c r="AQ356" s="293">
        <f t="shared" ref="AQ356" si="7786">AP356</f>
        <v>1059707</v>
      </c>
      <c r="AR356" s="293">
        <f t="shared" ref="AR356" si="7787">AQ356</f>
        <v>1059707</v>
      </c>
      <c r="AS356" s="293">
        <f t="shared" ref="AS356" si="7788">AR356</f>
        <v>1059707</v>
      </c>
      <c r="AT356" s="293">
        <f>ROUND(AS356*(1+取值表!$E$20),0)</f>
        <v>1104215</v>
      </c>
      <c r="AU356" s="293">
        <f t="shared" ref="AU356" si="7789">AT356</f>
        <v>1104215</v>
      </c>
      <c r="AV356" s="293">
        <f t="shared" ref="AV356" si="7790">AU356</f>
        <v>1104215</v>
      </c>
      <c r="AW356" s="293">
        <f t="shared" ref="AW356" si="7791">AV356</f>
        <v>1104215</v>
      </c>
      <c r="AX356" s="293">
        <f>ROUND(AW356*(1+取值表!$E$20),0)</f>
        <v>1150592</v>
      </c>
      <c r="AY356" s="293">
        <f t="shared" ref="AY356" si="7792">AX356</f>
        <v>1150592</v>
      </c>
      <c r="AZ356" s="293">
        <f t="shared" ref="AZ356" si="7793">AY356</f>
        <v>1150592</v>
      </c>
      <c r="BA356" s="293">
        <f t="shared" ref="BA356" si="7794">AZ356</f>
        <v>1150592</v>
      </c>
      <c r="BB356" s="293">
        <f>ROUND(BA356*(1+取值表!$E$20),0)</f>
        <v>1198917</v>
      </c>
      <c r="BC356" s="293">
        <f>BB356</f>
        <v>1198917</v>
      </c>
      <c r="BD356" s="293">
        <f t="shared" ref="BD356" si="7795">BC356</f>
        <v>1198917</v>
      </c>
      <c r="BE356" s="293">
        <f>BD356</f>
        <v>1198917</v>
      </c>
      <c r="BF356" s="293">
        <f>ROUND(BE356*(1+取值表!$E$20),0)</f>
        <v>1249272</v>
      </c>
      <c r="BG356" s="293">
        <f>BF356</f>
        <v>1249272</v>
      </c>
      <c r="BH356" s="293">
        <f t="shared" ref="BH356" si="7796">BG356</f>
        <v>1249272</v>
      </c>
      <c r="BI356" s="293">
        <f t="shared" ref="BI356" si="7797">BH356</f>
        <v>1249272</v>
      </c>
      <c r="BJ356" s="293">
        <f>ROUND(BI356*(1+取值表!$E$20),0)</f>
        <v>1301741</v>
      </c>
      <c r="BK356" s="293">
        <f t="shared" ref="BK356" si="7798">BJ356</f>
        <v>1301741</v>
      </c>
      <c r="BL356" s="293">
        <f t="shared" ref="BL356" si="7799">BK356</f>
        <v>1301741</v>
      </c>
      <c r="BM356" s="293">
        <f t="shared" ref="BM356" si="7800">BL356</f>
        <v>1301741</v>
      </c>
      <c r="BN356" s="293">
        <f>ROUND(BM356*(1+取值表!$E$20),0)</f>
        <v>1356414</v>
      </c>
      <c r="BO356" s="293">
        <f t="shared" ref="BO356" si="7801">BN356</f>
        <v>1356414</v>
      </c>
      <c r="BP356" s="293">
        <f t="shared" ref="BP356" si="7802">BO356</f>
        <v>1356414</v>
      </c>
      <c r="BQ356" s="293">
        <f t="shared" ref="BQ356" si="7803">BP356</f>
        <v>1356414</v>
      </c>
      <c r="BR356" s="293">
        <f>ROUND(BQ356*(1+取值表!$E$20),0)</f>
        <v>1413383</v>
      </c>
      <c r="BS356" s="293">
        <f t="shared" ref="BS356" si="7804">BR356</f>
        <v>1413383</v>
      </c>
      <c r="BT356" s="293">
        <f t="shared" ref="BT356" si="7805">BS356</f>
        <v>1413383</v>
      </c>
      <c r="BU356" s="293">
        <f t="shared" ref="BU356" si="7806">BT356</f>
        <v>1413383</v>
      </c>
      <c r="BV356" s="293">
        <f>ROUND(BU356*(1+取值表!$E$20),0)</f>
        <v>1472745</v>
      </c>
      <c r="BW356" s="293">
        <f t="shared" ref="BW356" si="7807">BV356</f>
        <v>1472745</v>
      </c>
      <c r="BX356" s="293">
        <f t="shared" ref="BX356" si="7808">BW356</f>
        <v>1472745</v>
      </c>
      <c r="BY356" s="293">
        <f t="shared" ref="BY356" si="7809">BX356</f>
        <v>1472745</v>
      </c>
      <c r="BZ356" s="293">
        <f>ROUND(BY356*(1+取值表!$E$20),0)</f>
        <v>1534600</v>
      </c>
      <c r="CA356" s="293">
        <f t="shared" ref="CA356" si="7810">BZ356</f>
        <v>1534600</v>
      </c>
      <c r="CB356" s="293">
        <f t="shared" ref="CB356" si="7811">CA356</f>
        <v>1534600</v>
      </c>
      <c r="CC356" s="293">
        <f t="shared" ref="CC356" si="7812">CB356</f>
        <v>1534600</v>
      </c>
      <c r="CD356" s="293">
        <f>ROUND(CC356*(1+取值表!$E$20),0)</f>
        <v>1599053</v>
      </c>
      <c r="CE356" s="293">
        <f t="shared" ref="CE356" si="7813">CD356</f>
        <v>1599053</v>
      </c>
      <c r="CF356" s="293">
        <f t="shared" ref="CF356" si="7814">CE356</f>
        <v>1599053</v>
      </c>
      <c r="CG356" s="293">
        <f t="shared" ref="CG356" si="7815">CF356</f>
        <v>1599053</v>
      </c>
      <c r="CH356" s="293">
        <f>ROUND(CG356*(1+取值表!$E$20),0)</f>
        <v>1666213</v>
      </c>
      <c r="CI356" s="293">
        <f>CH356</f>
        <v>1666213</v>
      </c>
      <c r="CJ356" s="293">
        <f t="shared" ref="CJ356" si="7816">CI356</f>
        <v>1666213</v>
      </c>
      <c r="CK356" s="293">
        <f t="shared" ref="CK356" si="7817">CJ356</f>
        <v>1666213</v>
      </c>
      <c r="CL356" s="293">
        <f>ROUND(CK356*(1+取值表!$E$20),0)</f>
        <v>1736194</v>
      </c>
      <c r="CM356" s="293">
        <f>CL356</f>
        <v>1736194</v>
      </c>
      <c r="CN356" s="293">
        <f t="shared" ref="CN356" si="7818">CM356</f>
        <v>1736194</v>
      </c>
      <c r="CO356" s="293">
        <f t="shared" ref="CO356" si="7819">CN356</f>
        <v>1736194</v>
      </c>
      <c r="CP356" s="293">
        <f t="shared" si="7102"/>
        <v>100577568</v>
      </c>
      <c r="CQ356" s="352"/>
    </row>
    <row r="357" spans="1:212">
      <c r="A357" s="670"/>
      <c r="B357" s="645"/>
      <c r="C357" s="646"/>
      <c r="D357" s="647"/>
      <c r="E357" s="648"/>
      <c r="F357" s="642"/>
      <c r="G357" s="642"/>
      <c r="H357" s="643"/>
      <c r="I357" s="291"/>
      <c r="J357" s="295"/>
      <c r="K357" s="293"/>
      <c r="L357" s="293"/>
      <c r="M357" s="293"/>
      <c r="N357" s="293"/>
      <c r="O357" s="293"/>
      <c r="P357" s="293"/>
      <c r="Q357" s="293"/>
      <c r="R357" s="293"/>
      <c r="S357" s="293"/>
      <c r="T357" s="293"/>
      <c r="U357" s="293"/>
      <c r="V357" s="293"/>
      <c r="W357" s="293"/>
      <c r="X357" s="293"/>
      <c r="Y357" s="293"/>
      <c r="Z357" s="293"/>
      <c r="AA357" s="293"/>
      <c r="AB357" s="293"/>
      <c r="AC357" s="293"/>
      <c r="AD357" s="293"/>
      <c r="AE357" s="293"/>
      <c r="AF357" s="293"/>
      <c r="AG357" s="293"/>
      <c r="AH357" s="293"/>
      <c r="AI357" s="293"/>
      <c r="AJ357" s="293"/>
      <c r="AK357" s="293"/>
      <c r="AL357" s="293"/>
      <c r="AM357" s="293"/>
      <c r="AN357" s="293"/>
      <c r="AO357" s="293"/>
      <c r="AP357" s="293"/>
      <c r="AQ357" s="293"/>
      <c r="AR357" s="293"/>
      <c r="AS357" s="293"/>
      <c r="AT357" s="293"/>
      <c r="AU357" s="293"/>
      <c r="AV357" s="293"/>
      <c r="AW357" s="293"/>
      <c r="AX357" s="293"/>
      <c r="AY357" s="293"/>
      <c r="AZ357" s="293"/>
      <c r="BA357" s="293"/>
      <c r="BB357" s="293"/>
      <c r="BC357" s="293"/>
      <c r="BD357" s="293"/>
      <c r="BE357" s="293"/>
      <c r="BF357" s="293"/>
      <c r="BG357" s="293"/>
      <c r="BH357" s="293"/>
      <c r="BI357" s="293"/>
      <c r="BJ357" s="293"/>
      <c r="BK357" s="293"/>
      <c r="BL357" s="293"/>
      <c r="BM357" s="293"/>
      <c r="BN357" s="293"/>
      <c r="BO357" s="293"/>
      <c r="BP357" s="293"/>
      <c r="BQ357" s="293"/>
      <c r="BR357" s="293"/>
      <c r="BS357" s="293"/>
      <c r="BT357" s="293"/>
      <c r="BU357" s="293"/>
      <c r="BV357" s="293"/>
      <c r="BW357" s="293"/>
      <c r="BX357" s="293"/>
      <c r="BY357" s="293"/>
      <c r="BZ357" s="293"/>
      <c r="CA357" s="293"/>
      <c r="CB357" s="293"/>
      <c r="CC357" s="293"/>
      <c r="CD357" s="293"/>
      <c r="CE357" s="293"/>
      <c r="CF357" s="293"/>
      <c r="CG357" s="293"/>
      <c r="CH357" s="293"/>
      <c r="CI357" s="293"/>
      <c r="CJ357" s="293"/>
      <c r="CK357" s="293"/>
      <c r="CL357" s="293"/>
      <c r="CM357" s="293"/>
      <c r="CN357" s="293"/>
      <c r="CO357" s="293"/>
      <c r="CP357" s="293">
        <f t="shared" si="7102"/>
        <v>0</v>
      </c>
    </row>
    <row r="358" spans="1:212" s="299" customFormat="1" ht="14.25" customHeight="1">
      <c r="A358" s="669">
        <v>183</v>
      </c>
      <c r="B358" s="645" t="s">
        <v>320</v>
      </c>
      <c r="C358" s="646" t="s">
        <v>755</v>
      </c>
      <c r="D358" s="647" t="s">
        <v>530</v>
      </c>
      <c r="E358" s="648" t="s">
        <v>531</v>
      </c>
      <c r="F358" s="642">
        <v>1285.57</v>
      </c>
      <c r="G358" s="642">
        <f>AVERAGE(4,5,6,6.48,6.48,7,7)</f>
        <v>5.9942857142857147</v>
      </c>
      <c r="H358" s="643">
        <f>F358*G358*365</f>
        <v>2812716.9682857143</v>
      </c>
      <c r="I358" s="298">
        <f>309318.03+3504.01+566989.94</f>
        <v>879811.98</v>
      </c>
      <c r="J358" s="295">
        <f>K358</f>
        <v>760158</v>
      </c>
      <c r="K358" s="295">
        <f>L358</f>
        <v>760158</v>
      </c>
      <c r="L358" s="295">
        <f>M358</f>
        <v>760158</v>
      </c>
      <c r="M358" s="295">
        <f>N358</f>
        <v>760158</v>
      </c>
      <c r="N358" s="295">
        <f>O358</f>
        <v>760158</v>
      </c>
      <c r="O358" s="295">
        <f>ROUND(6.48*F358*365/4,0)</f>
        <v>760158</v>
      </c>
      <c r="P358" s="295">
        <f>Q358</f>
        <v>821158</v>
      </c>
      <c r="Q358" s="295">
        <f t="shared" ref="Q358:V358" si="7820">R358</f>
        <v>821158</v>
      </c>
      <c r="R358" s="295">
        <f t="shared" si="7820"/>
        <v>821158</v>
      </c>
      <c r="S358" s="295">
        <f t="shared" si="7820"/>
        <v>821158</v>
      </c>
      <c r="T358" s="295">
        <f>U358</f>
        <v>821158</v>
      </c>
      <c r="U358" s="295">
        <f t="shared" si="7820"/>
        <v>821158</v>
      </c>
      <c r="V358" s="295">
        <f t="shared" si="7820"/>
        <v>821158</v>
      </c>
      <c r="W358" s="292">
        <f>ROUND(7*365*F358/4,0)</f>
        <v>821158</v>
      </c>
      <c r="X358" s="295">
        <f>W358</f>
        <v>821158</v>
      </c>
      <c r="Y358" s="295">
        <f>X358</f>
        <v>821158</v>
      </c>
      <c r="Z358" s="293">
        <f>ROUND(Y358*(1+取值表!$D$22)*取值表!$I$22,0)</f>
        <v>805163</v>
      </c>
      <c r="AA358" s="295">
        <f>Z358</f>
        <v>805163</v>
      </c>
      <c r="AB358" s="295">
        <f>AA358</f>
        <v>805163</v>
      </c>
      <c r="AC358" s="295">
        <f>AB358</f>
        <v>805163</v>
      </c>
      <c r="AD358" s="294">
        <f>ROUND(AC358*(1+取值表!$E$20),0)</f>
        <v>838980</v>
      </c>
      <c r="AE358" s="295">
        <f t="shared" ref="AE358:AG358" si="7821">AD358</f>
        <v>838980</v>
      </c>
      <c r="AF358" s="295">
        <f t="shared" si="7821"/>
        <v>838980</v>
      </c>
      <c r="AG358" s="295">
        <f t="shared" si="7821"/>
        <v>838980</v>
      </c>
      <c r="AH358" s="293">
        <f>ROUND(AG358*(1+取值表!$E$20),0)</f>
        <v>874217</v>
      </c>
      <c r="AI358" s="295">
        <f t="shared" ref="AI358" si="7822">AH358</f>
        <v>874217</v>
      </c>
      <c r="AJ358" s="295">
        <f t="shared" ref="AJ358" si="7823">AI358</f>
        <v>874217</v>
      </c>
      <c r="AK358" s="295">
        <f t="shared" ref="AK358" si="7824">AJ358</f>
        <v>874217</v>
      </c>
      <c r="AL358" s="293">
        <f>ROUND(AK358*(1+取值表!$E$20),0)</f>
        <v>910934</v>
      </c>
      <c r="AM358" s="295">
        <f t="shared" ref="AM358" si="7825">AL358</f>
        <v>910934</v>
      </c>
      <c r="AN358" s="295">
        <f t="shared" ref="AN358" si="7826">AM358</f>
        <v>910934</v>
      </c>
      <c r="AO358" s="295">
        <f t="shared" ref="AO358" si="7827">AN358</f>
        <v>910934</v>
      </c>
      <c r="AP358" s="293">
        <f>ROUND(AO358*(1+取值表!$E$20),0)</f>
        <v>949193</v>
      </c>
      <c r="AQ358" s="295">
        <f t="shared" ref="AQ358" si="7828">AP358</f>
        <v>949193</v>
      </c>
      <c r="AR358" s="295">
        <f t="shared" ref="AR358" si="7829">AQ358</f>
        <v>949193</v>
      </c>
      <c r="AS358" s="295">
        <f t="shared" ref="AS358" si="7830">AR358</f>
        <v>949193</v>
      </c>
      <c r="AT358" s="293">
        <f>ROUND(AS358*(1+取值表!$E$20),0)</f>
        <v>989059</v>
      </c>
      <c r="AU358" s="295">
        <f t="shared" ref="AU358" si="7831">AT358</f>
        <v>989059</v>
      </c>
      <c r="AV358" s="295">
        <f t="shared" ref="AV358" si="7832">AU358</f>
        <v>989059</v>
      </c>
      <c r="AW358" s="295">
        <f t="shared" ref="AW358" si="7833">AV358</f>
        <v>989059</v>
      </c>
      <c r="AX358" s="293">
        <f>ROUND(AW358*(1+取值表!$E$20),0)</f>
        <v>1030599</v>
      </c>
      <c r="AY358" s="295">
        <f t="shared" ref="AY358" si="7834">AX358</f>
        <v>1030599</v>
      </c>
      <c r="AZ358" s="295">
        <f t="shared" ref="AZ358" si="7835">AY358</f>
        <v>1030599</v>
      </c>
      <c r="BA358" s="295">
        <f t="shared" ref="BA358" si="7836">AZ358</f>
        <v>1030599</v>
      </c>
      <c r="BB358" s="293">
        <f>ROUND(BA358*(1+取值表!$E$20),0)</f>
        <v>1073884</v>
      </c>
      <c r="BC358" s="295">
        <f>BB358</f>
        <v>1073884</v>
      </c>
      <c r="BD358" s="295">
        <f t="shared" ref="BD358" si="7837">BC358</f>
        <v>1073884</v>
      </c>
      <c r="BE358" s="295">
        <f>BD358</f>
        <v>1073884</v>
      </c>
      <c r="BF358" s="293">
        <f>ROUND(BE358*(1+取值表!$E$20),0)</f>
        <v>1118987</v>
      </c>
      <c r="BG358" s="295">
        <f>BF358</f>
        <v>1118987</v>
      </c>
      <c r="BH358" s="295">
        <f t="shared" ref="BH358" si="7838">BG358</f>
        <v>1118987</v>
      </c>
      <c r="BI358" s="295">
        <f t="shared" ref="BI358" si="7839">BH358</f>
        <v>1118987</v>
      </c>
      <c r="BJ358" s="293">
        <f>ROUND(BI358*(1+取值表!$E$20),0)</f>
        <v>1165984</v>
      </c>
      <c r="BK358" s="295">
        <f t="shared" ref="BK358" si="7840">BJ358</f>
        <v>1165984</v>
      </c>
      <c r="BL358" s="295">
        <f t="shared" ref="BL358" si="7841">BK358</f>
        <v>1165984</v>
      </c>
      <c r="BM358" s="295">
        <f t="shared" ref="BM358" si="7842">BL358</f>
        <v>1165984</v>
      </c>
      <c r="BN358" s="293">
        <f>ROUND(BM358*(1+取值表!$E$20),0)</f>
        <v>1214955</v>
      </c>
      <c r="BO358" s="295">
        <f t="shared" ref="BO358" si="7843">BN358</f>
        <v>1214955</v>
      </c>
      <c r="BP358" s="295">
        <f t="shared" ref="BP358" si="7844">BO358</f>
        <v>1214955</v>
      </c>
      <c r="BQ358" s="295">
        <f t="shared" ref="BQ358" si="7845">BP358</f>
        <v>1214955</v>
      </c>
      <c r="BR358" s="293">
        <f>ROUND(BQ358*(1+取值表!$E$20),0)</f>
        <v>1265983</v>
      </c>
      <c r="BS358" s="295">
        <f t="shared" ref="BS358" si="7846">BR358</f>
        <v>1265983</v>
      </c>
      <c r="BT358" s="295">
        <f t="shared" ref="BT358" si="7847">BS358</f>
        <v>1265983</v>
      </c>
      <c r="BU358" s="295">
        <f t="shared" ref="BU358" si="7848">BT358</f>
        <v>1265983</v>
      </c>
      <c r="BV358" s="293">
        <f>ROUND(BU358*(1+取值表!$E$20),0)</f>
        <v>1319154</v>
      </c>
      <c r="BW358" s="295">
        <f t="shared" ref="BW358" si="7849">BV358</f>
        <v>1319154</v>
      </c>
      <c r="BX358" s="295">
        <f t="shared" ref="BX358" si="7850">BW358</f>
        <v>1319154</v>
      </c>
      <c r="BY358" s="295">
        <f t="shared" ref="BY358" si="7851">BX358</f>
        <v>1319154</v>
      </c>
      <c r="BZ358" s="293">
        <f>ROUND(BY358*(1+取值表!$E$20),0)</f>
        <v>1374558</v>
      </c>
      <c r="CA358" s="295">
        <f t="shared" ref="CA358" si="7852">BZ358</f>
        <v>1374558</v>
      </c>
      <c r="CB358" s="295">
        <f t="shared" ref="CB358" si="7853">CA358</f>
        <v>1374558</v>
      </c>
      <c r="CC358" s="295">
        <f t="shared" ref="CC358" si="7854">CB358</f>
        <v>1374558</v>
      </c>
      <c r="CD358" s="293">
        <f>ROUND(CC358*(1+取值表!$E$20),0)</f>
        <v>1432289</v>
      </c>
      <c r="CE358" s="295">
        <f t="shared" ref="CE358" si="7855">CD358</f>
        <v>1432289</v>
      </c>
      <c r="CF358" s="295">
        <f t="shared" ref="CF358" si="7856">CE358</f>
        <v>1432289</v>
      </c>
      <c r="CG358" s="295">
        <f t="shared" ref="CG358" si="7857">CF358</f>
        <v>1432289</v>
      </c>
      <c r="CH358" s="293">
        <f>ROUND(CG358*(1+取值表!$E$20),0)</f>
        <v>1492445</v>
      </c>
      <c r="CI358" s="295">
        <f>CH358</f>
        <v>1492445</v>
      </c>
      <c r="CJ358" s="295">
        <f t="shared" ref="CJ358" si="7858">CI358</f>
        <v>1492445</v>
      </c>
      <c r="CK358" s="295">
        <f t="shared" ref="CK358" si="7859">CJ358</f>
        <v>1492445</v>
      </c>
      <c r="CL358" s="293">
        <f>ROUND(CK358*(1+取值表!$E$20),0)</f>
        <v>1555128</v>
      </c>
      <c r="CM358" s="295">
        <f>CL358</f>
        <v>1555128</v>
      </c>
      <c r="CN358" s="295">
        <f t="shared" ref="CN358" si="7860">CM358</f>
        <v>1555128</v>
      </c>
      <c r="CO358" s="295">
        <f t="shared" ref="CO358" si="7861">CN358</f>
        <v>1555128</v>
      </c>
      <c r="CP358" s="293">
        <f t="shared" si="7102"/>
        <v>90418576</v>
      </c>
      <c r="CQ358" s="353"/>
    </row>
    <row r="359" spans="1:212" ht="15" customHeight="1">
      <c r="A359" s="670"/>
      <c r="B359" s="645"/>
      <c r="C359" s="646"/>
      <c r="D359" s="647"/>
      <c r="E359" s="648"/>
      <c r="F359" s="642"/>
      <c r="G359" s="642"/>
      <c r="H359" s="643"/>
      <c r="I359" s="291"/>
      <c r="J359" s="295"/>
      <c r="K359" s="293"/>
      <c r="L359" s="293"/>
      <c r="M359" s="293"/>
      <c r="N359" s="293"/>
      <c r="O359" s="293"/>
      <c r="P359" s="293"/>
      <c r="Q359" s="293"/>
      <c r="R359" s="293"/>
      <c r="S359" s="293"/>
      <c r="T359" s="293"/>
      <c r="U359" s="293"/>
      <c r="V359" s="293"/>
      <c r="W359" s="293"/>
      <c r="X359" s="293"/>
      <c r="Y359" s="293"/>
      <c r="Z359" s="293"/>
      <c r="AA359" s="293"/>
      <c r="AB359" s="293"/>
      <c r="AC359" s="293"/>
      <c r="AD359" s="293"/>
      <c r="AE359" s="293"/>
      <c r="AF359" s="293"/>
      <c r="AG359" s="293"/>
      <c r="AH359" s="293"/>
      <c r="AI359" s="293"/>
      <c r="AJ359" s="293"/>
      <c r="AK359" s="293"/>
      <c r="AL359" s="293"/>
      <c r="AM359" s="293"/>
      <c r="AN359" s="293"/>
      <c r="AO359" s="293"/>
      <c r="AP359" s="293"/>
      <c r="AQ359" s="293"/>
      <c r="AR359" s="293"/>
      <c r="AS359" s="293"/>
      <c r="AT359" s="293"/>
      <c r="AU359" s="293"/>
      <c r="AV359" s="293"/>
      <c r="AW359" s="293"/>
      <c r="AX359" s="293"/>
      <c r="AY359" s="293"/>
      <c r="AZ359" s="293"/>
      <c r="BA359" s="293"/>
      <c r="BB359" s="293"/>
      <c r="BC359" s="293"/>
      <c r="BD359" s="293"/>
      <c r="BE359" s="293"/>
      <c r="BF359" s="293"/>
      <c r="BG359" s="293"/>
      <c r="BH359" s="293"/>
      <c r="BI359" s="293"/>
      <c r="BJ359" s="293"/>
      <c r="BK359" s="293"/>
      <c r="BL359" s="293"/>
      <c r="BM359" s="293"/>
      <c r="BN359" s="293"/>
      <c r="BO359" s="293"/>
      <c r="BP359" s="293"/>
      <c r="BQ359" s="293"/>
      <c r="BR359" s="293"/>
      <c r="BS359" s="293"/>
      <c r="BT359" s="293"/>
      <c r="BU359" s="293"/>
      <c r="BV359" s="293"/>
      <c r="BW359" s="293"/>
      <c r="BX359" s="293"/>
      <c r="BY359" s="293"/>
      <c r="BZ359" s="293"/>
      <c r="CA359" s="293"/>
      <c r="CB359" s="293"/>
      <c r="CC359" s="293"/>
      <c r="CD359" s="293"/>
      <c r="CE359" s="293"/>
      <c r="CF359" s="293"/>
      <c r="CG359" s="293"/>
      <c r="CH359" s="293"/>
      <c r="CI359" s="293"/>
      <c r="CJ359" s="293"/>
      <c r="CK359" s="293"/>
      <c r="CL359" s="293"/>
      <c r="CM359" s="293"/>
      <c r="CN359" s="293"/>
      <c r="CO359" s="293"/>
      <c r="CP359" s="293">
        <f t="shared" si="7102"/>
        <v>0</v>
      </c>
    </row>
    <row r="360" spans="1:212">
      <c r="A360" s="669">
        <v>184</v>
      </c>
      <c r="B360" s="645" t="s">
        <v>321</v>
      </c>
      <c r="C360" s="646" t="s">
        <v>756</v>
      </c>
      <c r="D360" s="647" t="s">
        <v>533</v>
      </c>
      <c r="E360" s="648" t="s">
        <v>532</v>
      </c>
      <c r="F360" s="642">
        <v>1271.17</v>
      </c>
      <c r="G360" s="642">
        <v>6.75</v>
      </c>
      <c r="H360" s="643">
        <f>F360*G360*365</f>
        <v>3131845.0875000004</v>
      </c>
      <c r="I360" s="291">
        <v>324783.94</v>
      </c>
      <c r="J360" s="295">
        <f>ROUND(270653.28*3,0)</f>
        <v>811960</v>
      </c>
      <c r="K360" s="293">
        <f t="shared" ref="K360:N360" si="7862">J360</f>
        <v>811960</v>
      </c>
      <c r="L360" s="295">
        <f t="shared" si="7862"/>
        <v>811960</v>
      </c>
      <c r="M360" s="295">
        <f t="shared" si="7862"/>
        <v>811960</v>
      </c>
      <c r="N360" s="295">
        <f t="shared" si="7862"/>
        <v>811960</v>
      </c>
      <c r="O360" s="295">
        <f>N360</f>
        <v>811960</v>
      </c>
      <c r="P360" s="295">
        <f>O360</f>
        <v>811960</v>
      </c>
      <c r="Q360" s="292">
        <f>P360</f>
        <v>811960</v>
      </c>
      <c r="R360" s="293">
        <f>ROUND(Q360*(1+取值表!$D$24)*取值表!$I$24,0)</f>
        <v>796145</v>
      </c>
      <c r="S360" s="293">
        <f>R360</f>
        <v>796145</v>
      </c>
      <c r="T360" s="293">
        <f>S360</f>
        <v>796145</v>
      </c>
      <c r="U360" s="293">
        <f>T360</f>
        <v>796145</v>
      </c>
      <c r="V360" s="294">
        <f>ROUND(U360*(1+取值表!$D$24),0)</f>
        <v>829583</v>
      </c>
      <c r="W360" s="293">
        <f t="shared" ref="W360:Y360" si="7863">V360</f>
        <v>829583</v>
      </c>
      <c r="X360" s="293">
        <f t="shared" si="7863"/>
        <v>829583</v>
      </c>
      <c r="Y360" s="293">
        <f t="shared" si="7863"/>
        <v>829583</v>
      </c>
      <c r="Z360" s="293">
        <f>ROUND(Y360*(1+取值表!$D$24),0)</f>
        <v>864425</v>
      </c>
      <c r="AA360" s="293">
        <f t="shared" ref="AA360:AB360" si="7864">Z360</f>
        <v>864425</v>
      </c>
      <c r="AB360" s="293">
        <f t="shared" si="7864"/>
        <v>864425</v>
      </c>
      <c r="AC360" s="293">
        <f>AB360</f>
        <v>864425</v>
      </c>
      <c r="AD360" s="293">
        <f>ROUND(AC360*(1+取值表!$D$24),0)</f>
        <v>900731</v>
      </c>
      <c r="AE360" s="293">
        <f t="shared" ref="AE360" si="7865">AD360</f>
        <v>900731</v>
      </c>
      <c r="AF360" s="293">
        <f t="shared" ref="AF360" si="7866">AE360</f>
        <v>900731</v>
      </c>
      <c r="AG360" s="293">
        <f t="shared" ref="AG360" si="7867">AF360</f>
        <v>900731</v>
      </c>
      <c r="AH360" s="293">
        <f>ROUND(AG360*(1+取值表!$D$24),0)</f>
        <v>938562</v>
      </c>
      <c r="AI360" s="293">
        <f t="shared" ref="AI360" si="7868">AH360</f>
        <v>938562</v>
      </c>
      <c r="AJ360" s="293">
        <f t="shared" ref="AJ360" si="7869">AI360</f>
        <v>938562</v>
      </c>
      <c r="AK360" s="293">
        <f t="shared" ref="AK360" si="7870">AJ360</f>
        <v>938562</v>
      </c>
      <c r="AL360" s="293">
        <f>ROUND(AK360*(1+取值表!$D$24),0)</f>
        <v>977982</v>
      </c>
      <c r="AM360" s="293">
        <f t="shared" ref="AM360" si="7871">AL360</f>
        <v>977982</v>
      </c>
      <c r="AN360" s="293">
        <f t="shared" ref="AN360" si="7872">AM360</f>
        <v>977982</v>
      </c>
      <c r="AO360" s="293">
        <f t="shared" ref="AO360" si="7873">AN360</f>
        <v>977982</v>
      </c>
      <c r="AP360" s="293">
        <f>ROUND(AO360*(1+取值表!$D$24),0)</f>
        <v>1019057</v>
      </c>
      <c r="AQ360" s="293">
        <f t="shared" ref="AQ360" si="7874">AP360</f>
        <v>1019057</v>
      </c>
      <c r="AR360" s="293">
        <f t="shared" ref="AR360" si="7875">AQ360</f>
        <v>1019057</v>
      </c>
      <c r="AS360" s="293">
        <f t="shared" ref="AS360" si="7876">AR360</f>
        <v>1019057</v>
      </c>
      <c r="AT360" s="293">
        <f>ROUND(AS360*(1+取值表!$D$24),0)</f>
        <v>1061857</v>
      </c>
      <c r="AU360" s="293">
        <f t="shared" ref="AU360" si="7877">AT360</f>
        <v>1061857</v>
      </c>
      <c r="AV360" s="293">
        <f t="shared" ref="AV360" si="7878">AU360</f>
        <v>1061857</v>
      </c>
      <c r="AW360" s="293">
        <f t="shared" ref="AW360" si="7879">AV360</f>
        <v>1061857</v>
      </c>
      <c r="AX360" s="293">
        <f>ROUND(AW360*(1+取值表!$D$24),0)</f>
        <v>1106455</v>
      </c>
      <c r="AY360" s="293">
        <f t="shared" ref="AY360" si="7880">AX360</f>
        <v>1106455</v>
      </c>
      <c r="AZ360" s="293">
        <f t="shared" ref="AZ360" si="7881">AY360</f>
        <v>1106455</v>
      </c>
      <c r="BA360" s="293">
        <f t="shared" ref="BA360" si="7882">AZ360</f>
        <v>1106455</v>
      </c>
      <c r="BB360" s="293">
        <f>ROUND(BA360*(1+取值表!$D$24),0)</f>
        <v>1152926</v>
      </c>
      <c r="BC360" s="293">
        <f>BB360</f>
        <v>1152926</v>
      </c>
      <c r="BD360" s="293">
        <f t="shared" ref="BD360" si="7883">BC360</f>
        <v>1152926</v>
      </c>
      <c r="BE360" s="293">
        <f>BD360</f>
        <v>1152926</v>
      </c>
      <c r="BF360" s="293">
        <f>ROUND(BE360*(1+取值表!$D$24),0)</f>
        <v>1201349</v>
      </c>
      <c r="BG360" s="293">
        <f>BF360</f>
        <v>1201349</v>
      </c>
      <c r="BH360" s="293">
        <f t="shared" ref="BH360" si="7884">BG360</f>
        <v>1201349</v>
      </c>
      <c r="BI360" s="293">
        <f t="shared" ref="BI360" si="7885">BH360</f>
        <v>1201349</v>
      </c>
      <c r="BJ360" s="293">
        <f>ROUND(BI360*(1+取值表!$D$24),0)</f>
        <v>1251806</v>
      </c>
      <c r="BK360" s="293">
        <f t="shared" ref="BK360" si="7886">BJ360</f>
        <v>1251806</v>
      </c>
      <c r="BL360" s="293">
        <f t="shared" ref="BL360" si="7887">BK360</f>
        <v>1251806</v>
      </c>
      <c r="BM360" s="293">
        <f t="shared" ref="BM360" si="7888">BL360</f>
        <v>1251806</v>
      </c>
      <c r="BN360" s="293">
        <f>ROUND(BM360*(1+取值表!$D$24),0)</f>
        <v>1304382</v>
      </c>
      <c r="BO360" s="293">
        <f t="shared" ref="BO360" si="7889">BN360</f>
        <v>1304382</v>
      </c>
      <c r="BP360" s="293">
        <f t="shared" ref="BP360" si="7890">BO360</f>
        <v>1304382</v>
      </c>
      <c r="BQ360" s="293">
        <f t="shared" ref="BQ360" si="7891">BP360</f>
        <v>1304382</v>
      </c>
      <c r="BR360" s="293">
        <f>ROUND(BQ360*(1+取值表!$D$24),0)</f>
        <v>1359166</v>
      </c>
      <c r="BS360" s="293">
        <f t="shared" ref="BS360" si="7892">BR360</f>
        <v>1359166</v>
      </c>
      <c r="BT360" s="293">
        <f t="shared" ref="BT360" si="7893">BS360</f>
        <v>1359166</v>
      </c>
      <c r="BU360" s="293">
        <f t="shared" ref="BU360" si="7894">BT360</f>
        <v>1359166</v>
      </c>
      <c r="BV360" s="293">
        <f>ROUND(BU360*(1+取值表!$D$24),0)</f>
        <v>1416251</v>
      </c>
      <c r="BW360" s="293">
        <f t="shared" ref="BW360" si="7895">BV360</f>
        <v>1416251</v>
      </c>
      <c r="BX360" s="293">
        <f t="shared" ref="BX360" si="7896">BW360</f>
        <v>1416251</v>
      </c>
      <c r="BY360" s="293">
        <f t="shared" ref="BY360" si="7897">BX360</f>
        <v>1416251</v>
      </c>
      <c r="BZ360" s="293">
        <f>ROUND(BY360*(1+取值表!$D$24),0)</f>
        <v>1475734</v>
      </c>
      <c r="CA360" s="293">
        <f t="shared" ref="CA360" si="7898">BZ360</f>
        <v>1475734</v>
      </c>
      <c r="CB360" s="293">
        <f t="shared" ref="CB360" si="7899">CA360</f>
        <v>1475734</v>
      </c>
      <c r="CC360" s="293">
        <f t="shared" ref="CC360" si="7900">CB360</f>
        <v>1475734</v>
      </c>
      <c r="CD360" s="293">
        <f>ROUND(CC360*(1+取值表!$D$24),0)</f>
        <v>1537715</v>
      </c>
      <c r="CE360" s="293">
        <f t="shared" ref="CE360" si="7901">CD360</f>
        <v>1537715</v>
      </c>
      <c r="CF360" s="293">
        <f t="shared" ref="CF360" si="7902">CE360</f>
        <v>1537715</v>
      </c>
      <c r="CG360" s="293">
        <f t="shared" ref="CG360" si="7903">CF360</f>
        <v>1537715</v>
      </c>
      <c r="CH360" s="293">
        <f>ROUND(CG360*(1+取值表!$D$24),0)</f>
        <v>1602299</v>
      </c>
      <c r="CI360" s="293">
        <f>CH360</f>
        <v>1602299</v>
      </c>
      <c r="CJ360" s="293">
        <f t="shared" ref="CJ360" si="7904">CI360</f>
        <v>1602299</v>
      </c>
      <c r="CK360" s="293">
        <f t="shared" ref="CK360" si="7905">CJ360</f>
        <v>1602299</v>
      </c>
      <c r="CL360" s="293">
        <f>ROUND(CK360*(1+取值表!$D$24),0)</f>
        <v>1669596</v>
      </c>
      <c r="CM360" s="293">
        <f>CL360</f>
        <v>1669596</v>
      </c>
      <c r="CN360" s="293">
        <f t="shared" ref="CN360" si="7906">CM360</f>
        <v>1669596</v>
      </c>
      <c r="CO360" s="293">
        <f t="shared" ref="CO360" si="7907">CN360</f>
        <v>1669596</v>
      </c>
      <c r="CP360" s="293">
        <f t="shared" si="7102"/>
        <v>96359764</v>
      </c>
    </row>
    <row r="361" spans="1:212">
      <c r="A361" s="670"/>
      <c r="B361" s="645"/>
      <c r="C361" s="646"/>
      <c r="D361" s="647"/>
      <c r="E361" s="648"/>
      <c r="F361" s="642"/>
      <c r="G361" s="642"/>
      <c r="H361" s="643"/>
      <c r="I361" s="291"/>
      <c r="J361" s="295"/>
      <c r="K361" s="293"/>
      <c r="L361" s="293"/>
      <c r="M361" s="293"/>
      <c r="N361" s="293"/>
      <c r="O361" s="293"/>
      <c r="P361" s="293"/>
      <c r="Q361" s="293"/>
      <c r="R361" s="293"/>
      <c r="S361" s="293"/>
      <c r="T361" s="293"/>
      <c r="U361" s="293"/>
      <c r="V361" s="293"/>
      <c r="W361" s="293"/>
      <c r="X361" s="293"/>
      <c r="Y361" s="293"/>
      <c r="Z361" s="293"/>
      <c r="AA361" s="293"/>
      <c r="AB361" s="293"/>
      <c r="AC361" s="293"/>
      <c r="AD361" s="293"/>
      <c r="AE361" s="293"/>
      <c r="AF361" s="293"/>
      <c r="AG361" s="293"/>
      <c r="AH361" s="293"/>
      <c r="AI361" s="293"/>
      <c r="AJ361" s="293"/>
      <c r="AK361" s="293"/>
      <c r="AL361" s="293"/>
      <c r="AM361" s="293"/>
      <c r="AN361" s="293"/>
      <c r="AO361" s="293"/>
      <c r="AP361" s="293"/>
      <c r="AQ361" s="293"/>
      <c r="AR361" s="293"/>
      <c r="AS361" s="293"/>
      <c r="AT361" s="293"/>
      <c r="AU361" s="293"/>
      <c r="AV361" s="293"/>
      <c r="AW361" s="293"/>
      <c r="AX361" s="293"/>
      <c r="AY361" s="293"/>
      <c r="AZ361" s="293"/>
      <c r="BA361" s="293"/>
      <c r="BB361" s="293"/>
      <c r="BC361" s="293"/>
      <c r="BD361" s="293"/>
      <c r="BE361" s="293"/>
      <c r="BF361" s="293"/>
      <c r="BG361" s="293"/>
      <c r="BH361" s="293"/>
      <c r="BI361" s="293"/>
      <c r="BJ361" s="293"/>
      <c r="BK361" s="293"/>
      <c r="BL361" s="293"/>
      <c r="BM361" s="293"/>
      <c r="BN361" s="293"/>
      <c r="BO361" s="293"/>
      <c r="BP361" s="293"/>
      <c r="BQ361" s="293"/>
      <c r="BR361" s="293"/>
      <c r="BS361" s="293"/>
      <c r="BT361" s="293"/>
      <c r="BU361" s="293"/>
      <c r="BV361" s="293"/>
      <c r="BW361" s="293"/>
      <c r="BX361" s="293"/>
      <c r="BY361" s="293"/>
      <c r="BZ361" s="293"/>
      <c r="CA361" s="293"/>
      <c r="CB361" s="293"/>
      <c r="CC361" s="293"/>
      <c r="CD361" s="293"/>
      <c r="CE361" s="293"/>
      <c r="CF361" s="293"/>
      <c r="CG361" s="293"/>
      <c r="CH361" s="293"/>
      <c r="CI361" s="293"/>
      <c r="CJ361" s="293"/>
      <c r="CK361" s="293"/>
      <c r="CL361" s="293"/>
      <c r="CM361" s="293"/>
      <c r="CN361" s="293"/>
      <c r="CO361" s="293"/>
      <c r="CP361" s="293">
        <f t="shared" si="7102"/>
        <v>0</v>
      </c>
    </row>
    <row r="362" spans="1:212">
      <c r="A362" s="669">
        <v>185</v>
      </c>
      <c r="B362" s="645" t="s">
        <v>322</v>
      </c>
      <c r="C362" s="646" t="s">
        <v>323</v>
      </c>
      <c r="D362" s="647" t="s">
        <v>536</v>
      </c>
      <c r="E362" s="648" t="s">
        <v>534</v>
      </c>
      <c r="F362" s="642">
        <v>1277.49</v>
      </c>
      <c r="G362" s="642">
        <v>6.5</v>
      </c>
      <c r="H362" s="643">
        <f>F362*G362*365</f>
        <v>3030845.0249999999</v>
      </c>
      <c r="I362" s="291">
        <v>550214.93999999994</v>
      </c>
      <c r="J362" s="295">
        <f>ROUND(G362*365*F362/4,0)</f>
        <v>757711</v>
      </c>
      <c r="K362" s="293">
        <f>J362</f>
        <v>757711</v>
      </c>
      <c r="L362" s="293">
        <f t="shared" ref="L362:AN362" si="7908">K362</f>
        <v>757711</v>
      </c>
      <c r="M362" s="293">
        <f t="shared" si="7908"/>
        <v>757711</v>
      </c>
      <c r="N362" s="293">
        <f t="shared" si="7908"/>
        <v>757711</v>
      </c>
      <c r="O362" s="293">
        <f>N362</f>
        <v>757711</v>
      </c>
      <c r="P362" s="293">
        <f>O362</f>
        <v>757711</v>
      </c>
      <c r="Q362" s="293">
        <f>P362</f>
        <v>757711</v>
      </c>
      <c r="R362" s="293">
        <f t="shared" si="7908"/>
        <v>757711</v>
      </c>
      <c r="S362" s="293">
        <f t="shared" si="7908"/>
        <v>757711</v>
      </c>
      <c r="T362" s="293">
        <f t="shared" si="7908"/>
        <v>757711</v>
      </c>
      <c r="U362" s="293">
        <f>T362</f>
        <v>757711</v>
      </c>
      <c r="V362" s="293">
        <f t="shared" si="7908"/>
        <v>757711</v>
      </c>
      <c r="W362" s="293">
        <f t="shared" si="7908"/>
        <v>757711</v>
      </c>
      <c r="X362" s="293">
        <f t="shared" si="7908"/>
        <v>757711</v>
      </c>
      <c r="Y362" s="293">
        <f t="shared" si="7908"/>
        <v>757711</v>
      </c>
      <c r="Z362" s="293">
        <f>Y362</f>
        <v>757711</v>
      </c>
      <c r="AA362" s="293">
        <f t="shared" si="7908"/>
        <v>757711</v>
      </c>
      <c r="AB362" s="293">
        <f t="shared" si="7908"/>
        <v>757711</v>
      </c>
      <c r="AC362" s="293">
        <f>AB362</f>
        <v>757711</v>
      </c>
      <c r="AD362" s="293">
        <f t="shared" si="7908"/>
        <v>757711</v>
      </c>
      <c r="AE362" s="293">
        <f t="shared" si="7908"/>
        <v>757711</v>
      </c>
      <c r="AF362" s="293">
        <f t="shared" si="7908"/>
        <v>757711</v>
      </c>
      <c r="AG362" s="293">
        <f t="shared" si="7908"/>
        <v>757711</v>
      </c>
      <c r="AH362" s="293">
        <f t="shared" si="7908"/>
        <v>757711</v>
      </c>
      <c r="AI362" s="293">
        <f t="shared" si="7908"/>
        <v>757711</v>
      </c>
      <c r="AJ362" s="293">
        <f t="shared" si="7908"/>
        <v>757711</v>
      </c>
      <c r="AK362" s="293">
        <f t="shared" si="7908"/>
        <v>757711</v>
      </c>
      <c r="AL362" s="293">
        <f t="shared" si="7908"/>
        <v>757711</v>
      </c>
      <c r="AM362" s="293">
        <f t="shared" si="7908"/>
        <v>757711</v>
      </c>
      <c r="AN362" s="292">
        <f t="shared" si="7908"/>
        <v>757711</v>
      </c>
      <c r="AO362" s="293">
        <f>AN362</f>
        <v>757711</v>
      </c>
      <c r="AP362" s="293">
        <f>ROUND(AO362*(1+取值表!$E$20)*取值表!$I$20,0)</f>
        <v>742952</v>
      </c>
      <c r="AQ362" s="293">
        <f>AP362</f>
        <v>742952</v>
      </c>
      <c r="AR362" s="293">
        <f>AQ362</f>
        <v>742952</v>
      </c>
      <c r="AS362" s="293">
        <f>AR362</f>
        <v>742952</v>
      </c>
      <c r="AT362" s="294">
        <f>ROUND(AS362*(1+取值表!$E$20),0)</f>
        <v>774156</v>
      </c>
      <c r="AU362" s="293">
        <f t="shared" ref="AU362:AW362" si="7909">AT362</f>
        <v>774156</v>
      </c>
      <c r="AV362" s="293">
        <f t="shared" si="7909"/>
        <v>774156</v>
      </c>
      <c r="AW362" s="293">
        <f t="shared" si="7909"/>
        <v>774156</v>
      </c>
      <c r="AX362" s="293">
        <f>ROUND(AW362*(1+取值表!$E$20),0)</f>
        <v>806671</v>
      </c>
      <c r="AY362" s="293">
        <f t="shared" ref="AY362:BI362" si="7910">AX362</f>
        <v>806671</v>
      </c>
      <c r="AZ362" s="293">
        <f t="shared" si="7910"/>
        <v>806671</v>
      </c>
      <c r="BA362" s="293">
        <f t="shared" si="7910"/>
        <v>806671</v>
      </c>
      <c r="BB362" s="293">
        <f>ROUND(BA362*(1+取值表!$E$20),0)</f>
        <v>840551</v>
      </c>
      <c r="BC362" s="293">
        <f>BB362</f>
        <v>840551</v>
      </c>
      <c r="BD362" s="293">
        <f t="shared" si="7910"/>
        <v>840551</v>
      </c>
      <c r="BE362" s="293">
        <f>BD362</f>
        <v>840551</v>
      </c>
      <c r="BF362" s="293">
        <f>ROUND(BE362*(1+取值表!$E$20),0)</f>
        <v>875854</v>
      </c>
      <c r="BG362" s="293">
        <f>BF362</f>
        <v>875854</v>
      </c>
      <c r="BH362" s="293">
        <f t="shared" si="7910"/>
        <v>875854</v>
      </c>
      <c r="BI362" s="293">
        <f t="shared" si="7910"/>
        <v>875854</v>
      </c>
      <c r="BJ362" s="293">
        <f>ROUND(BI362*(1+取值表!$E$20),0)</f>
        <v>912640</v>
      </c>
      <c r="BK362" s="293">
        <f t="shared" ref="BK362" si="7911">BJ362</f>
        <v>912640</v>
      </c>
      <c r="BL362" s="293">
        <f t="shared" ref="BL362" si="7912">BK362</f>
        <v>912640</v>
      </c>
      <c r="BM362" s="293">
        <f t="shared" ref="BM362" si="7913">BL362</f>
        <v>912640</v>
      </c>
      <c r="BN362" s="293">
        <f>ROUND(BM362*(1+取值表!$E$20),0)</f>
        <v>950971</v>
      </c>
      <c r="BO362" s="293">
        <f t="shared" ref="BO362" si="7914">BN362</f>
        <v>950971</v>
      </c>
      <c r="BP362" s="293">
        <f t="shared" ref="BP362" si="7915">BO362</f>
        <v>950971</v>
      </c>
      <c r="BQ362" s="293">
        <f t="shared" ref="BQ362" si="7916">BP362</f>
        <v>950971</v>
      </c>
      <c r="BR362" s="293">
        <f>ROUND(BQ362*(1+取值表!$E$20),0)</f>
        <v>990912</v>
      </c>
      <c r="BS362" s="293">
        <f t="shared" ref="BS362" si="7917">BR362</f>
        <v>990912</v>
      </c>
      <c r="BT362" s="293">
        <f t="shared" ref="BT362" si="7918">BS362</f>
        <v>990912</v>
      </c>
      <c r="BU362" s="293">
        <f t="shared" ref="BU362" si="7919">BT362</f>
        <v>990912</v>
      </c>
      <c r="BV362" s="293">
        <f>ROUND(BU362*(1+取值表!$E$20),0)</f>
        <v>1032530</v>
      </c>
      <c r="BW362" s="293">
        <f t="shared" ref="BW362" si="7920">BV362</f>
        <v>1032530</v>
      </c>
      <c r="BX362" s="293">
        <f t="shared" ref="BX362" si="7921">BW362</f>
        <v>1032530</v>
      </c>
      <c r="BY362" s="293">
        <f t="shared" ref="BY362" si="7922">BX362</f>
        <v>1032530</v>
      </c>
      <c r="BZ362" s="293">
        <f>ROUND(BY362*(1+取值表!$E$20),0)</f>
        <v>1075896</v>
      </c>
      <c r="CA362" s="293">
        <f t="shared" ref="CA362" si="7923">BZ362</f>
        <v>1075896</v>
      </c>
      <c r="CB362" s="293">
        <f t="shared" ref="CB362" si="7924">CA362</f>
        <v>1075896</v>
      </c>
      <c r="CC362" s="293">
        <f t="shared" ref="CC362" si="7925">CB362</f>
        <v>1075896</v>
      </c>
      <c r="CD362" s="293">
        <f>ROUND(CC362*(1+取值表!$E$20),0)</f>
        <v>1121084</v>
      </c>
      <c r="CE362" s="293">
        <f t="shared" ref="CE362" si="7926">CD362</f>
        <v>1121084</v>
      </c>
      <c r="CF362" s="293">
        <f t="shared" ref="CF362" si="7927">CE362</f>
        <v>1121084</v>
      </c>
      <c r="CG362" s="293">
        <f t="shared" ref="CG362" si="7928">CF362</f>
        <v>1121084</v>
      </c>
      <c r="CH362" s="293">
        <f>ROUND(CG362*(1+取值表!$E$20),0)</f>
        <v>1168170</v>
      </c>
      <c r="CI362" s="293">
        <f>CH362</f>
        <v>1168170</v>
      </c>
      <c r="CJ362" s="293">
        <f t="shared" ref="CJ362" si="7929">CI362</f>
        <v>1168170</v>
      </c>
      <c r="CK362" s="293">
        <f t="shared" ref="CK362" si="7930">CJ362</f>
        <v>1168170</v>
      </c>
      <c r="CL362" s="293">
        <f>ROUND(CK362*(1+取值表!$E$20),0)</f>
        <v>1217233</v>
      </c>
      <c r="CM362" s="293">
        <f>CL362</f>
        <v>1217233</v>
      </c>
      <c r="CN362" s="293">
        <f t="shared" ref="CN362" si="7931">CM362</f>
        <v>1217233</v>
      </c>
      <c r="CO362" s="293">
        <f t="shared" ref="CO362" si="7932">CN362</f>
        <v>1217233</v>
      </c>
      <c r="CP362" s="293">
        <f t="shared" si="7102"/>
        <v>74285232</v>
      </c>
    </row>
    <row r="363" spans="1:212">
      <c r="A363" s="670"/>
      <c r="B363" s="645"/>
      <c r="C363" s="646"/>
      <c r="D363" s="647"/>
      <c r="E363" s="648"/>
      <c r="F363" s="642"/>
      <c r="G363" s="642"/>
      <c r="H363" s="643"/>
      <c r="I363" s="291"/>
      <c r="J363" s="295"/>
      <c r="K363" s="293"/>
      <c r="L363" s="293"/>
      <c r="M363" s="293"/>
      <c r="N363" s="293"/>
      <c r="O363" s="293"/>
      <c r="P363" s="293"/>
      <c r="Q363" s="293"/>
      <c r="R363" s="293"/>
      <c r="S363" s="293"/>
      <c r="T363" s="293"/>
      <c r="U363" s="293"/>
      <c r="V363" s="293"/>
      <c r="W363" s="293"/>
      <c r="X363" s="293"/>
      <c r="Y363" s="293"/>
      <c r="Z363" s="293"/>
      <c r="AA363" s="293"/>
      <c r="AB363" s="293"/>
      <c r="AC363" s="293"/>
      <c r="AD363" s="293"/>
      <c r="AE363" s="293"/>
      <c r="AF363" s="293"/>
      <c r="AG363" s="293"/>
      <c r="AH363" s="293"/>
      <c r="AI363" s="293"/>
      <c r="AJ363" s="293"/>
      <c r="AK363" s="293"/>
      <c r="AL363" s="293"/>
      <c r="AM363" s="293"/>
      <c r="AN363" s="293"/>
      <c r="AO363" s="293"/>
      <c r="AP363" s="293"/>
      <c r="AQ363" s="293"/>
      <c r="AR363" s="293"/>
      <c r="AS363" s="293"/>
      <c r="AT363" s="293"/>
      <c r="AU363" s="293"/>
      <c r="AV363" s="293"/>
      <c r="AW363" s="293"/>
      <c r="AX363" s="293"/>
      <c r="AY363" s="293"/>
      <c r="AZ363" s="293"/>
      <c r="BA363" s="293"/>
      <c r="BB363" s="293"/>
      <c r="BC363" s="293"/>
      <c r="BD363" s="293"/>
      <c r="BE363" s="293"/>
      <c r="BF363" s="293"/>
      <c r="BG363" s="293"/>
      <c r="BH363" s="293"/>
      <c r="BI363" s="293"/>
      <c r="BJ363" s="293"/>
      <c r="BK363" s="293"/>
      <c r="BL363" s="293"/>
      <c r="BM363" s="293"/>
      <c r="BN363" s="293"/>
      <c r="BO363" s="293"/>
      <c r="BP363" s="293"/>
      <c r="BQ363" s="293"/>
      <c r="BR363" s="293"/>
      <c r="BS363" s="293"/>
      <c r="BT363" s="293"/>
      <c r="BU363" s="293"/>
      <c r="BV363" s="293"/>
      <c r="BW363" s="293"/>
      <c r="BX363" s="293"/>
      <c r="BY363" s="293"/>
      <c r="BZ363" s="293"/>
      <c r="CA363" s="293"/>
      <c r="CB363" s="293"/>
      <c r="CC363" s="293"/>
      <c r="CD363" s="293"/>
      <c r="CE363" s="293"/>
      <c r="CF363" s="293"/>
      <c r="CG363" s="293"/>
      <c r="CH363" s="293"/>
      <c r="CI363" s="293"/>
      <c r="CJ363" s="293"/>
      <c r="CK363" s="293"/>
      <c r="CL363" s="293"/>
      <c r="CM363" s="293"/>
      <c r="CN363" s="293"/>
      <c r="CO363" s="293"/>
      <c r="CP363" s="293">
        <f t="shared" si="7102"/>
        <v>0</v>
      </c>
    </row>
    <row r="364" spans="1:212">
      <c r="A364" s="669">
        <v>186</v>
      </c>
      <c r="B364" s="645" t="s">
        <v>324</v>
      </c>
      <c r="C364" s="646" t="s">
        <v>757</v>
      </c>
      <c r="D364" s="647" t="s">
        <v>535</v>
      </c>
      <c r="E364" s="648" t="s">
        <v>642</v>
      </c>
      <c r="F364" s="642">
        <v>1277.49</v>
      </c>
      <c r="G364" s="642">
        <f>AVERAGE(6.7,7)</f>
        <v>6.85</v>
      </c>
      <c r="H364" s="643">
        <f>F364*G364*365</f>
        <v>3194044.3724999996</v>
      </c>
      <c r="I364" s="291">
        <v>870397</v>
      </c>
      <c r="J364" s="295">
        <f>ROUND(260341.82*3,0)</f>
        <v>781025</v>
      </c>
      <c r="K364" s="293">
        <f>J364</f>
        <v>781025</v>
      </c>
      <c r="L364" s="293">
        <f>ROUND(6.7*365*F364/4,0)</f>
        <v>781025</v>
      </c>
      <c r="M364" s="293">
        <f>L364</f>
        <v>781025</v>
      </c>
      <c r="N364" s="293">
        <f>M364</f>
        <v>781025</v>
      </c>
      <c r="O364" s="293">
        <f>ROUND(7*F364*365/4,0)</f>
        <v>815997</v>
      </c>
      <c r="P364" s="293">
        <f>O364</f>
        <v>815997</v>
      </c>
      <c r="Q364" s="292">
        <f>P364</f>
        <v>815997</v>
      </c>
      <c r="R364" s="293">
        <f>ROUND(Q364*(1+取值表!$D$28)*取值表!$I$28,0)</f>
        <v>800103</v>
      </c>
      <c r="S364" s="293">
        <f>R364</f>
        <v>800103</v>
      </c>
      <c r="T364" s="293">
        <f>S364</f>
        <v>800103</v>
      </c>
      <c r="U364" s="293">
        <f>T364</f>
        <v>800103</v>
      </c>
      <c r="V364" s="294">
        <f>ROUND(U364*(1+取值表!$D$28),0)</f>
        <v>833707</v>
      </c>
      <c r="W364" s="293">
        <f t="shared" ref="W364:Y364" si="7933">V364</f>
        <v>833707</v>
      </c>
      <c r="X364" s="293">
        <f t="shared" si="7933"/>
        <v>833707</v>
      </c>
      <c r="Y364" s="293">
        <f t="shared" si="7933"/>
        <v>833707</v>
      </c>
      <c r="Z364" s="293">
        <f>ROUND(Y364*(1+取值表!$D$28),0)</f>
        <v>868723</v>
      </c>
      <c r="AA364" s="293">
        <f t="shared" ref="AA364:AB364" si="7934">Z364</f>
        <v>868723</v>
      </c>
      <c r="AB364" s="293">
        <f t="shared" si="7934"/>
        <v>868723</v>
      </c>
      <c r="AC364" s="293">
        <f>AB364</f>
        <v>868723</v>
      </c>
      <c r="AD364" s="293">
        <f>ROUND(AC364*(1+取值表!$D$28),0)</f>
        <v>905209</v>
      </c>
      <c r="AE364" s="293">
        <f t="shared" ref="AE364" si="7935">AD364</f>
        <v>905209</v>
      </c>
      <c r="AF364" s="293">
        <f t="shared" ref="AF364" si="7936">AE364</f>
        <v>905209</v>
      </c>
      <c r="AG364" s="293">
        <f t="shared" ref="AG364" si="7937">AF364</f>
        <v>905209</v>
      </c>
      <c r="AH364" s="293">
        <f>ROUND(AG364*(1+取值表!$D$28),0)</f>
        <v>943228</v>
      </c>
      <c r="AI364" s="293">
        <f t="shared" ref="AI364" si="7938">AH364</f>
        <v>943228</v>
      </c>
      <c r="AJ364" s="293">
        <f t="shared" ref="AJ364" si="7939">AI364</f>
        <v>943228</v>
      </c>
      <c r="AK364" s="293">
        <f t="shared" ref="AK364" si="7940">AJ364</f>
        <v>943228</v>
      </c>
      <c r="AL364" s="293">
        <f>ROUND(AK364*(1+取值表!$D$28),0)</f>
        <v>982844</v>
      </c>
      <c r="AM364" s="293">
        <f t="shared" ref="AM364" si="7941">AL364</f>
        <v>982844</v>
      </c>
      <c r="AN364" s="293">
        <f t="shared" ref="AN364" si="7942">AM364</f>
        <v>982844</v>
      </c>
      <c r="AO364" s="293">
        <f t="shared" ref="AO364" si="7943">AN364</f>
        <v>982844</v>
      </c>
      <c r="AP364" s="293">
        <f>ROUND(AO364*(1+取值表!$D$28),0)</f>
        <v>1024123</v>
      </c>
      <c r="AQ364" s="293">
        <f t="shared" ref="AQ364" si="7944">AP364</f>
        <v>1024123</v>
      </c>
      <c r="AR364" s="293">
        <f t="shared" ref="AR364" si="7945">AQ364</f>
        <v>1024123</v>
      </c>
      <c r="AS364" s="293">
        <f t="shared" ref="AS364" si="7946">AR364</f>
        <v>1024123</v>
      </c>
      <c r="AT364" s="293">
        <f>ROUND(AS364*(1+取值表!$D$28),0)</f>
        <v>1067136</v>
      </c>
      <c r="AU364" s="293">
        <f t="shared" ref="AU364" si="7947">AT364</f>
        <v>1067136</v>
      </c>
      <c r="AV364" s="293">
        <f t="shared" ref="AV364" si="7948">AU364</f>
        <v>1067136</v>
      </c>
      <c r="AW364" s="293">
        <f t="shared" ref="AW364" si="7949">AV364</f>
        <v>1067136</v>
      </c>
      <c r="AX364" s="293">
        <f>ROUND(AW364*(1+取值表!$D$28),0)</f>
        <v>1111956</v>
      </c>
      <c r="AY364" s="293">
        <f t="shared" ref="AY364" si="7950">AX364</f>
        <v>1111956</v>
      </c>
      <c r="AZ364" s="293">
        <f t="shared" ref="AZ364" si="7951">AY364</f>
        <v>1111956</v>
      </c>
      <c r="BA364" s="293">
        <f t="shared" ref="BA364" si="7952">AZ364</f>
        <v>1111956</v>
      </c>
      <c r="BB364" s="293">
        <f>ROUND(BA364*(1+取值表!$D$28),0)</f>
        <v>1158658</v>
      </c>
      <c r="BC364" s="293">
        <f>BB364</f>
        <v>1158658</v>
      </c>
      <c r="BD364" s="293">
        <f t="shared" ref="BD364" si="7953">BC364</f>
        <v>1158658</v>
      </c>
      <c r="BE364" s="293">
        <f>BD364</f>
        <v>1158658</v>
      </c>
      <c r="BF364" s="293">
        <f>ROUND(BE364*(1+取值表!$D$28),0)</f>
        <v>1207322</v>
      </c>
      <c r="BG364" s="293">
        <f>BF364</f>
        <v>1207322</v>
      </c>
      <c r="BH364" s="293">
        <f t="shared" ref="BH364" si="7954">BG364</f>
        <v>1207322</v>
      </c>
      <c r="BI364" s="293">
        <f t="shared" ref="BI364" si="7955">BH364</f>
        <v>1207322</v>
      </c>
      <c r="BJ364" s="293">
        <f>ROUND(BI364*(1+取值表!$D$28),0)</f>
        <v>1258030</v>
      </c>
      <c r="BK364" s="293">
        <f t="shared" ref="BK364" si="7956">BJ364</f>
        <v>1258030</v>
      </c>
      <c r="BL364" s="293">
        <f t="shared" ref="BL364" si="7957">BK364</f>
        <v>1258030</v>
      </c>
      <c r="BM364" s="293">
        <f t="shared" ref="BM364" si="7958">BL364</f>
        <v>1258030</v>
      </c>
      <c r="BN364" s="293">
        <f>ROUND(BM364*(1+取值表!$D$28),0)</f>
        <v>1310867</v>
      </c>
      <c r="BO364" s="293">
        <f t="shared" ref="BO364" si="7959">BN364</f>
        <v>1310867</v>
      </c>
      <c r="BP364" s="293">
        <f t="shared" ref="BP364" si="7960">BO364</f>
        <v>1310867</v>
      </c>
      <c r="BQ364" s="293">
        <f t="shared" ref="BQ364" si="7961">BP364</f>
        <v>1310867</v>
      </c>
      <c r="BR364" s="293">
        <f>ROUND(BQ364*(1+取值表!$D$28),0)</f>
        <v>1365923</v>
      </c>
      <c r="BS364" s="293">
        <f t="shared" ref="BS364" si="7962">BR364</f>
        <v>1365923</v>
      </c>
      <c r="BT364" s="293">
        <f t="shared" ref="BT364" si="7963">BS364</f>
        <v>1365923</v>
      </c>
      <c r="BU364" s="293">
        <f t="shared" ref="BU364" si="7964">BT364</f>
        <v>1365923</v>
      </c>
      <c r="BV364" s="293">
        <f>ROUND(BU364*(1+取值表!$D$28),0)</f>
        <v>1423292</v>
      </c>
      <c r="BW364" s="293">
        <f t="shared" ref="BW364" si="7965">BV364</f>
        <v>1423292</v>
      </c>
      <c r="BX364" s="293">
        <f t="shared" ref="BX364" si="7966">BW364</f>
        <v>1423292</v>
      </c>
      <c r="BY364" s="293">
        <f t="shared" ref="BY364" si="7967">BX364</f>
        <v>1423292</v>
      </c>
      <c r="BZ364" s="293">
        <f>ROUND(BY364*(1+取值表!$D$28),0)</f>
        <v>1483070</v>
      </c>
      <c r="CA364" s="293">
        <f t="shared" ref="CA364" si="7968">BZ364</f>
        <v>1483070</v>
      </c>
      <c r="CB364" s="293">
        <f t="shared" ref="CB364" si="7969">CA364</f>
        <v>1483070</v>
      </c>
      <c r="CC364" s="293">
        <f t="shared" ref="CC364" si="7970">CB364</f>
        <v>1483070</v>
      </c>
      <c r="CD364" s="293">
        <f>ROUND(CC364*(1+取值表!$D$28),0)</f>
        <v>1545359</v>
      </c>
      <c r="CE364" s="293">
        <f t="shared" ref="CE364" si="7971">CD364</f>
        <v>1545359</v>
      </c>
      <c r="CF364" s="293">
        <f t="shared" ref="CF364" si="7972">CE364</f>
        <v>1545359</v>
      </c>
      <c r="CG364" s="293">
        <f t="shared" ref="CG364" si="7973">CF364</f>
        <v>1545359</v>
      </c>
      <c r="CH364" s="293">
        <f>ROUND(CG364*(1+取值表!$D$28),0)</f>
        <v>1610264</v>
      </c>
      <c r="CI364" s="293">
        <f>CH364</f>
        <v>1610264</v>
      </c>
      <c r="CJ364" s="293">
        <f t="shared" ref="CJ364" si="7974">CI364</f>
        <v>1610264</v>
      </c>
      <c r="CK364" s="293">
        <f t="shared" ref="CK364" si="7975">CJ364</f>
        <v>1610264</v>
      </c>
      <c r="CL364" s="293">
        <f>ROUND(CK364*(1+取值表!$D$28),0)</f>
        <v>1677895</v>
      </c>
      <c r="CM364" s="293">
        <f>CL364</f>
        <v>1677895</v>
      </c>
      <c r="CN364" s="293">
        <f t="shared" ref="CN364" si="7976">CM364</f>
        <v>1677895</v>
      </c>
      <c r="CO364" s="293">
        <f t="shared" ref="CO364" si="7977">CN364</f>
        <v>1677895</v>
      </c>
      <c r="CP364" s="293">
        <f t="shared" si="7102"/>
        <v>96663952</v>
      </c>
    </row>
    <row r="365" spans="1:212">
      <c r="A365" s="670"/>
      <c r="B365" s="645"/>
      <c r="C365" s="646"/>
      <c r="D365" s="647"/>
      <c r="E365" s="648"/>
      <c r="F365" s="642"/>
      <c r="G365" s="642"/>
      <c r="H365" s="643"/>
      <c r="I365" s="291"/>
      <c r="J365" s="295"/>
      <c r="K365" s="293"/>
      <c r="L365" s="293"/>
      <c r="M365" s="293"/>
      <c r="N365" s="293"/>
      <c r="O365" s="293"/>
      <c r="P365" s="293"/>
      <c r="Q365" s="293"/>
      <c r="R365" s="293"/>
      <c r="S365" s="293"/>
      <c r="T365" s="293"/>
      <c r="U365" s="293"/>
      <c r="V365" s="293"/>
      <c r="W365" s="293"/>
      <c r="X365" s="293"/>
      <c r="Y365" s="293"/>
      <c r="Z365" s="293"/>
      <c r="AA365" s="293"/>
      <c r="AB365" s="293"/>
      <c r="AC365" s="293"/>
      <c r="AD365" s="293"/>
      <c r="AE365" s="293"/>
      <c r="AF365" s="293"/>
      <c r="AG365" s="293"/>
      <c r="AH365" s="293"/>
      <c r="AI365" s="293"/>
      <c r="AJ365" s="293"/>
      <c r="AK365" s="293"/>
      <c r="AL365" s="293"/>
      <c r="AM365" s="293"/>
      <c r="AN365" s="293"/>
      <c r="AO365" s="293"/>
      <c r="AP365" s="293"/>
      <c r="AQ365" s="293"/>
      <c r="AR365" s="293"/>
      <c r="AS365" s="293"/>
      <c r="AT365" s="293"/>
      <c r="AU365" s="293"/>
      <c r="AV365" s="293"/>
      <c r="AW365" s="293"/>
      <c r="AX365" s="293"/>
      <c r="AY365" s="293"/>
      <c r="AZ365" s="293"/>
      <c r="BA365" s="293"/>
      <c r="BB365" s="293"/>
      <c r="BC365" s="293"/>
      <c r="BD365" s="293"/>
      <c r="BE365" s="293"/>
      <c r="BF365" s="293"/>
      <c r="BG365" s="293"/>
      <c r="BH365" s="293"/>
      <c r="BI365" s="293"/>
      <c r="BJ365" s="293"/>
      <c r="BK365" s="293"/>
      <c r="BL365" s="293"/>
      <c r="BM365" s="293"/>
      <c r="BN365" s="293"/>
      <c r="BO365" s="293"/>
      <c r="BP365" s="293"/>
      <c r="BQ365" s="293"/>
      <c r="BR365" s="293"/>
      <c r="BS365" s="293"/>
      <c r="BT365" s="293"/>
      <c r="BU365" s="293"/>
      <c r="BV365" s="293"/>
      <c r="BW365" s="293"/>
      <c r="BX365" s="293"/>
      <c r="BY365" s="293"/>
      <c r="BZ365" s="293"/>
      <c r="CA365" s="293"/>
      <c r="CB365" s="293"/>
      <c r="CC365" s="293"/>
      <c r="CD365" s="293"/>
      <c r="CE365" s="293"/>
      <c r="CF365" s="293"/>
      <c r="CG365" s="293"/>
      <c r="CH365" s="293"/>
      <c r="CI365" s="293"/>
      <c r="CJ365" s="293"/>
      <c r="CK365" s="293"/>
      <c r="CL365" s="293"/>
      <c r="CM365" s="293"/>
      <c r="CN365" s="293"/>
      <c r="CO365" s="293"/>
      <c r="CP365" s="293">
        <f t="shared" si="7102"/>
        <v>0</v>
      </c>
    </row>
    <row r="366" spans="1:212" ht="12" customHeight="1">
      <c r="A366" s="669">
        <v>187</v>
      </c>
      <c r="B366" s="645" t="s">
        <v>1404</v>
      </c>
      <c r="C366" s="646" t="s">
        <v>9</v>
      </c>
      <c r="D366" s="647" t="s">
        <v>10</v>
      </c>
      <c r="E366" s="648" t="s">
        <v>399</v>
      </c>
      <c r="F366" s="642"/>
      <c r="G366" s="661">
        <f>(18+18+19+19)*100000/(365*4)/202</f>
        <v>25.091550250915503</v>
      </c>
      <c r="H366" s="643">
        <v>1850000</v>
      </c>
      <c r="I366" s="291">
        <v>50000</v>
      </c>
      <c r="J366" s="295">
        <f>1800000/4</f>
        <v>450000</v>
      </c>
      <c r="K366" s="293">
        <f>J366</f>
        <v>450000</v>
      </c>
      <c r="L366" s="293">
        <f>J366</f>
        <v>450000</v>
      </c>
      <c r="M366" s="293">
        <f>J366</f>
        <v>450000</v>
      </c>
      <c r="N366" s="293">
        <f>J366</f>
        <v>450000</v>
      </c>
      <c r="O366" s="293">
        <f>N366</f>
        <v>450000</v>
      </c>
      <c r="P366" s="293">
        <f>ROUND(1800000/12+1900000/12*2,0)</f>
        <v>466667</v>
      </c>
      <c r="Q366" s="293">
        <f>1900000/4</f>
        <v>475000</v>
      </c>
      <c r="R366" s="293">
        <f>Q366</f>
        <v>475000</v>
      </c>
      <c r="S366" s="295">
        <f>R366</f>
        <v>475000</v>
      </c>
      <c r="T366" s="293">
        <f>S366</f>
        <v>475000</v>
      </c>
      <c r="U366" s="293">
        <f>S366</f>
        <v>475000</v>
      </c>
      <c r="V366" s="293">
        <f>U366</f>
        <v>475000</v>
      </c>
      <c r="W366" s="292">
        <f>V366</f>
        <v>475000</v>
      </c>
      <c r="X366" s="295">
        <f>W366</f>
        <v>475000</v>
      </c>
      <c r="Y366" s="295">
        <f>X366</f>
        <v>475000</v>
      </c>
      <c r="Z366" s="295">
        <f>ROUND(Y366*(1+取值表!$D$30)*取值表!$I$30,0)</f>
        <v>449657</v>
      </c>
      <c r="AA366" s="293">
        <f t="shared" ref="AA366:AG366" si="7978">Z366</f>
        <v>449657</v>
      </c>
      <c r="AB366" s="293">
        <f>AA366</f>
        <v>449657</v>
      </c>
      <c r="AC366" s="293">
        <f>AB366</f>
        <v>449657</v>
      </c>
      <c r="AD366" s="294">
        <f>ROUND(AC366*(1+取值表!$E$30),0)</f>
        <v>452355</v>
      </c>
      <c r="AE366" s="293">
        <f t="shared" si="7978"/>
        <v>452355</v>
      </c>
      <c r="AF366" s="293">
        <f t="shared" si="7978"/>
        <v>452355</v>
      </c>
      <c r="AG366" s="293">
        <f t="shared" si="7978"/>
        <v>452355</v>
      </c>
      <c r="AH366" s="295">
        <f>ROUND(AG366*(1+取值表!$E$30),0)</f>
        <v>455069</v>
      </c>
      <c r="AI366" s="293">
        <f t="shared" ref="AI366" si="7979">AH366</f>
        <v>455069</v>
      </c>
      <c r="AJ366" s="293">
        <f t="shared" ref="AJ366" si="7980">AI366</f>
        <v>455069</v>
      </c>
      <c r="AK366" s="293">
        <f t="shared" ref="AK366" si="7981">AJ366</f>
        <v>455069</v>
      </c>
      <c r="AL366" s="295">
        <f>ROUND(AK366*(1+取值表!$E$30),0)</f>
        <v>457799</v>
      </c>
      <c r="AM366" s="293">
        <f t="shared" ref="AM366" si="7982">AL366</f>
        <v>457799</v>
      </c>
      <c r="AN366" s="293">
        <f t="shared" ref="AN366" si="7983">AM366</f>
        <v>457799</v>
      </c>
      <c r="AO366" s="293">
        <f t="shared" ref="AO366" si="7984">AN366</f>
        <v>457799</v>
      </c>
      <c r="AP366" s="295">
        <f>ROUND(AO366*(1+取值表!$E$30),0)</f>
        <v>460546</v>
      </c>
      <c r="AQ366" s="293">
        <f t="shared" ref="AQ366" si="7985">AP366</f>
        <v>460546</v>
      </c>
      <c r="AR366" s="293">
        <f t="shared" ref="AR366" si="7986">AQ366</f>
        <v>460546</v>
      </c>
      <c r="AS366" s="293">
        <f t="shared" ref="AS366" si="7987">AR366</f>
        <v>460546</v>
      </c>
      <c r="AT366" s="295">
        <f>ROUND(AS366*(1+取值表!$E$30),0)</f>
        <v>463309</v>
      </c>
      <c r="AU366" s="293">
        <f t="shared" ref="AU366" si="7988">AT366</f>
        <v>463309</v>
      </c>
      <c r="AV366" s="293">
        <f t="shared" ref="AV366" si="7989">AU366</f>
        <v>463309</v>
      </c>
      <c r="AW366" s="293">
        <f t="shared" ref="AW366" si="7990">AV366</f>
        <v>463309</v>
      </c>
      <c r="AX366" s="295">
        <f>ROUND(AW366*(1+取值表!$E$30),0)</f>
        <v>466089</v>
      </c>
      <c r="AY366" s="293">
        <f t="shared" ref="AY366" si="7991">AX366</f>
        <v>466089</v>
      </c>
      <c r="AZ366" s="293">
        <f t="shared" ref="AZ366" si="7992">AY366</f>
        <v>466089</v>
      </c>
      <c r="BA366" s="293">
        <f t="shared" ref="BA366" si="7993">AZ366</f>
        <v>466089</v>
      </c>
      <c r="BB366" s="295">
        <f>ROUND(BA366*(1+取值表!$E$30),0)</f>
        <v>468886</v>
      </c>
      <c r="BC366" s="293">
        <f>BB366</f>
        <v>468886</v>
      </c>
      <c r="BD366" s="293">
        <f t="shared" ref="BD366" si="7994">BC366</f>
        <v>468886</v>
      </c>
      <c r="BE366" s="293">
        <f>BD366</f>
        <v>468886</v>
      </c>
      <c r="BF366" s="295">
        <f>ROUND(BE366*(1+取值表!$E$30),0)</f>
        <v>471699</v>
      </c>
      <c r="BG366" s="293">
        <f>BF366</f>
        <v>471699</v>
      </c>
      <c r="BH366" s="293">
        <f t="shared" ref="BH366" si="7995">BG366</f>
        <v>471699</v>
      </c>
      <c r="BI366" s="293">
        <f t="shared" ref="BI366" si="7996">BH366</f>
        <v>471699</v>
      </c>
      <c r="BJ366" s="295">
        <f>ROUND(BI366*(1+取值表!$E$30),0)</f>
        <v>474529</v>
      </c>
      <c r="BK366" s="293">
        <f t="shared" ref="BK366" si="7997">BJ366</f>
        <v>474529</v>
      </c>
      <c r="BL366" s="293">
        <f t="shared" ref="BL366" si="7998">BK366</f>
        <v>474529</v>
      </c>
      <c r="BM366" s="293">
        <f t="shared" ref="BM366" si="7999">BL366</f>
        <v>474529</v>
      </c>
      <c r="BN366" s="295">
        <f>ROUND(BM366*(1+取值表!$E$30),0)</f>
        <v>477376</v>
      </c>
      <c r="BO366" s="293">
        <f t="shared" ref="BO366" si="8000">BN366</f>
        <v>477376</v>
      </c>
      <c r="BP366" s="293">
        <f t="shared" ref="BP366" si="8001">BO366</f>
        <v>477376</v>
      </c>
      <c r="BQ366" s="293">
        <f t="shared" ref="BQ366" si="8002">BP366</f>
        <v>477376</v>
      </c>
      <c r="BR366" s="295">
        <f>ROUND(BQ366*(1+取值表!$E$30),0)</f>
        <v>480240</v>
      </c>
      <c r="BS366" s="293">
        <f t="shared" ref="BS366" si="8003">BR366</f>
        <v>480240</v>
      </c>
      <c r="BT366" s="293">
        <f t="shared" ref="BT366" si="8004">BS366</f>
        <v>480240</v>
      </c>
      <c r="BU366" s="293">
        <f t="shared" ref="BU366" si="8005">BT366</f>
        <v>480240</v>
      </c>
      <c r="BV366" s="295">
        <f>ROUND(BU366*(1+取值表!$E$30),0)</f>
        <v>483121</v>
      </c>
      <c r="BW366" s="293">
        <f t="shared" ref="BW366" si="8006">BV366</f>
        <v>483121</v>
      </c>
      <c r="BX366" s="293">
        <f t="shared" ref="BX366" si="8007">BW366</f>
        <v>483121</v>
      </c>
      <c r="BY366" s="293">
        <f t="shared" ref="BY366" si="8008">BX366</f>
        <v>483121</v>
      </c>
      <c r="BZ366" s="295">
        <f>ROUND(BY366*(1+取值表!$E$30),0)</f>
        <v>486020</v>
      </c>
      <c r="CA366" s="293">
        <f t="shared" ref="CA366" si="8009">BZ366</f>
        <v>486020</v>
      </c>
      <c r="CB366" s="293">
        <f t="shared" ref="CB366" si="8010">CA366</f>
        <v>486020</v>
      </c>
      <c r="CC366" s="293">
        <f t="shared" ref="CC366" si="8011">CB366</f>
        <v>486020</v>
      </c>
      <c r="CD366" s="295">
        <f>ROUND(CC366*(1+取值表!$E$30),0)</f>
        <v>488936</v>
      </c>
      <c r="CE366" s="293">
        <f t="shared" ref="CE366" si="8012">CD366</f>
        <v>488936</v>
      </c>
      <c r="CF366" s="293">
        <f t="shared" ref="CF366" si="8013">CE366</f>
        <v>488936</v>
      </c>
      <c r="CG366" s="293">
        <f t="shared" ref="CG366" si="8014">CF366</f>
        <v>488936</v>
      </c>
      <c r="CH366" s="295">
        <f>ROUND(CG366*(1+取值表!$E$30),0)</f>
        <v>491870</v>
      </c>
      <c r="CI366" s="293">
        <f>CH366</f>
        <v>491870</v>
      </c>
      <c r="CJ366" s="293">
        <f t="shared" ref="CJ366" si="8015">CI366</f>
        <v>491870</v>
      </c>
      <c r="CK366" s="293">
        <f t="shared" ref="CK366" si="8016">CJ366</f>
        <v>491870</v>
      </c>
      <c r="CL366" s="295">
        <f>ROUND(CK366*(1+取值表!$E$30),0)</f>
        <v>494821</v>
      </c>
      <c r="CM366" s="293">
        <f>CL366</f>
        <v>494821</v>
      </c>
      <c r="CN366" s="293">
        <f t="shared" ref="CN366" si="8017">CM366</f>
        <v>494821</v>
      </c>
      <c r="CO366" s="293">
        <f t="shared" ref="CO366" si="8018">CN366</f>
        <v>494821</v>
      </c>
      <c r="CP366" s="293">
        <f t="shared" si="7102"/>
        <v>39530955</v>
      </c>
      <c r="CQ366" s="354"/>
    </row>
    <row r="367" spans="1:212" ht="12.75" customHeight="1">
      <c r="A367" s="670"/>
      <c r="B367" s="645"/>
      <c r="C367" s="646"/>
      <c r="D367" s="647"/>
      <c r="E367" s="648"/>
      <c r="F367" s="642"/>
      <c r="G367" s="661"/>
      <c r="H367" s="643"/>
      <c r="I367" s="291"/>
      <c r="J367" s="295"/>
      <c r="K367" s="293"/>
      <c r="L367" s="293"/>
      <c r="M367" s="293"/>
      <c r="N367" s="293"/>
      <c r="O367" s="293"/>
      <c r="P367" s="293"/>
      <c r="Q367" s="293"/>
      <c r="R367" s="293"/>
      <c r="S367" s="293"/>
      <c r="T367" s="293"/>
      <c r="U367" s="293"/>
      <c r="V367" s="293"/>
      <c r="W367" s="293"/>
      <c r="X367" s="295"/>
      <c r="Y367" s="295"/>
      <c r="Z367" s="295">
        <f>ROUND(Y367*(1+取值表!$D$30)*取值表!$I$30,0)</f>
        <v>0</v>
      </c>
      <c r="AA367" s="295"/>
      <c r="AB367" s="295"/>
      <c r="AC367" s="295"/>
      <c r="AD367" s="295"/>
      <c r="AE367" s="295"/>
      <c r="AF367" s="295"/>
      <c r="AG367" s="295"/>
      <c r="AH367" s="295"/>
      <c r="AI367" s="295"/>
      <c r="AJ367" s="295"/>
      <c r="AK367" s="295"/>
      <c r="AL367" s="295"/>
      <c r="AM367" s="295"/>
      <c r="AN367" s="295"/>
      <c r="AO367" s="295"/>
      <c r="AP367" s="295"/>
      <c r="AQ367" s="295"/>
      <c r="AR367" s="295"/>
      <c r="AS367" s="295"/>
      <c r="AT367" s="295"/>
      <c r="AU367" s="295"/>
      <c r="AV367" s="295"/>
      <c r="AW367" s="295"/>
      <c r="AX367" s="295"/>
      <c r="AY367" s="295"/>
      <c r="AZ367" s="295"/>
      <c r="BA367" s="295"/>
      <c r="BB367" s="295"/>
      <c r="BC367" s="295"/>
      <c r="BD367" s="295"/>
      <c r="BE367" s="295"/>
      <c r="BF367" s="295"/>
      <c r="BG367" s="295"/>
      <c r="BH367" s="295"/>
      <c r="BI367" s="295"/>
      <c r="BJ367" s="295"/>
      <c r="BK367" s="295"/>
      <c r="BL367" s="295"/>
      <c r="BM367" s="295"/>
      <c r="BN367" s="295"/>
      <c r="BO367" s="295"/>
      <c r="BP367" s="295"/>
      <c r="BQ367" s="295"/>
      <c r="BR367" s="295"/>
      <c r="BS367" s="295"/>
      <c r="BT367" s="295"/>
      <c r="BU367" s="295"/>
      <c r="BV367" s="295"/>
      <c r="BW367" s="295"/>
      <c r="BX367" s="295"/>
      <c r="BY367" s="295"/>
      <c r="BZ367" s="295"/>
      <c r="CA367" s="295"/>
      <c r="CB367" s="295"/>
      <c r="CC367" s="295"/>
      <c r="CD367" s="295"/>
      <c r="CE367" s="295"/>
      <c r="CF367" s="295"/>
      <c r="CG367" s="295"/>
      <c r="CH367" s="295"/>
      <c r="CI367" s="295"/>
      <c r="CJ367" s="295"/>
      <c r="CK367" s="295"/>
      <c r="CL367" s="295"/>
      <c r="CM367" s="295"/>
      <c r="CN367" s="295"/>
      <c r="CO367" s="295"/>
      <c r="CP367" s="293">
        <f t="shared" si="7102"/>
        <v>0</v>
      </c>
      <c r="CQ367" s="354"/>
    </row>
    <row r="368" spans="1:212" ht="13.5" customHeight="1">
      <c r="A368" s="669">
        <v>188</v>
      </c>
      <c r="B368" s="645" t="s">
        <v>1405</v>
      </c>
      <c r="C368" s="646" t="s">
        <v>15</v>
      </c>
      <c r="D368" s="647" t="s">
        <v>537</v>
      </c>
      <c r="E368" s="648"/>
      <c r="F368" s="642"/>
      <c r="G368" s="642"/>
      <c r="H368" s="643">
        <v>96000</v>
      </c>
      <c r="I368" s="291">
        <v>5000</v>
      </c>
      <c r="J368" s="292">
        <f>ROUND(H368/4*(1+取值表!$D$30)*取值表!$I$30,0)</f>
        <v>22720</v>
      </c>
      <c r="K368" s="293">
        <f>J368</f>
        <v>22720</v>
      </c>
      <c r="L368" s="293">
        <f>K368</f>
        <v>22720</v>
      </c>
      <c r="M368" s="293">
        <f>L368</f>
        <v>22720</v>
      </c>
      <c r="N368" s="294">
        <f>ROUND(M368*(1+取值表!$D$30),0)</f>
        <v>22856</v>
      </c>
      <c r="O368" s="293">
        <f>N368</f>
        <v>22856</v>
      </c>
      <c r="P368" s="293">
        <f>O368</f>
        <v>22856</v>
      </c>
      <c r="Q368" s="293">
        <f>P368</f>
        <v>22856</v>
      </c>
      <c r="R368" s="295">
        <f>ROUND(Q368*(1+取值表!$D$30),0)</f>
        <v>22993</v>
      </c>
      <c r="S368" s="293">
        <f t="shared" ref="S368:T368" si="8019">R368</f>
        <v>22993</v>
      </c>
      <c r="T368" s="293">
        <f t="shared" si="8019"/>
        <v>22993</v>
      </c>
      <c r="U368" s="293">
        <f>T368</f>
        <v>22993</v>
      </c>
      <c r="V368" s="295">
        <f>ROUND(U368*(1+取值表!$D$30),0)</f>
        <v>23131</v>
      </c>
      <c r="W368" s="293">
        <f t="shared" ref="W368" si="8020">V368</f>
        <v>23131</v>
      </c>
      <c r="X368" s="293">
        <f t="shared" ref="X368" si="8021">W368</f>
        <v>23131</v>
      </c>
      <c r="Y368" s="293">
        <f t="shared" ref="Y368" si="8022">X368</f>
        <v>23131</v>
      </c>
      <c r="Z368" s="295">
        <f>ROUND(Y368*(1+取值表!$D$30),0)</f>
        <v>23270</v>
      </c>
      <c r="AA368" s="293">
        <f t="shared" ref="AA368" si="8023">Z368</f>
        <v>23270</v>
      </c>
      <c r="AB368" s="293">
        <f t="shared" ref="AB368" si="8024">AA368</f>
        <v>23270</v>
      </c>
      <c r="AC368" s="293">
        <f>AB368</f>
        <v>23270</v>
      </c>
      <c r="AD368" s="295">
        <f>ROUND(AC368*(1+取值表!$D$30),0)</f>
        <v>23410</v>
      </c>
      <c r="AE368" s="293">
        <f t="shared" ref="AE368" si="8025">AD368</f>
        <v>23410</v>
      </c>
      <c r="AF368" s="293">
        <f t="shared" ref="AF368" si="8026">AE368</f>
        <v>23410</v>
      </c>
      <c r="AG368" s="293">
        <f t="shared" ref="AG368" si="8027">AF368</f>
        <v>23410</v>
      </c>
      <c r="AH368" s="295">
        <f>ROUND(AG368*(1+取值表!$D$30),0)</f>
        <v>23550</v>
      </c>
      <c r="AI368" s="293">
        <f t="shared" ref="AI368" si="8028">AH368</f>
        <v>23550</v>
      </c>
      <c r="AJ368" s="293">
        <f t="shared" ref="AJ368" si="8029">AI368</f>
        <v>23550</v>
      </c>
      <c r="AK368" s="293">
        <f t="shared" ref="AK368" si="8030">AJ368</f>
        <v>23550</v>
      </c>
      <c r="AL368" s="295">
        <f>ROUND(AK368*(1+取值表!$D$30),0)</f>
        <v>23691</v>
      </c>
      <c r="AM368" s="293">
        <f t="shared" ref="AM368" si="8031">AL368</f>
        <v>23691</v>
      </c>
      <c r="AN368" s="293">
        <f t="shared" ref="AN368" si="8032">AM368</f>
        <v>23691</v>
      </c>
      <c r="AO368" s="293">
        <f t="shared" ref="AO368" si="8033">AN368</f>
        <v>23691</v>
      </c>
      <c r="AP368" s="295">
        <f>ROUND(AO368*(1+取值表!$D$30),0)</f>
        <v>23833</v>
      </c>
      <c r="AQ368" s="293">
        <f t="shared" ref="AQ368" si="8034">AP368</f>
        <v>23833</v>
      </c>
      <c r="AR368" s="293">
        <f t="shared" ref="AR368" si="8035">AQ368</f>
        <v>23833</v>
      </c>
      <c r="AS368" s="293">
        <f t="shared" ref="AS368" si="8036">AR368</f>
        <v>23833</v>
      </c>
      <c r="AT368" s="295">
        <f>ROUND(AS368*(1+取值表!$D$30),0)</f>
        <v>23976</v>
      </c>
      <c r="AU368" s="293">
        <f t="shared" ref="AU368" si="8037">AT368</f>
        <v>23976</v>
      </c>
      <c r="AV368" s="293">
        <f t="shared" ref="AV368" si="8038">AU368</f>
        <v>23976</v>
      </c>
      <c r="AW368" s="293">
        <f t="shared" ref="AW368" si="8039">AV368</f>
        <v>23976</v>
      </c>
      <c r="AX368" s="295">
        <f>ROUND(AW368*(1+取值表!$D$30),0)</f>
        <v>24120</v>
      </c>
      <c r="AY368" s="293">
        <f t="shared" ref="AY368" si="8040">AX368</f>
        <v>24120</v>
      </c>
      <c r="AZ368" s="293">
        <f t="shared" ref="AZ368" si="8041">AY368</f>
        <v>24120</v>
      </c>
      <c r="BA368" s="293">
        <f t="shared" ref="BA368" si="8042">AZ368</f>
        <v>24120</v>
      </c>
      <c r="BB368" s="295">
        <f>ROUND(BA368*(1+取值表!$D$30),0)</f>
        <v>24265</v>
      </c>
      <c r="BC368" s="293">
        <f>BB368</f>
        <v>24265</v>
      </c>
      <c r="BD368" s="293">
        <f t="shared" ref="BD368" si="8043">BC368</f>
        <v>24265</v>
      </c>
      <c r="BE368" s="293">
        <f>BD368</f>
        <v>24265</v>
      </c>
      <c r="BF368" s="295">
        <f>ROUND(BE368*(1+取值表!$D$30),0)</f>
        <v>24411</v>
      </c>
      <c r="BG368" s="293">
        <f>BF368</f>
        <v>24411</v>
      </c>
      <c r="BH368" s="293">
        <f t="shared" ref="BH368" si="8044">BG368</f>
        <v>24411</v>
      </c>
      <c r="BI368" s="293">
        <f t="shared" ref="BI368" si="8045">BH368</f>
        <v>24411</v>
      </c>
      <c r="BJ368" s="295">
        <f>ROUND(BI368*(1+取值表!$D$30),0)</f>
        <v>24557</v>
      </c>
      <c r="BK368" s="293">
        <f t="shared" ref="BK368" si="8046">BJ368</f>
        <v>24557</v>
      </c>
      <c r="BL368" s="293">
        <f t="shared" ref="BL368" si="8047">BK368</f>
        <v>24557</v>
      </c>
      <c r="BM368" s="293">
        <f t="shared" ref="BM368" si="8048">BL368</f>
        <v>24557</v>
      </c>
      <c r="BN368" s="295">
        <f>ROUND(BM368*(1+取值表!$D$30),0)</f>
        <v>24704</v>
      </c>
      <c r="BO368" s="293">
        <f t="shared" ref="BO368" si="8049">BN368</f>
        <v>24704</v>
      </c>
      <c r="BP368" s="293">
        <f t="shared" ref="BP368" si="8050">BO368</f>
        <v>24704</v>
      </c>
      <c r="BQ368" s="293">
        <f t="shared" ref="BQ368" si="8051">BP368</f>
        <v>24704</v>
      </c>
      <c r="BR368" s="295">
        <f>ROUND(BQ368*(1+取值表!$D$30),0)</f>
        <v>24852</v>
      </c>
      <c r="BS368" s="293">
        <f t="shared" ref="BS368" si="8052">BR368</f>
        <v>24852</v>
      </c>
      <c r="BT368" s="293">
        <f t="shared" ref="BT368" si="8053">BS368</f>
        <v>24852</v>
      </c>
      <c r="BU368" s="293">
        <f t="shared" ref="BU368" si="8054">BT368</f>
        <v>24852</v>
      </c>
      <c r="BV368" s="295">
        <f>ROUND(BU368*(1+取值表!$D$30),0)</f>
        <v>25001</v>
      </c>
      <c r="BW368" s="293">
        <f t="shared" ref="BW368" si="8055">BV368</f>
        <v>25001</v>
      </c>
      <c r="BX368" s="293">
        <f t="shared" ref="BX368" si="8056">BW368</f>
        <v>25001</v>
      </c>
      <c r="BY368" s="293">
        <f t="shared" ref="BY368" si="8057">BX368</f>
        <v>25001</v>
      </c>
      <c r="BZ368" s="295">
        <f>ROUND(BY368*(1+取值表!$D$30),0)</f>
        <v>25151</v>
      </c>
      <c r="CA368" s="293">
        <f t="shared" ref="CA368" si="8058">BZ368</f>
        <v>25151</v>
      </c>
      <c r="CB368" s="293">
        <f t="shared" ref="CB368" si="8059">CA368</f>
        <v>25151</v>
      </c>
      <c r="CC368" s="293">
        <f t="shared" ref="CC368" si="8060">CB368</f>
        <v>25151</v>
      </c>
      <c r="CD368" s="295">
        <f>ROUND(CC368*(1+取值表!$D$30),0)</f>
        <v>25302</v>
      </c>
      <c r="CE368" s="293">
        <f t="shared" ref="CE368" si="8061">CD368</f>
        <v>25302</v>
      </c>
      <c r="CF368" s="293">
        <f t="shared" ref="CF368" si="8062">CE368</f>
        <v>25302</v>
      </c>
      <c r="CG368" s="293">
        <f t="shared" ref="CG368" si="8063">CF368</f>
        <v>25302</v>
      </c>
      <c r="CH368" s="295">
        <f>ROUND(CG368*(1+取值表!$D$30),0)</f>
        <v>25454</v>
      </c>
      <c r="CI368" s="293">
        <f>CH368</f>
        <v>25454</v>
      </c>
      <c r="CJ368" s="293">
        <f t="shared" ref="CJ368" si="8064">CI368</f>
        <v>25454</v>
      </c>
      <c r="CK368" s="293">
        <f t="shared" ref="CK368" si="8065">CJ368</f>
        <v>25454</v>
      </c>
      <c r="CL368" s="295">
        <f>ROUND(CK368*(1+取值表!$D$30),0)</f>
        <v>25607</v>
      </c>
      <c r="CM368" s="293">
        <f>CL368</f>
        <v>25607</v>
      </c>
      <c r="CN368" s="293">
        <f t="shared" ref="CN368" si="8066">CM368</f>
        <v>25607</v>
      </c>
      <c r="CO368" s="293">
        <f t="shared" ref="CO368" si="8067">CN368</f>
        <v>25607</v>
      </c>
      <c r="CP368" s="293">
        <f t="shared" si="7102"/>
        <v>2027416</v>
      </c>
    </row>
    <row r="369" spans="1:94">
      <c r="A369" s="670"/>
      <c r="B369" s="645"/>
      <c r="C369" s="646"/>
      <c r="D369" s="647"/>
      <c r="E369" s="648"/>
      <c r="F369" s="642"/>
      <c r="G369" s="642"/>
      <c r="H369" s="643"/>
      <c r="I369" s="291"/>
      <c r="J369" s="295"/>
      <c r="K369" s="293"/>
      <c r="L369" s="293"/>
      <c r="M369" s="293"/>
      <c r="N369" s="294"/>
      <c r="O369" s="293"/>
      <c r="P369" s="293"/>
      <c r="Q369" s="293"/>
      <c r="R369" s="295">
        <f>ROUND(Q369*(1+取值表!$D$30),0)</f>
        <v>0</v>
      </c>
      <c r="S369" s="293"/>
      <c r="T369" s="293"/>
      <c r="U369" s="293"/>
      <c r="V369" s="295">
        <f>ROUND(U369*(1+取值表!$D$30),0)</f>
        <v>0</v>
      </c>
      <c r="W369" s="293"/>
      <c r="X369" s="293"/>
      <c r="Y369" s="293"/>
      <c r="Z369" s="295">
        <f>ROUND(Y369*(1+取值表!$D$30),0)</f>
        <v>0</v>
      </c>
      <c r="AA369" s="293"/>
      <c r="AB369" s="293"/>
      <c r="AC369" s="293"/>
      <c r="AD369" s="295">
        <f>ROUND(AC369*(1+取值表!$D$30),0)</f>
        <v>0</v>
      </c>
      <c r="AE369" s="293"/>
      <c r="AF369" s="293"/>
      <c r="AG369" s="293"/>
      <c r="AH369" s="295">
        <f>ROUND(AG369*(1+取值表!$D$30),0)</f>
        <v>0</v>
      </c>
      <c r="AI369" s="293"/>
      <c r="AJ369" s="293"/>
      <c r="AK369" s="293"/>
      <c r="AL369" s="295">
        <f>ROUND(AK369*(1+取值表!$D$30),0)</f>
        <v>0</v>
      </c>
      <c r="AM369" s="293"/>
      <c r="AN369" s="293"/>
      <c r="AO369" s="293"/>
      <c r="AP369" s="295">
        <f>ROUND(AO369*(1+取值表!$D$30),0)</f>
        <v>0</v>
      </c>
      <c r="AQ369" s="293"/>
      <c r="AR369" s="293"/>
      <c r="AS369" s="293"/>
      <c r="AT369" s="295">
        <f>ROUND(AS369*(1+取值表!$D$30),0)</f>
        <v>0</v>
      </c>
      <c r="AU369" s="293"/>
      <c r="AV369" s="293"/>
      <c r="AW369" s="293"/>
      <c r="AX369" s="295">
        <f>ROUND(AW369*(1+取值表!$D$30),0)</f>
        <v>0</v>
      </c>
      <c r="AY369" s="293"/>
      <c r="AZ369" s="293"/>
      <c r="BA369" s="293"/>
      <c r="BB369" s="295">
        <f>ROUND(BA369*(1+取值表!$D$30),0)</f>
        <v>0</v>
      </c>
      <c r="BC369" s="293"/>
      <c r="BD369" s="293"/>
      <c r="BE369" s="293"/>
      <c r="BF369" s="295">
        <f>ROUND(BE369*(1+取值表!$D$30),0)</f>
        <v>0</v>
      </c>
      <c r="BG369" s="293"/>
      <c r="BH369" s="293"/>
      <c r="BI369" s="293"/>
      <c r="BJ369" s="295">
        <f>ROUND(BI369*(1+取值表!$D$30),0)</f>
        <v>0</v>
      </c>
      <c r="BK369" s="293"/>
      <c r="BL369" s="293"/>
      <c r="BM369" s="293"/>
      <c r="BN369" s="295">
        <f>ROUND(BM369*(1+取值表!$D$30),0)</f>
        <v>0</v>
      </c>
      <c r="BO369" s="293"/>
      <c r="BP369" s="293"/>
      <c r="BQ369" s="293"/>
      <c r="BR369" s="295">
        <f>ROUND(BQ369*(1+取值表!$D$30),0)</f>
        <v>0</v>
      </c>
      <c r="BS369" s="293"/>
      <c r="BT369" s="293"/>
      <c r="BU369" s="293"/>
      <c r="BV369" s="295">
        <f>ROUND(BU369*(1+取值表!$D$30),0)</f>
        <v>0</v>
      </c>
      <c r="BW369" s="293"/>
      <c r="BX369" s="293"/>
      <c r="BY369" s="293"/>
      <c r="BZ369" s="295">
        <f>ROUND(BY369*(1+取值表!$D$30),0)</f>
        <v>0</v>
      </c>
      <c r="CA369" s="293"/>
      <c r="CB369" s="293"/>
      <c r="CC369" s="293"/>
      <c r="CD369" s="295">
        <f>ROUND(CC369*(1+取值表!$D$30),0)</f>
        <v>0</v>
      </c>
      <c r="CE369" s="293"/>
      <c r="CF369" s="293"/>
      <c r="CG369" s="293"/>
      <c r="CH369" s="295">
        <f>ROUND(CG369*(1+取值表!$D$30),0)</f>
        <v>0</v>
      </c>
      <c r="CI369" s="293"/>
      <c r="CJ369" s="293"/>
      <c r="CK369" s="293"/>
      <c r="CL369" s="295">
        <f>ROUND(CK369*(1+取值表!$D$30),0)</f>
        <v>0</v>
      </c>
      <c r="CM369" s="293"/>
      <c r="CN369" s="293"/>
      <c r="CO369" s="293"/>
      <c r="CP369" s="293">
        <f t="shared" si="7102"/>
        <v>0</v>
      </c>
    </row>
    <row r="370" spans="1:94" s="299" customFormat="1">
      <c r="A370" s="669">
        <v>189</v>
      </c>
      <c r="B370" s="658" t="s">
        <v>325</v>
      </c>
      <c r="C370" s="659" t="s">
        <v>13</v>
      </c>
      <c r="D370" s="647" t="s">
        <v>538</v>
      </c>
      <c r="E370" s="660"/>
      <c r="F370" s="661"/>
      <c r="G370" s="661"/>
      <c r="H370" s="662">
        <v>85000</v>
      </c>
      <c r="I370" s="298">
        <v>5000</v>
      </c>
      <c r="J370" s="292">
        <f>ROUND(H370/4*(1+取值表!$D$30)*取值表!$I$30,0)</f>
        <v>20116</v>
      </c>
      <c r="K370" s="295">
        <f>J370</f>
        <v>20116</v>
      </c>
      <c r="L370" s="295">
        <f>K370</f>
        <v>20116</v>
      </c>
      <c r="M370" s="295">
        <f>L370</f>
        <v>20116</v>
      </c>
      <c r="N370" s="294">
        <f>ROUND(M370*(1+取值表!$D$30),0)</f>
        <v>20237</v>
      </c>
      <c r="O370" s="295">
        <f>N370</f>
        <v>20237</v>
      </c>
      <c r="P370" s="295">
        <f t="shared" ref="P370" si="8068">O370</f>
        <v>20237</v>
      </c>
      <c r="Q370" s="295">
        <f>P370</f>
        <v>20237</v>
      </c>
      <c r="R370" s="295">
        <f>ROUND(Q370*(1+取值表!$D$30),0)</f>
        <v>20358</v>
      </c>
      <c r="S370" s="295">
        <f t="shared" ref="S370:T370" si="8069">R370</f>
        <v>20358</v>
      </c>
      <c r="T370" s="295">
        <f t="shared" si="8069"/>
        <v>20358</v>
      </c>
      <c r="U370" s="295">
        <f>T370</f>
        <v>20358</v>
      </c>
      <c r="V370" s="295">
        <f>ROUND(U370*(1+取值表!$D$30),0)</f>
        <v>20480</v>
      </c>
      <c r="W370" s="295">
        <f t="shared" ref="W370" si="8070">V370</f>
        <v>20480</v>
      </c>
      <c r="X370" s="295">
        <f t="shared" ref="X370" si="8071">W370</f>
        <v>20480</v>
      </c>
      <c r="Y370" s="295">
        <f t="shared" ref="Y370" si="8072">X370</f>
        <v>20480</v>
      </c>
      <c r="Z370" s="295">
        <f>ROUND(Y370*(1+取值表!$D$30),0)</f>
        <v>20603</v>
      </c>
      <c r="AA370" s="295">
        <f t="shared" ref="AA370" si="8073">Z370</f>
        <v>20603</v>
      </c>
      <c r="AB370" s="295">
        <f t="shared" ref="AB370" si="8074">AA370</f>
        <v>20603</v>
      </c>
      <c r="AC370" s="295">
        <f>AB370</f>
        <v>20603</v>
      </c>
      <c r="AD370" s="295">
        <f>ROUND(AC370*(1+取值表!$D$30),0)</f>
        <v>20727</v>
      </c>
      <c r="AE370" s="295">
        <f t="shared" ref="AE370" si="8075">AD370</f>
        <v>20727</v>
      </c>
      <c r="AF370" s="295">
        <f t="shared" ref="AF370" si="8076">AE370</f>
        <v>20727</v>
      </c>
      <c r="AG370" s="295">
        <f t="shared" ref="AG370" si="8077">AF370</f>
        <v>20727</v>
      </c>
      <c r="AH370" s="295">
        <f>ROUND(AG370*(1+取值表!$D$30),0)</f>
        <v>20851</v>
      </c>
      <c r="AI370" s="295">
        <f t="shared" ref="AI370" si="8078">AH370</f>
        <v>20851</v>
      </c>
      <c r="AJ370" s="295">
        <f t="shared" ref="AJ370" si="8079">AI370</f>
        <v>20851</v>
      </c>
      <c r="AK370" s="295">
        <f t="shared" ref="AK370" si="8080">AJ370</f>
        <v>20851</v>
      </c>
      <c r="AL370" s="295">
        <f>ROUND(AK370*(1+取值表!$D$30),0)</f>
        <v>20976</v>
      </c>
      <c r="AM370" s="295">
        <f t="shared" ref="AM370" si="8081">AL370</f>
        <v>20976</v>
      </c>
      <c r="AN370" s="295">
        <f t="shared" ref="AN370" si="8082">AM370</f>
        <v>20976</v>
      </c>
      <c r="AO370" s="295">
        <f t="shared" ref="AO370" si="8083">AN370</f>
        <v>20976</v>
      </c>
      <c r="AP370" s="295">
        <f>ROUND(AO370*(1+取值表!$D$30),0)</f>
        <v>21102</v>
      </c>
      <c r="AQ370" s="295">
        <f t="shared" ref="AQ370" si="8084">AP370</f>
        <v>21102</v>
      </c>
      <c r="AR370" s="295">
        <f t="shared" ref="AR370" si="8085">AQ370</f>
        <v>21102</v>
      </c>
      <c r="AS370" s="295">
        <f t="shared" ref="AS370" si="8086">AR370</f>
        <v>21102</v>
      </c>
      <c r="AT370" s="295">
        <f>ROUND(AS370*(1+取值表!$D$30),0)</f>
        <v>21229</v>
      </c>
      <c r="AU370" s="295">
        <f t="shared" ref="AU370" si="8087">AT370</f>
        <v>21229</v>
      </c>
      <c r="AV370" s="295">
        <f t="shared" ref="AV370" si="8088">AU370</f>
        <v>21229</v>
      </c>
      <c r="AW370" s="295">
        <f t="shared" ref="AW370" si="8089">AV370</f>
        <v>21229</v>
      </c>
      <c r="AX370" s="295">
        <f>ROUND(AW370*(1+取值表!$D$30),0)</f>
        <v>21356</v>
      </c>
      <c r="AY370" s="295">
        <f t="shared" ref="AY370" si="8090">AX370</f>
        <v>21356</v>
      </c>
      <c r="AZ370" s="295">
        <f t="shared" ref="AZ370" si="8091">AY370</f>
        <v>21356</v>
      </c>
      <c r="BA370" s="295">
        <f t="shared" ref="BA370" si="8092">AZ370</f>
        <v>21356</v>
      </c>
      <c r="BB370" s="295">
        <f>ROUND(BA370*(1+取值表!$D$30),0)</f>
        <v>21484</v>
      </c>
      <c r="BC370" s="295">
        <f>BB370</f>
        <v>21484</v>
      </c>
      <c r="BD370" s="295">
        <f t="shared" ref="BD370" si="8093">BC370</f>
        <v>21484</v>
      </c>
      <c r="BE370" s="295">
        <f>BD370</f>
        <v>21484</v>
      </c>
      <c r="BF370" s="295">
        <f>ROUND(BE370*(1+取值表!$D$30),0)</f>
        <v>21613</v>
      </c>
      <c r="BG370" s="295">
        <f>BF370</f>
        <v>21613</v>
      </c>
      <c r="BH370" s="295">
        <f t="shared" ref="BH370" si="8094">BG370</f>
        <v>21613</v>
      </c>
      <c r="BI370" s="295">
        <f t="shared" ref="BI370" si="8095">BH370</f>
        <v>21613</v>
      </c>
      <c r="BJ370" s="295">
        <f>ROUND(BI370*(1+取值表!$D$30),0)</f>
        <v>21743</v>
      </c>
      <c r="BK370" s="295">
        <f t="shared" ref="BK370" si="8096">BJ370</f>
        <v>21743</v>
      </c>
      <c r="BL370" s="295">
        <f t="shared" ref="BL370" si="8097">BK370</f>
        <v>21743</v>
      </c>
      <c r="BM370" s="295">
        <f t="shared" ref="BM370" si="8098">BL370</f>
        <v>21743</v>
      </c>
      <c r="BN370" s="295">
        <f>ROUND(BM370*(1+取值表!$D$30),0)</f>
        <v>21873</v>
      </c>
      <c r="BO370" s="295">
        <f t="shared" ref="BO370" si="8099">BN370</f>
        <v>21873</v>
      </c>
      <c r="BP370" s="295">
        <f t="shared" ref="BP370" si="8100">BO370</f>
        <v>21873</v>
      </c>
      <c r="BQ370" s="295">
        <f t="shared" ref="BQ370" si="8101">BP370</f>
        <v>21873</v>
      </c>
      <c r="BR370" s="295">
        <f>ROUND(BQ370*(1+取值表!$D$30),0)</f>
        <v>22004</v>
      </c>
      <c r="BS370" s="295">
        <f t="shared" ref="BS370" si="8102">BR370</f>
        <v>22004</v>
      </c>
      <c r="BT370" s="295">
        <f t="shared" ref="BT370" si="8103">BS370</f>
        <v>22004</v>
      </c>
      <c r="BU370" s="295">
        <f t="shared" ref="BU370" si="8104">BT370</f>
        <v>22004</v>
      </c>
      <c r="BV370" s="295">
        <f>ROUND(BU370*(1+取值表!$D$30),0)</f>
        <v>22136</v>
      </c>
      <c r="BW370" s="295">
        <f t="shared" ref="BW370" si="8105">BV370</f>
        <v>22136</v>
      </c>
      <c r="BX370" s="295">
        <f t="shared" ref="BX370" si="8106">BW370</f>
        <v>22136</v>
      </c>
      <c r="BY370" s="295">
        <f t="shared" ref="BY370" si="8107">BX370</f>
        <v>22136</v>
      </c>
      <c r="BZ370" s="295">
        <f>ROUND(BY370*(1+取值表!$D$30),0)</f>
        <v>22269</v>
      </c>
      <c r="CA370" s="295">
        <f t="shared" ref="CA370" si="8108">BZ370</f>
        <v>22269</v>
      </c>
      <c r="CB370" s="295">
        <f t="shared" ref="CB370" si="8109">CA370</f>
        <v>22269</v>
      </c>
      <c r="CC370" s="295">
        <f t="shared" ref="CC370" si="8110">CB370</f>
        <v>22269</v>
      </c>
      <c r="CD370" s="295">
        <f>ROUND(CC370*(1+取值表!$D$30),0)</f>
        <v>22403</v>
      </c>
      <c r="CE370" s="295">
        <f t="shared" ref="CE370" si="8111">CD370</f>
        <v>22403</v>
      </c>
      <c r="CF370" s="295">
        <f t="shared" ref="CF370" si="8112">CE370</f>
        <v>22403</v>
      </c>
      <c r="CG370" s="295">
        <f t="shared" ref="CG370" si="8113">CF370</f>
        <v>22403</v>
      </c>
      <c r="CH370" s="295">
        <f>ROUND(CG370*(1+取值表!$D$30),0)</f>
        <v>22537</v>
      </c>
      <c r="CI370" s="295">
        <f>CH370</f>
        <v>22537</v>
      </c>
      <c r="CJ370" s="295">
        <f t="shared" ref="CJ370" si="8114">CI370</f>
        <v>22537</v>
      </c>
      <c r="CK370" s="295">
        <f t="shared" ref="CK370" si="8115">CJ370</f>
        <v>22537</v>
      </c>
      <c r="CL370" s="295">
        <f>ROUND(CK370*(1+取值表!$D$30),0)</f>
        <v>22672</v>
      </c>
      <c r="CM370" s="295">
        <f>CL370</f>
        <v>22672</v>
      </c>
      <c r="CN370" s="295">
        <f t="shared" ref="CN370" si="8116">CM370</f>
        <v>22672</v>
      </c>
      <c r="CO370" s="295">
        <f t="shared" ref="CO370" si="8117">CN370</f>
        <v>22672</v>
      </c>
      <c r="CP370" s="293">
        <f t="shared" si="7102"/>
        <v>1795076</v>
      </c>
    </row>
    <row r="371" spans="1:94" s="299" customFormat="1">
      <c r="A371" s="670"/>
      <c r="B371" s="658"/>
      <c r="C371" s="659"/>
      <c r="D371" s="647"/>
      <c r="E371" s="660"/>
      <c r="F371" s="661"/>
      <c r="G371" s="661"/>
      <c r="H371" s="662"/>
      <c r="I371" s="298"/>
      <c r="J371" s="295"/>
      <c r="K371" s="295"/>
      <c r="L371" s="295"/>
      <c r="M371" s="295"/>
      <c r="N371" s="294"/>
      <c r="O371" s="295"/>
      <c r="P371" s="295"/>
      <c r="Q371" s="295"/>
      <c r="R371" s="295">
        <f>ROUND(Q371*(1+取值表!$D$30),0)</f>
        <v>0</v>
      </c>
      <c r="S371" s="295"/>
      <c r="T371" s="295"/>
      <c r="U371" s="295"/>
      <c r="V371" s="295">
        <f>ROUND(U371*(1+取值表!$D$30),0)</f>
        <v>0</v>
      </c>
      <c r="W371" s="295"/>
      <c r="X371" s="295"/>
      <c r="Y371" s="295"/>
      <c r="Z371" s="295">
        <f>ROUND(Y371*(1+取值表!$D$30),0)</f>
        <v>0</v>
      </c>
      <c r="AA371" s="295"/>
      <c r="AB371" s="295"/>
      <c r="AC371" s="295"/>
      <c r="AD371" s="295">
        <f>ROUND(AC371*(1+取值表!$D$30),0)</f>
        <v>0</v>
      </c>
      <c r="AE371" s="295"/>
      <c r="AF371" s="295"/>
      <c r="AG371" s="295"/>
      <c r="AH371" s="295">
        <f>ROUND(AG371*(1+取值表!$D$30),0)</f>
        <v>0</v>
      </c>
      <c r="AI371" s="295"/>
      <c r="AJ371" s="295"/>
      <c r="AK371" s="295"/>
      <c r="AL371" s="295">
        <f>ROUND(AK371*(1+取值表!$D$30),0)</f>
        <v>0</v>
      </c>
      <c r="AM371" s="295"/>
      <c r="AN371" s="295"/>
      <c r="AO371" s="295"/>
      <c r="AP371" s="295">
        <f>ROUND(AO371*(1+取值表!$D$30),0)</f>
        <v>0</v>
      </c>
      <c r="AQ371" s="295"/>
      <c r="AR371" s="295"/>
      <c r="AS371" s="295"/>
      <c r="AT371" s="295">
        <f>ROUND(AS371*(1+取值表!$D$30),0)</f>
        <v>0</v>
      </c>
      <c r="AU371" s="295"/>
      <c r="AV371" s="295"/>
      <c r="AW371" s="295"/>
      <c r="AX371" s="295">
        <f>ROUND(AW371*(1+取值表!$D$30),0)</f>
        <v>0</v>
      </c>
      <c r="AY371" s="295"/>
      <c r="AZ371" s="295"/>
      <c r="BA371" s="295"/>
      <c r="BB371" s="295">
        <f>ROUND(BA371*(1+取值表!$D$30),0)</f>
        <v>0</v>
      </c>
      <c r="BC371" s="295"/>
      <c r="BD371" s="295"/>
      <c r="BE371" s="295"/>
      <c r="BF371" s="295">
        <f>ROUND(BE371*(1+取值表!$D$30),0)</f>
        <v>0</v>
      </c>
      <c r="BG371" s="295"/>
      <c r="BH371" s="295"/>
      <c r="BI371" s="295"/>
      <c r="BJ371" s="295">
        <f>ROUND(BI371*(1+取值表!$D$30),0)</f>
        <v>0</v>
      </c>
      <c r="BK371" s="295"/>
      <c r="BL371" s="295"/>
      <c r="BM371" s="295"/>
      <c r="BN371" s="295">
        <f>ROUND(BM371*(1+取值表!$D$30),0)</f>
        <v>0</v>
      </c>
      <c r="BO371" s="295"/>
      <c r="BP371" s="295"/>
      <c r="BQ371" s="295"/>
      <c r="BR371" s="295">
        <f>ROUND(BQ371*(1+取值表!$D$30),0)</f>
        <v>0</v>
      </c>
      <c r="BS371" s="295"/>
      <c r="BT371" s="295"/>
      <c r="BU371" s="295"/>
      <c r="BV371" s="295">
        <f>ROUND(BU371*(1+取值表!$D$30),0)</f>
        <v>0</v>
      </c>
      <c r="BW371" s="295"/>
      <c r="BX371" s="295"/>
      <c r="BY371" s="295"/>
      <c r="BZ371" s="295">
        <f>ROUND(BY371*(1+取值表!$D$30),0)</f>
        <v>0</v>
      </c>
      <c r="CA371" s="295"/>
      <c r="CB371" s="295"/>
      <c r="CC371" s="295"/>
      <c r="CD371" s="295">
        <f>ROUND(CC371*(1+取值表!$D$30),0)</f>
        <v>0</v>
      </c>
      <c r="CE371" s="295"/>
      <c r="CF371" s="295"/>
      <c r="CG371" s="295"/>
      <c r="CH371" s="295">
        <f>ROUND(CG371*(1+取值表!$D$30),0)</f>
        <v>0</v>
      </c>
      <c r="CI371" s="295"/>
      <c r="CJ371" s="295"/>
      <c r="CK371" s="295"/>
      <c r="CL371" s="295">
        <f>ROUND(CK371*(1+取值表!$D$30),0)</f>
        <v>0</v>
      </c>
      <c r="CM371" s="295"/>
      <c r="CN371" s="295"/>
      <c r="CO371" s="295"/>
      <c r="CP371" s="293">
        <f t="shared" si="7102"/>
        <v>0</v>
      </c>
    </row>
    <row r="372" spans="1:94" s="299" customFormat="1" ht="13.5" customHeight="1">
      <c r="A372" s="669">
        <v>190</v>
      </c>
      <c r="B372" s="658" t="s">
        <v>325</v>
      </c>
      <c r="C372" s="659" t="s">
        <v>205</v>
      </c>
      <c r="D372" s="647" t="s">
        <v>460</v>
      </c>
      <c r="E372" s="660"/>
      <c r="F372" s="661"/>
      <c r="G372" s="661"/>
      <c r="H372" s="662">
        <v>96000</v>
      </c>
      <c r="I372" s="298">
        <v>5000</v>
      </c>
      <c r="J372" s="292">
        <f>ROUND(H372/4*(1+取值表!$D$30)*取值表!$I$30,0)</f>
        <v>22720</v>
      </c>
      <c r="K372" s="295">
        <f t="shared" ref="K372:M385" si="8118">J372</f>
        <v>22720</v>
      </c>
      <c r="L372" s="295">
        <f t="shared" si="8118"/>
        <v>22720</v>
      </c>
      <c r="M372" s="295">
        <f t="shared" si="8118"/>
        <v>22720</v>
      </c>
      <c r="N372" s="294">
        <f>ROUND(M372*(1+取值表!$D$30),0)</f>
        <v>22856</v>
      </c>
      <c r="O372" s="295">
        <f t="shared" ref="O372:O386" si="8119">N372</f>
        <v>22856</v>
      </c>
      <c r="P372" s="295">
        <f t="shared" ref="P372" si="8120">O372</f>
        <v>22856</v>
      </c>
      <c r="Q372" s="295">
        <f t="shared" ref="Q372:Q386" si="8121">P372</f>
        <v>22856</v>
      </c>
      <c r="R372" s="295">
        <f>ROUND(Q372*(1+取值表!$D$30),0)</f>
        <v>22993</v>
      </c>
      <c r="S372" s="295">
        <f t="shared" ref="S372:T372" si="8122">R372</f>
        <v>22993</v>
      </c>
      <c r="T372" s="295">
        <f t="shared" si="8122"/>
        <v>22993</v>
      </c>
      <c r="U372" s="295">
        <f t="shared" ref="U372:U386" si="8123">T372</f>
        <v>22993</v>
      </c>
      <c r="V372" s="295">
        <f>ROUND(U372*(1+取值表!$D$30),0)</f>
        <v>23131</v>
      </c>
      <c r="W372" s="295">
        <f t="shared" ref="W372:W386" si="8124">V372</f>
        <v>23131</v>
      </c>
      <c r="X372" s="295">
        <f t="shared" ref="X372:X386" si="8125">W372</f>
        <v>23131</v>
      </c>
      <c r="Y372" s="295">
        <f t="shared" ref="Y372:Y386" si="8126">X372</f>
        <v>23131</v>
      </c>
      <c r="Z372" s="295">
        <f>ROUND(Y372*(1+取值表!$D$30),0)</f>
        <v>23270</v>
      </c>
      <c r="AA372" s="295">
        <f t="shared" ref="AA372:AA386" si="8127">Z372</f>
        <v>23270</v>
      </c>
      <c r="AB372" s="295">
        <f t="shared" ref="AB372:AB386" si="8128">AA372</f>
        <v>23270</v>
      </c>
      <c r="AC372" s="295">
        <f t="shared" ref="AC372:AC386" si="8129">AB372</f>
        <v>23270</v>
      </c>
      <c r="AD372" s="295">
        <f>ROUND(AC372*(1+取值表!$D$30),0)</f>
        <v>23410</v>
      </c>
      <c r="AE372" s="295">
        <f t="shared" ref="AE372:AE386" si="8130">AD372</f>
        <v>23410</v>
      </c>
      <c r="AF372" s="295">
        <f t="shared" ref="AF372:AF386" si="8131">AE372</f>
        <v>23410</v>
      </c>
      <c r="AG372" s="295">
        <f t="shared" ref="AG372:AG386" si="8132">AF372</f>
        <v>23410</v>
      </c>
      <c r="AH372" s="295">
        <f>ROUND(AG372*(1+取值表!$D$30),0)</f>
        <v>23550</v>
      </c>
      <c r="AI372" s="295">
        <f t="shared" ref="AI372:AI386" si="8133">AH372</f>
        <v>23550</v>
      </c>
      <c r="AJ372" s="295">
        <f t="shared" ref="AJ372:AJ386" si="8134">AI372</f>
        <v>23550</v>
      </c>
      <c r="AK372" s="295">
        <f t="shared" ref="AK372:AK386" si="8135">AJ372</f>
        <v>23550</v>
      </c>
      <c r="AL372" s="295">
        <f>ROUND(AK372*(1+取值表!$D$30),0)</f>
        <v>23691</v>
      </c>
      <c r="AM372" s="295">
        <f t="shared" ref="AM372:AM386" si="8136">AL372</f>
        <v>23691</v>
      </c>
      <c r="AN372" s="295">
        <f t="shared" ref="AN372:AN386" si="8137">AM372</f>
        <v>23691</v>
      </c>
      <c r="AO372" s="295">
        <f t="shared" ref="AO372:AO386" si="8138">AN372</f>
        <v>23691</v>
      </c>
      <c r="AP372" s="295">
        <f>ROUND(AO372*(1+取值表!$D$30),0)</f>
        <v>23833</v>
      </c>
      <c r="AQ372" s="295">
        <f t="shared" ref="AQ372:AQ386" si="8139">AP372</f>
        <v>23833</v>
      </c>
      <c r="AR372" s="295">
        <f t="shared" ref="AR372:AR386" si="8140">AQ372</f>
        <v>23833</v>
      </c>
      <c r="AS372" s="295">
        <f t="shared" ref="AS372:AS386" si="8141">AR372</f>
        <v>23833</v>
      </c>
      <c r="AT372" s="295">
        <f>ROUND(AS372*(1+取值表!$D$30),0)</f>
        <v>23976</v>
      </c>
      <c r="AU372" s="295">
        <f t="shared" ref="AU372:AU386" si="8142">AT372</f>
        <v>23976</v>
      </c>
      <c r="AV372" s="295">
        <f t="shared" ref="AV372:AV386" si="8143">AU372</f>
        <v>23976</v>
      </c>
      <c r="AW372" s="295">
        <f t="shared" ref="AW372:AW386" si="8144">AV372</f>
        <v>23976</v>
      </c>
      <c r="AX372" s="295">
        <f>ROUND(AW372*(1+取值表!$D$30),0)</f>
        <v>24120</v>
      </c>
      <c r="AY372" s="295">
        <f t="shared" ref="AY372:AY386" si="8145">AX372</f>
        <v>24120</v>
      </c>
      <c r="AZ372" s="295">
        <f t="shared" ref="AZ372:AZ386" si="8146">AY372</f>
        <v>24120</v>
      </c>
      <c r="BA372" s="295">
        <f t="shared" ref="BA372:BA386" si="8147">AZ372</f>
        <v>24120</v>
      </c>
      <c r="BB372" s="295">
        <f>ROUND(BA372*(1+取值表!$D$30),0)</f>
        <v>24265</v>
      </c>
      <c r="BC372" s="295">
        <f t="shared" ref="BC372:BC386" si="8148">BB372</f>
        <v>24265</v>
      </c>
      <c r="BD372" s="295">
        <f t="shared" ref="BD372:BD386" si="8149">BC372</f>
        <v>24265</v>
      </c>
      <c r="BE372" s="295">
        <f t="shared" ref="BE372:BE386" si="8150">BD372</f>
        <v>24265</v>
      </c>
      <c r="BF372" s="295">
        <f>ROUND(BE372*(1+取值表!$D$30),0)</f>
        <v>24411</v>
      </c>
      <c r="BG372" s="295">
        <f t="shared" ref="BG372:BG386" si="8151">BF372</f>
        <v>24411</v>
      </c>
      <c r="BH372" s="295">
        <f t="shared" ref="BH372:BH386" si="8152">BG372</f>
        <v>24411</v>
      </c>
      <c r="BI372" s="295">
        <f t="shared" ref="BI372:BI386" si="8153">BH372</f>
        <v>24411</v>
      </c>
      <c r="BJ372" s="295">
        <f>ROUND(BI372*(1+取值表!$D$30),0)</f>
        <v>24557</v>
      </c>
      <c r="BK372" s="295">
        <f t="shared" ref="BK372:BK386" si="8154">BJ372</f>
        <v>24557</v>
      </c>
      <c r="BL372" s="295">
        <f t="shared" ref="BL372:BL386" si="8155">BK372</f>
        <v>24557</v>
      </c>
      <c r="BM372" s="295">
        <f t="shared" ref="BM372:BM386" si="8156">BL372</f>
        <v>24557</v>
      </c>
      <c r="BN372" s="295">
        <f>ROUND(BM372*(1+取值表!$D$30),0)</f>
        <v>24704</v>
      </c>
      <c r="BO372" s="295">
        <f t="shared" ref="BO372:BO386" si="8157">BN372</f>
        <v>24704</v>
      </c>
      <c r="BP372" s="295">
        <f t="shared" ref="BP372:BP386" si="8158">BO372</f>
        <v>24704</v>
      </c>
      <c r="BQ372" s="295">
        <f t="shared" ref="BQ372:BQ386" si="8159">BP372</f>
        <v>24704</v>
      </c>
      <c r="BR372" s="295">
        <f>ROUND(BQ372*(1+取值表!$D$30),0)</f>
        <v>24852</v>
      </c>
      <c r="BS372" s="295">
        <f t="shared" ref="BS372:BS386" si="8160">BR372</f>
        <v>24852</v>
      </c>
      <c r="BT372" s="295">
        <f t="shared" ref="BT372:BT386" si="8161">BS372</f>
        <v>24852</v>
      </c>
      <c r="BU372" s="295">
        <f t="shared" ref="BU372:BU386" si="8162">BT372</f>
        <v>24852</v>
      </c>
      <c r="BV372" s="295">
        <f>ROUND(BU372*(1+取值表!$D$30),0)</f>
        <v>25001</v>
      </c>
      <c r="BW372" s="295">
        <f t="shared" ref="BW372:BW386" si="8163">BV372</f>
        <v>25001</v>
      </c>
      <c r="BX372" s="295">
        <f t="shared" ref="BX372:BX386" si="8164">BW372</f>
        <v>25001</v>
      </c>
      <c r="BY372" s="295">
        <f t="shared" ref="BY372:BY386" si="8165">BX372</f>
        <v>25001</v>
      </c>
      <c r="BZ372" s="295">
        <f>ROUND(BY372*(1+取值表!$D$30),0)</f>
        <v>25151</v>
      </c>
      <c r="CA372" s="295">
        <f t="shared" ref="CA372:CA386" si="8166">BZ372</f>
        <v>25151</v>
      </c>
      <c r="CB372" s="295">
        <f t="shared" ref="CB372:CB386" si="8167">CA372</f>
        <v>25151</v>
      </c>
      <c r="CC372" s="295">
        <f t="shared" ref="CC372:CC386" si="8168">CB372</f>
        <v>25151</v>
      </c>
      <c r="CD372" s="295">
        <f>ROUND(CC372*(1+取值表!$D$30),0)</f>
        <v>25302</v>
      </c>
      <c r="CE372" s="295">
        <f t="shared" ref="CE372:CE386" si="8169">CD372</f>
        <v>25302</v>
      </c>
      <c r="CF372" s="295">
        <f t="shared" ref="CF372:CF386" si="8170">CE372</f>
        <v>25302</v>
      </c>
      <c r="CG372" s="295">
        <f t="shared" ref="CG372:CG386" si="8171">CF372</f>
        <v>25302</v>
      </c>
      <c r="CH372" s="295">
        <f>ROUND(CG372*(1+取值表!$D$30),0)</f>
        <v>25454</v>
      </c>
      <c r="CI372" s="295">
        <f t="shared" ref="CI372:CI386" si="8172">CH372</f>
        <v>25454</v>
      </c>
      <c r="CJ372" s="295">
        <f t="shared" ref="CJ372:CJ386" si="8173">CI372</f>
        <v>25454</v>
      </c>
      <c r="CK372" s="295">
        <f t="shared" ref="CK372:CK386" si="8174">CJ372</f>
        <v>25454</v>
      </c>
      <c r="CL372" s="295">
        <f>ROUND(CK372*(1+取值表!$D$30),0)</f>
        <v>25607</v>
      </c>
      <c r="CM372" s="295">
        <f t="shared" ref="CM372:CM386" si="8175">CL372</f>
        <v>25607</v>
      </c>
      <c r="CN372" s="295">
        <f t="shared" ref="CN372:CN386" si="8176">CM372</f>
        <v>25607</v>
      </c>
      <c r="CO372" s="295">
        <f t="shared" ref="CO372:CO386" si="8177">CN372</f>
        <v>25607</v>
      </c>
      <c r="CP372" s="293">
        <f t="shared" si="7102"/>
        <v>2027416</v>
      </c>
    </row>
    <row r="373" spans="1:94" s="299" customFormat="1">
      <c r="A373" s="670"/>
      <c r="B373" s="658"/>
      <c r="C373" s="659"/>
      <c r="D373" s="647"/>
      <c r="E373" s="660"/>
      <c r="F373" s="661"/>
      <c r="G373" s="661"/>
      <c r="H373" s="662"/>
      <c r="I373" s="298">
        <v>0</v>
      </c>
      <c r="J373" s="295"/>
      <c r="K373" s="295">
        <f t="shared" si="8118"/>
        <v>0</v>
      </c>
      <c r="L373" s="295">
        <f t="shared" si="8118"/>
        <v>0</v>
      </c>
      <c r="M373" s="295">
        <f t="shared" si="8118"/>
        <v>0</v>
      </c>
      <c r="N373" s="294"/>
      <c r="O373" s="295">
        <f t="shared" si="8119"/>
        <v>0</v>
      </c>
      <c r="P373" s="295">
        <f t="shared" ref="P373" si="8178">O373</f>
        <v>0</v>
      </c>
      <c r="Q373" s="295">
        <f t="shared" si="8121"/>
        <v>0</v>
      </c>
      <c r="R373" s="295">
        <f>ROUND(Q373*(1+取值表!$D$30),0)</f>
        <v>0</v>
      </c>
      <c r="S373" s="295">
        <f t="shared" ref="S373:T373" si="8179">R373</f>
        <v>0</v>
      </c>
      <c r="T373" s="295">
        <f t="shared" si="8179"/>
        <v>0</v>
      </c>
      <c r="U373" s="295">
        <f t="shared" si="8123"/>
        <v>0</v>
      </c>
      <c r="V373" s="295">
        <f>ROUND(U373*(1+取值表!$D$30),0)</f>
        <v>0</v>
      </c>
      <c r="W373" s="295">
        <f t="shared" si="8124"/>
        <v>0</v>
      </c>
      <c r="X373" s="295">
        <f t="shared" si="8125"/>
        <v>0</v>
      </c>
      <c r="Y373" s="295">
        <f t="shared" si="8126"/>
        <v>0</v>
      </c>
      <c r="Z373" s="295">
        <f>ROUND(Y373*(1+取值表!$D$30),0)</f>
        <v>0</v>
      </c>
      <c r="AA373" s="295">
        <f t="shared" si="8127"/>
        <v>0</v>
      </c>
      <c r="AB373" s="295">
        <f t="shared" si="8128"/>
        <v>0</v>
      </c>
      <c r="AC373" s="295">
        <f t="shared" si="8129"/>
        <v>0</v>
      </c>
      <c r="AD373" s="295">
        <f>ROUND(AC373*(1+取值表!$D$30),0)</f>
        <v>0</v>
      </c>
      <c r="AE373" s="295">
        <f t="shared" si="8130"/>
        <v>0</v>
      </c>
      <c r="AF373" s="295">
        <f t="shared" si="8131"/>
        <v>0</v>
      </c>
      <c r="AG373" s="295">
        <f t="shared" si="8132"/>
        <v>0</v>
      </c>
      <c r="AH373" s="295">
        <f>ROUND(AG373*(1+取值表!$D$30),0)</f>
        <v>0</v>
      </c>
      <c r="AI373" s="295">
        <f t="shared" si="8133"/>
        <v>0</v>
      </c>
      <c r="AJ373" s="295">
        <f t="shared" si="8134"/>
        <v>0</v>
      </c>
      <c r="AK373" s="295">
        <f t="shared" si="8135"/>
        <v>0</v>
      </c>
      <c r="AL373" s="295">
        <f>ROUND(AK373*(1+取值表!$D$30),0)</f>
        <v>0</v>
      </c>
      <c r="AM373" s="295">
        <f t="shared" si="8136"/>
        <v>0</v>
      </c>
      <c r="AN373" s="295">
        <f t="shared" si="8137"/>
        <v>0</v>
      </c>
      <c r="AO373" s="295">
        <f t="shared" si="8138"/>
        <v>0</v>
      </c>
      <c r="AP373" s="295">
        <f>ROUND(AO373*(1+取值表!$D$30),0)</f>
        <v>0</v>
      </c>
      <c r="AQ373" s="295">
        <f t="shared" si="8139"/>
        <v>0</v>
      </c>
      <c r="AR373" s="295">
        <f t="shared" si="8140"/>
        <v>0</v>
      </c>
      <c r="AS373" s="295">
        <f t="shared" si="8141"/>
        <v>0</v>
      </c>
      <c r="AT373" s="295">
        <f>ROUND(AS373*(1+取值表!$D$30),0)</f>
        <v>0</v>
      </c>
      <c r="AU373" s="295">
        <f t="shared" si="8142"/>
        <v>0</v>
      </c>
      <c r="AV373" s="295">
        <f t="shared" si="8143"/>
        <v>0</v>
      </c>
      <c r="AW373" s="295">
        <f t="shared" si="8144"/>
        <v>0</v>
      </c>
      <c r="AX373" s="295">
        <f>ROUND(AW373*(1+取值表!$D$30),0)</f>
        <v>0</v>
      </c>
      <c r="AY373" s="295">
        <f t="shared" si="8145"/>
        <v>0</v>
      </c>
      <c r="AZ373" s="295">
        <f t="shared" si="8146"/>
        <v>0</v>
      </c>
      <c r="BA373" s="295">
        <f t="shared" si="8147"/>
        <v>0</v>
      </c>
      <c r="BB373" s="295">
        <f>ROUND(BA373*(1+取值表!$D$30),0)</f>
        <v>0</v>
      </c>
      <c r="BC373" s="295">
        <f t="shared" si="8148"/>
        <v>0</v>
      </c>
      <c r="BD373" s="295">
        <f t="shared" si="8149"/>
        <v>0</v>
      </c>
      <c r="BE373" s="295">
        <f t="shared" si="8150"/>
        <v>0</v>
      </c>
      <c r="BF373" s="295">
        <f>ROUND(BE373*(1+取值表!$D$30),0)</f>
        <v>0</v>
      </c>
      <c r="BG373" s="295">
        <f t="shared" si="8151"/>
        <v>0</v>
      </c>
      <c r="BH373" s="295">
        <f t="shared" si="8152"/>
        <v>0</v>
      </c>
      <c r="BI373" s="295">
        <f t="shared" si="8153"/>
        <v>0</v>
      </c>
      <c r="BJ373" s="295">
        <f>ROUND(BI373*(1+取值表!$D$30),0)</f>
        <v>0</v>
      </c>
      <c r="BK373" s="295">
        <f t="shared" si="8154"/>
        <v>0</v>
      </c>
      <c r="BL373" s="295">
        <f t="shared" si="8155"/>
        <v>0</v>
      </c>
      <c r="BM373" s="295">
        <f t="shared" si="8156"/>
        <v>0</v>
      </c>
      <c r="BN373" s="295">
        <f>ROUND(BM373*(1+取值表!$D$30),0)</f>
        <v>0</v>
      </c>
      <c r="BO373" s="295">
        <f t="shared" si="8157"/>
        <v>0</v>
      </c>
      <c r="BP373" s="295">
        <f t="shared" si="8158"/>
        <v>0</v>
      </c>
      <c r="BQ373" s="295">
        <f t="shared" si="8159"/>
        <v>0</v>
      </c>
      <c r="BR373" s="295">
        <f>ROUND(BQ373*(1+取值表!$D$30),0)</f>
        <v>0</v>
      </c>
      <c r="BS373" s="295">
        <f t="shared" si="8160"/>
        <v>0</v>
      </c>
      <c r="BT373" s="295">
        <f t="shared" si="8161"/>
        <v>0</v>
      </c>
      <c r="BU373" s="295">
        <f t="shared" si="8162"/>
        <v>0</v>
      </c>
      <c r="BV373" s="295">
        <f>ROUND(BU373*(1+取值表!$D$30),0)</f>
        <v>0</v>
      </c>
      <c r="BW373" s="295">
        <f t="shared" si="8163"/>
        <v>0</v>
      </c>
      <c r="BX373" s="295">
        <f t="shared" si="8164"/>
        <v>0</v>
      </c>
      <c r="BY373" s="295">
        <f t="shared" si="8165"/>
        <v>0</v>
      </c>
      <c r="BZ373" s="295">
        <f>ROUND(BY373*(1+取值表!$D$30),0)</f>
        <v>0</v>
      </c>
      <c r="CA373" s="295">
        <f t="shared" si="8166"/>
        <v>0</v>
      </c>
      <c r="CB373" s="295">
        <f t="shared" si="8167"/>
        <v>0</v>
      </c>
      <c r="CC373" s="295">
        <f t="shared" si="8168"/>
        <v>0</v>
      </c>
      <c r="CD373" s="295">
        <f>ROUND(CC373*(1+取值表!$D$30),0)</f>
        <v>0</v>
      </c>
      <c r="CE373" s="295">
        <f t="shared" si="8169"/>
        <v>0</v>
      </c>
      <c r="CF373" s="295">
        <f t="shared" si="8170"/>
        <v>0</v>
      </c>
      <c r="CG373" s="295">
        <f t="shared" si="8171"/>
        <v>0</v>
      </c>
      <c r="CH373" s="295">
        <f>ROUND(CG373*(1+取值表!$D$30),0)</f>
        <v>0</v>
      </c>
      <c r="CI373" s="295">
        <f t="shared" si="8172"/>
        <v>0</v>
      </c>
      <c r="CJ373" s="295">
        <f t="shared" si="8173"/>
        <v>0</v>
      </c>
      <c r="CK373" s="295">
        <f t="shared" si="8174"/>
        <v>0</v>
      </c>
      <c r="CL373" s="295">
        <f>ROUND(CK373*(1+取值表!$D$30),0)</f>
        <v>0</v>
      </c>
      <c r="CM373" s="295">
        <f t="shared" si="8175"/>
        <v>0</v>
      </c>
      <c r="CN373" s="295">
        <f t="shared" si="8176"/>
        <v>0</v>
      </c>
      <c r="CO373" s="295">
        <f t="shared" si="8177"/>
        <v>0</v>
      </c>
      <c r="CP373" s="293">
        <f t="shared" si="7102"/>
        <v>0</v>
      </c>
    </row>
    <row r="374" spans="1:94" s="299" customFormat="1" ht="13.5" customHeight="1">
      <c r="A374" s="669">
        <v>191</v>
      </c>
      <c r="B374" s="658" t="s">
        <v>326</v>
      </c>
      <c r="C374" s="659" t="s">
        <v>264</v>
      </c>
      <c r="D374" s="647" t="s">
        <v>460</v>
      </c>
      <c r="E374" s="660"/>
      <c r="F374" s="661"/>
      <c r="G374" s="661"/>
      <c r="H374" s="662">
        <v>120000</v>
      </c>
      <c r="I374" s="298">
        <v>5000</v>
      </c>
      <c r="J374" s="292">
        <f>ROUND(H374/4*(1+取值表!$D$30)*取值表!$I$30,0)</f>
        <v>28399</v>
      </c>
      <c r="K374" s="295">
        <f t="shared" si="8118"/>
        <v>28399</v>
      </c>
      <c r="L374" s="295">
        <f t="shared" si="8118"/>
        <v>28399</v>
      </c>
      <c r="M374" s="295">
        <f t="shared" si="8118"/>
        <v>28399</v>
      </c>
      <c r="N374" s="294">
        <f>ROUND(M374*(1+取值表!$D$30),0)</f>
        <v>28569</v>
      </c>
      <c r="O374" s="295">
        <f t="shared" si="8119"/>
        <v>28569</v>
      </c>
      <c r="P374" s="295">
        <f t="shared" ref="P374" si="8180">O374</f>
        <v>28569</v>
      </c>
      <c r="Q374" s="295">
        <f t="shared" si="8121"/>
        <v>28569</v>
      </c>
      <c r="R374" s="295">
        <f>ROUND(Q374*(1+取值表!$D$30),0)</f>
        <v>28740</v>
      </c>
      <c r="S374" s="295">
        <f t="shared" ref="S374:T374" si="8181">R374</f>
        <v>28740</v>
      </c>
      <c r="T374" s="295">
        <f t="shared" si="8181"/>
        <v>28740</v>
      </c>
      <c r="U374" s="295">
        <f t="shared" si="8123"/>
        <v>28740</v>
      </c>
      <c r="V374" s="295">
        <f>ROUND(U374*(1+取值表!$D$30),0)</f>
        <v>28912</v>
      </c>
      <c r="W374" s="295">
        <f t="shared" si="8124"/>
        <v>28912</v>
      </c>
      <c r="X374" s="295">
        <f t="shared" si="8125"/>
        <v>28912</v>
      </c>
      <c r="Y374" s="295">
        <f t="shared" si="8126"/>
        <v>28912</v>
      </c>
      <c r="Z374" s="295">
        <f>ROUND(Y374*(1+取值表!$D$30),0)</f>
        <v>29085</v>
      </c>
      <c r="AA374" s="295">
        <f t="shared" si="8127"/>
        <v>29085</v>
      </c>
      <c r="AB374" s="295">
        <f t="shared" si="8128"/>
        <v>29085</v>
      </c>
      <c r="AC374" s="295">
        <f t="shared" si="8129"/>
        <v>29085</v>
      </c>
      <c r="AD374" s="295">
        <f>ROUND(AC374*(1+取值表!$D$30),0)</f>
        <v>29260</v>
      </c>
      <c r="AE374" s="295">
        <f t="shared" si="8130"/>
        <v>29260</v>
      </c>
      <c r="AF374" s="295">
        <f t="shared" si="8131"/>
        <v>29260</v>
      </c>
      <c r="AG374" s="295">
        <f t="shared" si="8132"/>
        <v>29260</v>
      </c>
      <c r="AH374" s="295">
        <f>ROUND(AG374*(1+取值表!$D$30),0)</f>
        <v>29436</v>
      </c>
      <c r="AI374" s="295">
        <f t="shared" si="8133"/>
        <v>29436</v>
      </c>
      <c r="AJ374" s="295">
        <f t="shared" si="8134"/>
        <v>29436</v>
      </c>
      <c r="AK374" s="295">
        <f t="shared" si="8135"/>
        <v>29436</v>
      </c>
      <c r="AL374" s="295">
        <f>ROUND(AK374*(1+取值表!$D$30),0)</f>
        <v>29613</v>
      </c>
      <c r="AM374" s="295">
        <f t="shared" si="8136"/>
        <v>29613</v>
      </c>
      <c r="AN374" s="295">
        <f t="shared" si="8137"/>
        <v>29613</v>
      </c>
      <c r="AO374" s="295">
        <f t="shared" si="8138"/>
        <v>29613</v>
      </c>
      <c r="AP374" s="295">
        <f>ROUND(AO374*(1+取值表!$D$30),0)</f>
        <v>29791</v>
      </c>
      <c r="AQ374" s="295">
        <f t="shared" si="8139"/>
        <v>29791</v>
      </c>
      <c r="AR374" s="295">
        <f t="shared" si="8140"/>
        <v>29791</v>
      </c>
      <c r="AS374" s="295">
        <f t="shared" si="8141"/>
        <v>29791</v>
      </c>
      <c r="AT374" s="295">
        <f>ROUND(AS374*(1+取值表!$D$30),0)</f>
        <v>29970</v>
      </c>
      <c r="AU374" s="295">
        <f t="shared" si="8142"/>
        <v>29970</v>
      </c>
      <c r="AV374" s="295">
        <f t="shared" si="8143"/>
        <v>29970</v>
      </c>
      <c r="AW374" s="295">
        <f t="shared" si="8144"/>
        <v>29970</v>
      </c>
      <c r="AX374" s="295">
        <f>ROUND(AW374*(1+取值表!$D$30),0)</f>
        <v>30150</v>
      </c>
      <c r="AY374" s="295">
        <f t="shared" si="8145"/>
        <v>30150</v>
      </c>
      <c r="AZ374" s="295">
        <f t="shared" si="8146"/>
        <v>30150</v>
      </c>
      <c r="BA374" s="295">
        <f t="shared" si="8147"/>
        <v>30150</v>
      </c>
      <c r="BB374" s="295">
        <f>ROUND(BA374*(1+取值表!$D$30),0)</f>
        <v>30331</v>
      </c>
      <c r="BC374" s="295">
        <f t="shared" si="8148"/>
        <v>30331</v>
      </c>
      <c r="BD374" s="295">
        <f t="shared" si="8149"/>
        <v>30331</v>
      </c>
      <c r="BE374" s="295">
        <f t="shared" si="8150"/>
        <v>30331</v>
      </c>
      <c r="BF374" s="295">
        <f>ROUND(BE374*(1+取值表!$D$30),0)</f>
        <v>30513</v>
      </c>
      <c r="BG374" s="295">
        <f t="shared" si="8151"/>
        <v>30513</v>
      </c>
      <c r="BH374" s="295">
        <f t="shared" si="8152"/>
        <v>30513</v>
      </c>
      <c r="BI374" s="295">
        <f t="shared" si="8153"/>
        <v>30513</v>
      </c>
      <c r="BJ374" s="295">
        <f>ROUND(BI374*(1+取值表!$D$30),0)</f>
        <v>30696</v>
      </c>
      <c r="BK374" s="295">
        <f t="shared" si="8154"/>
        <v>30696</v>
      </c>
      <c r="BL374" s="295">
        <f t="shared" si="8155"/>
        <v>30696</v>
      </c>
      <c r="BM374" s="295">
        <f t="shared" si="8156"/>
        <v>30696</v>
      </c>
      <c r="BN374" s="295">
        <f>ROUND(BM374*(1+取值表!$D$30),0)</f>
        <v>30880</v>
      </c>
      <c r="BO374" s="295">
        <f t="shared" si="8157"/>
        <v>30880</v>
      </c>
      <c r="BP374" s="295">
        <f t="shared" si="8158"/>
        <v>30880</v>
      </c>
      <c r="BQ374" s="295">
        <f t="shared" si="8159"/>
        <v>30880</v>
      </c>
      <c r="BR374" s="295">
        <f>ROUND(BQ374*(1+取值表!$D$30),0)</f>
        <v>31065</v>
      </c>
      <c r="BS374" s="295">
        <f t="shared" si="8160"/>
        <v>31065</v>
      </c>
      <c r="BT374" s="295">
        <f t="shared" si="8161"/>
        <v>31065</v>
      </c>
      <c r="BU374" s="295">
        <f t="shared" si="8162"/>
        <v>31065</v>
      </c>
      <c r="BV374" s="295">
        <f>ROUND(BU374*(1+取值表!$D$30),0)</f>
        <v>31251</v>
      </c>
      <c r="BW374" s="295">
        <f t="shared" si="8163"/>
        <v>31251</v>
      </c>
      <c r="BX374" s="295">
        <f t="shared" si="8164"/>
        <v>31251</v>
      </c>
      <c r="BY374" s="295">
        <f t="shared" si="8165"/>
        <v>31251</v>
      </c>
      <c r="BZ374" s="295">
        <f>ROUND(BY374*(1+取值表!$D$30),0)</f>
        <v>31439</v>
      </c>
      <c r="CA374" s="295">
        <f t="shared" si="8166"/>
        <v>31439</v>
      </c>
      <c r="CB374" s="295">
        <f t="shared" si="8167"/>
        <v>31439</v>
      </c>
      <c r="CC374" s="295">
        <f t="shared" si="8168"/>
        <v>31439</v>
      </c>
      <c r="CD374" s="295">
        <f>ROUND(CC374*(1+取值表!$D$30),0)</f>
        <v>31628</v>
      </c>
      <c r="CE374" s="295">
        <f t="shared" si="8169"/>
        <v>31628</v>
      </c>
      <c r="CF374" s="295">
        <f t="shared" si="8170"/>
        <v>31628</v>
      </c>
      <c r="CG374" s="295">
        <f t="shared" si="8171"/>
        <v>31628</v>
      </c>
      <c r="CH374" s="295">
        <f>ROUND(CG374*(1+取值表!$D$30),0)</f>
        <v>31818</v>
      </c>
      <c r="CI374" s="295">
        <f t="shared" si="8172"/>
        <v>31818</v>
      </c>
      <c r="CJ374" s="295">
        <f t="shared" si="8173"/>
        <v>31818</v>
      </c>
      <c r="CK374" s="295">
        <f t="shared" si="8174"/>
        <v>31818</v>
      </c>
      <c r="CL374" s="295">
        <f>ROUND(CK374*(1+取值表!$D$30),0)</f>
        <v>32009</v>
      </c>
      <c r="CM374" s="295">
        <f t="shared" si="8175"/>
        <v>32009</v>
      </c>
      <c r="CN374" s="295">
        <f t="shared" si="8176"/>
        <v>32009</v>
      </c>
      <c r="CO374" s="295">
        <f t="shared" si="8177"/>
        <v>32009</v>
      </c>
      <c r="CP374" s="293">
        <f t="shared" si="7102"/>
        <v>2534220</v>
      </c>
    </row>
    <row r="375" spans="1:94" s="299" customFormat="1">
      <c r="A375" s="670"/>
      <c r="B375" s="658"/>
      <c r="C375" s="659"/>
      <c r="D375" s="647"/>
      <c r="E375" s="660"/>
      <c r="F375" s="661"/>
      <c r="G375" s="661"/>
      <c r="H375" s="662"/>
      <c r="I375" s="298"/>
      <c r="J375" s="295"/>
      <c r="K375" s="295">
        <f t="shared" si="8118"/>
        <v>0</v>
      </c>
      <c r="L375" s="295">
        <f t="shared" si="8118"/>
        <v>0</v>
      </c>
      <c r="M375" s="295">
        <f t="shared" si="8118"/>
        <v>0</v>
      </c>
      <c r="N375" s="294"/>
      <c r="O375" s="295">
        <f t="shared" si="8119"/>
        <v>0</v>
      </c>
      <c r="P375" s="295">
        <f t="shared" ref="P375" si="8182">O375</f>
        <v>0</v>
      </c>
      <c r="Q375" s="295">
        <f t="shared" si="8121"/>
        <v>0</v>
      </c>
      <c r="R375" s="295">
        <f>ROUND(Q375*(1+取值表!$D$30),0)</f>
        <v>0</v>
      </c>
      <c r="S375" s="295">
        <f t="shared" ref="S375:T375" si="8183">R375</f>
        <v>0</v>
      </c>
      <c r="T375" s="295">
        <f t="shared" si="8183"/>
        <v>0</v>
      </c>
      <c r="U375" s="295">
        <f t="shared" si="8123"/>
        <v>0</v>
      </c>
      <c r="V375" s="295">
        <f>ROUND(U375*(1+取值表!$D$30),0)</f>
        <v>0</v>
      </c>
      <c r="W375" s="295">
        <f t="shared" si="8124"/>
        <v>0</v>
      </c>
      <c r="X375" s="295">
        <f t="shared" si="8125"/>
        <v>0</v>
      </c>
      <c r="Y375" s="295">
        <f t="shared" si="8126"/>
        <v>0</v>
      </c>
      <c r="Z375" s="295">
        <f>ROUND(Y375*(1+取值表!$D$30),0)</f>
        <v>0</v>
      </c>
      <c r="AA375" s="295">
        <f t="shared" si="8127"/>
        <v>0</v>
      </c>
      <c r="AB375" s="295">
        <f t="shared" si="8128"/>
        <v>0</v>
      </c>
      <c r="AC375" s="295">
        <f t="shared" si="8129"/>
        <v>0</v>
      </c>
      <c r="AD375" s="295">
        <f>ROUND(AC375*(1+取值表!$D$30),0)</f>
        <v>0</v>
      </c>
      <c r="AE375" s="295">
        <f t="shared" si="8130"/>
        <v>0</v>
      </c>
      <c r="AF375" s="295">
        <f t="shared" si="8131"/>
        <v>0</v>
      </c>
      <c r="AG375" s="295">
        <f t="shared" si="8132"/>
        <v>0</v>
      </c>
      <c r="AH375" s="295">
        <f>ROUND(AG375*(1+取值表!$D$30),0)</f>
        <v>0</v>
      </c>
      <c r="AI375" s="295">
        <f t="shared" si="8133"/>
        <v>0</v>
      </c>
      <c r="AJ375" s="295">
        <f t="shared" si="8134"/>
        <v>0</v>
      </c>
      <c r="AK375" s="295">
        <f t="shared" si="8135"/>
        <v>0</v>
      </c>
      <c r="AL375" s="295">
        <f>ROUND(AK375*(1+取值表!$D$30),0)</f>
        <v>0</v>
      </c>
      <c r="AM375" s="295">
        <f t="shared" si="8136"/>
        <v>0</v>
      </c>
      <c r="AN375" s="295">
        <f t="shared" si="8137"/>
        <v>0</v>
      </c>
      <c r="AO375" s="295">
        <f t="shared" si="8138"/>
        <v>0</v>
      </c>
      <c r="AP375" s="295">
        <f>ROUND(AO375*(1+取值表!$D$30),0)</f>
        <v>0</v>
      </c>
      <c r="AQ375" s="295">
        <f t="shared" si="8139"/>
        <v>0</v>
      </c>
      <c r="AR375" s="295">
        <f t="shared" si="8140"/>
        <v>0</v>
      </c>
      <c r="AS375" s="295">
        <f t="shared" si="8141"/>
        <v>0</v>
      </c>
      <c r="AT375" s="295">
        <f>ROUND(AS375*(1+取值表!$D$30),0)</f>
        <v>0</v>
      </c>
      <c r="AU375" s="295">
        <f t="shared" si="8142"/>
        <v>0</v>
      </c>
      <c r="AV375" s="295">
        <f t="shared" si="8143"/>
        <v>0</v>
      </c>
      <c r="AW375" s="295">
        <f t="shared" si="8144"/>
        <v>0</v>
      </c>
      <c r="AX375" s="295">
        <f>ROUND(AW375*(1+取值表!$D$30),0)</f>
        <v>0</v>
      </c>
      <c r="AY375" s="295">
        <f t="shared" si="8145"/>
        <v>0</v>
      </c>
      <c r="AZ375" s="295">
        <f t="shared" si="8146"/>
        <v>0</v>
      </c>
      <c r="BA375" s="295">
        <f t="shared" si="8147"/>
        <v>0</v>
      </c>
      <c r="BB375" s="295">
        <f>ROUND(BA375*(1+取值表!$D$30),0)</f>
        <v>0</v>
      </c>
      <c r="BC375" s="295">
        <f t="shared" si="8148"/>
        <v>0</v>
      </c>
      <c r="BD375" s="295">
        <f t="shared" si="8149"/>
        <v>0</v>
      </c>
      <c r="BE375" s="295">
        <f t="shared" si="8150"/>
        <v>0</v>
      </c>
      <c r="BF375" s="295">
        <f>ROUND(BE375*(1+取值表!$D$30),0)</f>
        <v>0</v>
      </c>
      <c r="BG375" s="295">
        <f t="shared" si="8151"/>
        <v>0</v>
      </c>
      <c r="BH375" s="295">
        <f t="shared" si="8152"/>
        <v>0</v>
      </c>
      <c r="BI375" s="295">
        <f t="shared" si="8153"/>
        <v>0</v>
      </c>
      <c r="BJ375" s="295">
        <f>ROUND(BI375*(1+取值表!$D$30),0)</f>
        <v>0</v>
      </c>
      <c r="BK375" s="295">
        <f t="shared" si="8154"/>
        <v>0</v>
      </c>
      <c r="BL375" s="295">
        <f t="shared" si="8155"/>
        <v>0</v>
      </c>
      <c r="BM375" s="295">
        <f t="shared" si="8156"/>
        <v>0</v>
      </c>
      <c r="BN375" s="295">
        <f>ROUND(BM375*(1+取值表!$D$30),0)</f>
        <v>0</v>
      </c>
      <c r="BO375" s="295">
        <f t="shared" si="8157"/>
        <v>0</v>
      </c>
      <c r="BP375" s="295">
        <f t="shared" si="8158"/>
        <v>0</v>
      </c>
      <c r="BQ375" s="295">
        <f t="shared" si="8159"/>
        <v>0</v>
      </c>
      <c r="BR375" s="295">
        <f>ROUND(BQ375*(1+取值表!$D$30),0)</f>
        <v>0</v>
      </c>
      <c r="BS375" s="295">
        <f t="shared" si="8160"/>
        <v>0</v>
      </c>
      <c r="BT375" s="295">
        <f t="shared" si="8161"/>
        <v>0</v>
      </c>
      <c r="BU375" s="295">
        <f t="shared" si="8162"/>
        <v>0</v>
      </c>
      <c r="BV375" s="295">
        <f>ROUND(BU375*(1+取值表!$D$30),0)</f>
        <v>0</v>
      </c>
      <c r="BW375" s="295">
        <f t="shared" si="8163"/>
        <v>0</v>
      </c>
      <c r="BX375" s="295">
        <f t="shared" si="8164"/>
        <v>0</v>
      </c>
      <c r="BY375" s="295">
        <f t="shared" si="8165"/>
        <v>0</v>
      </c>
      <c r="BZ375" s="295">
        <f>ROUND(BY375*(1+取值表!$D$30),0)</f>
        <v>0</v>
      </c>
      <c r="CA375" s="295">
        <f t="shared" si="8166"/>
        <v>0</v>
      </c>
      <c r="CB375" s="295">
        <f t="shared" si="8167"/>
        <v>0</v>
      </c>
      <c r="CC375" s="295">
        <f t="shared" si="8168"/>
        <v>0</v>
      </c>
      <c r="CD375" s="295">
        <f>ROUND(CC375*(1+取值表!$D$30),0)</f>
        <v>0</v>
      </c>
      <c r="CE375" s="295">
        <f t="shared" si="8169"/>
        <v>0</v>
      </c>
      <c r="CF375" s="295">
        <f t="shared" si="8170"/>
        <v>0</v>
      </c>
      <c r="CG375" s="295">
        <f t="shared" si="8171"/>
        <v>0</v>
      </c>
      <c r="CH375" s="295">
        <f>ROUND(CG375*(1+取值表!$D$30),0)</f>
        <v>0</v>
      </c>
      <c r="CI375" s="295">
        <f t="shared" si="8172"/>
        <v>0</v>
      </c>
      <c r="CJ375" s="295">
        <f t="shared" si="8173"/>
        <v>0</v>
      </c>
      <c r="CK375" s="295">
        <f t="shared" si="8174"/>
        <v>0</v>
      </c>
      <c r="CL375" s="295">
        <f>ROUND(CK375*(1+取值表!$D$30),0)</f>
        <v>0</v>
      </c>
      <c r="CM375" s="295">
        <f t="shared" si="8175"/>
        <v>0</v>
      </c>
      <c r="CN375" s="295">
        <f t="shared" si="8176"/>
        <v>0</v>
      </c>
      <c r="CO375" s="295">
        <f t="shared" si="8177"/>
        <v>0</v>
      </c>
      <c r="CP375" s="293">
        <f t="shared" si="7102"/>
        <v>0</v>
      </c>
    </row>
    <row r="376" spans="1:94" s="299" customFormat="1">
      <c r="A376" s="669">
        <v>192</v>
      </c>
      <c r="B376" s="658" t="s">
        <v>327</v>
      </c>
      <c r="C376" s="659" t="s">
        <v>328</v>
      </c>
      <c r="D376" s="647" t="s">
        <v>539</v>
      </c>
      <c r="E376" s="660"/>
      <c r="F376" s="661"/>
      <c r="G376" s="661"/>
      <c r="H376" s="662">
        <v>96000</v>
      </c>
      <c r="I376" s="298">
        <v>5000</v>
      </c>
      <c r="J376" s="292">
        <f>ROUND(H376/4*(1+取值表!$D$30)*取值表!$I$30,0)</f>
        <v>22720</v>
      </c>
      <c r="K376" s="295">
        <f t="shared" si="8118"/>
        <v>22720</v>
      </c>
      <c r="L376" s="295">
        <f t="shared" si="8118"/>
        <v>22720</v>
      </c>
      <c r="M376" s="295">
        <f t="shared" si="8118"/>
        <v>22720</v>
      </c>
      <c r="N376" s="294">
        <f>ROUND(M376*(1+取值表!$D$30),0)</f>
        <v>22856</v>
      </c>
      <c r="O376" s="295">
        <f t="shared" si="8119"/>
        <v>22856</v>
      </c>
      <c r="P376" s="295">
        <f t="shared" ref="P376" si="8184">O376</f>
        <v>22856</v>
      </c>
      <c r="Q376" s="295">
        <f t="shared" si="8121"/>
        <v>22856</v>
      </c>
      <c r="R376" s="295">
        <f>ROUND(Q376*(1+取值表!$D$30),0)</f>
        <v>22993</v>
      </c>
      <c r="S376" s="295">
        <f t="shared" ref="S376:T376" si="8185">R376</f>
        <v>22993</v>
      </c>
      <c r="T376" s="295">
        <f t="shared" si="8185"/>
        <v>22993</v>
      </c>
      <c r="U376" s="295">
        <f t="shared" si="8123"/>
        <v>22993</v>
      </c>
      <c r="V376" s="295">
        <f>ROUND(U376*(1+取值表!$D$30),0)</f>
        <v>23131</v>
      </c>
      <c r="W376" s="295">
        <f t="shared" si="8124"/>
        <v>23131</v>
      </c>
      <c r="X376" s="295">
        <f t="shared" si="8125"/>
        <v>23131</v>
      </c>
      <c r="Y376" s="295">
        <f t="shared" si="8126"/>
        <v>23131</v>
      </c>
      <c r="Z376" s="295">
        <f>ROUND(Y376*(1+取值表!$D$30),0)</f>
        <v>23270</v>
      </c>
      <c r="AA376" s="295">
        <f t="shared" si="8127"/>
        <v>23270</v>
      </c>
      <c r="AB376" s="295">
        <f t="shared" si="8128"/>
        <v>23270</v>
      </c>
      <c r="AC376" s="295">
        <f t="shared" si="8129"/>
        <v>23270</v>
      </c>
      <c r="AD376" s="295">
        <f>ROUND(AC376*(1+取值表!$D$30),0)</f>
        <v>23410</v>
      </c>
      <c r="AE376" s="295">
        <f t="shared" si="8130"/>
        <v>23410</v>
      </c>
      <c r="AF376" s="295">
        <f t="shared" si="8131"/>
        <v>23410</v>
      </c>
      <c r="AG376" s="295">
        <f t="shared" si="8132"/>
        <v>23410</v>
      </c>
      <c r="AH376" s="295">
        <f>ROUND(AG376*(1+取值表!$D$30),0)</f>
        <v>23550</v>
      </c>
      <c r="AI376" s="295">
        <f t="shared" si="8133"/>
        <v>23550</v>
      </c>
      <c r="AJ376" s="295">
        <f t="shared" si="8134"/>
        <v>23550</v>
      </c>
      <c r="AK376" s="295">
        <f t="shared" si="8135"/>
        <v>23550</v>
      </c>
      <c r="AL376" s="295">
        <f>ROUND(AK376*(1+取值表!$D$30),0)</f>
        <v>23691</v>
      </c>
      <c r="AM376" s="295">
        <f t="shared" si="8136"/>
        <v>23691</v>
      </c>
      <c r="AN376" s="295">
        <f t="shared" si="8137"/>
        <v>23691</v>
      </c>
      <c r="AO376" s="295">
        <f t="shared" si="8138"/>
        <v>23691</v>
      </c>
      <c r="AP376" s="295">
        <f>ROUND(AO376*(1+取值表!$D$30),0)</f>
        <v>23833</v>
      </c>
      <c r="AQ376" s="295">
        <f t="shared" si="8139"/>
        <v>23833</v>
      </c>
      <c r="AR376" s="295">
        <f t="shared" si="8140"/>
        <v>23833</v>
      </c>
      <c r="AS376" s="295">
        <f t="shared" si="8141"/>
        <v>23833</v>
      </c>
      <c r="AT376" s="295">
        <f>ROUND(AS376*(1+取值表!$D$30),0)</f>
        <v>23976</v>
      </c>
      <c r="AU376" s="295">
        <f t="shared" si="8142"/>
        <v>23976</v>
      </c>
      <c r="AV376" s="295">
        <f t="shared" si="8143"/>
        <v>23976</v>
      </c>
      <c r="AW376" s="295">
        <f t="shared" si="8144"/>
        <v>23976</v>
      </c>
      <c r="AX376" s="295">
        <f>ROUND(AW376*(1+取值表!$D$30),0)</f>
        <v>24120</v>
      </c>
      <c r="AY376" s="295">
        <f t="shared" si="8145"/>
        <v>24120</v>
      </c>
      <c r="AZ376" s="295">
        <f t="shared" si="8146"/>
        <v>24120</v>
      </c>
      <c r="BA376" s="295">
        <f t="shared" si="8147"/>
        <v>24120</v>
      </c>
      <c r="BB376" s="295">
        <f>ROUND(BA376*(1+取值表!$D$30),0)</f>
        <v>24265</v>
      </c>
      <c r="BC376" s="295">
        <f t="shared" si="8148"/>
        <v>24265</v>
      </c>
      <c r="BD376" s="295">
        <f t="shared" si="8149"/>
        <v>24265</v>
      </c>
      <c r="BE376" s="295">
        <f t="shared" si="8150"/>
        <v>24265</v>
      </c>
      <c r="BF376" s="295">
        <f>ROUND(BE376*(1+取值表!$D$30),0)</f>
        <v>24411</v>
      </c>
      <c r="BG376" s="295">
        <f t="shared" si="8151"/>
        <v>24411</v>
      </c>
      <c r="BH376" s="295">
        <f t="shared" si="8152"/>
        <v>24411</v>
      </c>
      <c r="BI376" s="295">
        <f t="shared" si="8153"/>
        <v>24411</v>
      </c>
      <c r="BJ376" s="295">
        <f>ROUND(BI376*(1+取值表!$D$30),0)</f>
        <v>24557</v>
      </c>
      <c r="BK376" s="295">
        <f t="shared" si="8154"/>
        <v>24557</v>
      </c>
      <c r="BL376" s="295">
        <f t="shared" si="8155"/>
        <v>24557</v>
      </c>
      <c r="BM376" s="295">
        <f t="shared" si="8156"/>
        <v>24557</v>
      </c>
      <c r="BN376" s="295">
        <f>ROUND(BM376*(1+取值表!$D$30),0)</f>
        <v>24704</v>
      </c>
      <c r="BO376" s="295">
        <f t="shared" si="8157"/>
        <v>24704</v>
      </c>
      <c r="BP376" s="295">
        <f t="shared" si="8158"/>
        <v>24704</v>
      </c>
      <c r="BQ376" s="295">
        <f t="shared" si="8159"/>
        <v>24704</v>
      </c>
      <c r="BR376" s="295">
        <f>ROUND(BQ376*(1+取值表!$D$30),0)</f>
        <v>24852</v>
      </c>
      <c r="BS376" s="295">
        <f t="shared" si="8160"/>
        <v>24852</v>
      </c>
      <c r="BT376" s="295">
        <f t="shared" si="8161"/>
        <v>24852</v>
      </c>
      <c r="BU376" s="295">
        <f t="shared" si="8162"/>
        <v>24852</v>
      </c>
      <c r="BV376" s="295">
        <f>ROUND(BU376*(1+取值表!$D$30),0)</f>
        <v>25001</v>
      </c>
      <c r="BW376" s="295">
        <f t="shared" si="8163"/>
        <v>25001</v>
      </c>
      <c r="BX376" s="295">
        <f t="shared" si="8164"/>
        <v>25001</v>
      </c>
      <c r="BY376" s="295">
        <f t="shared" si="8165"/>
        <v>25001</v>
      </c>
      <c r="BZ376" s="295">
        <f>ROUND(BY376*(1+取值表!$D$30),0)</f>
        <v>25151</v>
      </c>
      <c r="CA376" s="295">
        <f t="shared" si="8166"/>
        <v>25151</v>
      </c>
      <c r="CB376" s="295">
        <f t="shared" si="8167"/>
        <v>25151</v>
      </c>
      <c r="CC376" s="295">
        <f t="shared" si="8168"/>
        <v>25151</v>
      </c>
      <c r="CD376" s="295">
        <f>ROUND(CC376*(1+取值表!$D$30),0)</f>
        <v>25302</v>
      </c>
      <c r="CE376" s="295">
        <f t="shared" si="8169"/>
        <v>25302</v>
      </c>
      <c r="CF376" s="295">
        <f t="shared" si="8170"/>
        <v>25302</v>
      </c>
      <c r="CG376" s="295">
        <f t="shared" si="8171"/>
        <v>25302</v>
      </c>
      <c r="CH376" s="295">
        <f>ROUND(CG376*(1+取值表!$D$30),0)</f>
        <v>25454</v>
      </c>
      <c r="CI376" s="295">
        <f t="shared" si="8172"/>
        <v>25454</v>
      </c>
      <c r="CJ376" s="295">
        <f t="shared" si="8173"/>
        <v>25454</v>
      </c>
      <c r="CK376" s="295">
        <f t="shared" si="8174"/>
        <v>25454</v>
      </c>
      <c r="CL376" s="295">
        <f>ROUND(CK376*(1+取值表!$D$30),0)</f>
        <v>25607</v>
      </c>
      <c r="CM376" s="295">
        <f t="shared" si="8175"/>
        <v>25607</v>
      </c>
      <c r="CN376" s="295">
        <f t="shared" si="8176"/>
        <v>25607</v>
      </c>
      <c r="CO376" s="295">
        <f t="shared" si="8177"/>
        <v>25607</v>
      </c>
      <c r="CP376" s="293">
        <f t="shared" si="7102"/>
        <v>2027416</v>
      </c>
    </row>
    <row r="377" spans="1:94" s="299" customFormat="1">
      <c r="A377" s="670"/>
      <c r="B377" s="658"/>
      <c r="C377" s="659"/>
      <c r="D377" s="647"/>
      <c r="E377" s="660"/>
      <c r="F377" s="661"/>
      <c r="G377" s="661"/>
      <c r="H377" s="662"/>
      <c r="I377" s="298"/>
      <c r="J377" s="295"/>
      <c r="K377" s="295">
        <f t="shared" si="8118"/>
        <v>0</v>
      </c>
      <c r="L377" s="295">
        <f t="shared" si="8118"/>
        <v>0</v>
      </c>
      <c r="M377" s="295">
        <f t="shared" si="8118"/>
        <v>0</v>
      </c>
      <c r="N377" s="294"/>
      <c r="O377" s="295">
        <f t="shared" si="8119"/>
        <v>0</v>
      </c>
      <c r="P377" s="295">
        <f t="shared" ref="P377" si="8186">O377</f>
        <v>0</v>
      </c>
      <c r="Q377" s="295">
        <f t="shared" si="8121"/>
        <v>0</v>
      </c>
      <c r="R377" s="295">
        <f>ROUND(Q377*(1+取值表!$D$30),0)</f>
        <v>0</v>
      </c>
      <c r="S377" s="295">
        <f t="shared" ref="S377:T377" si="8187">R377</f>
        <v>0</v>
      </c>
      <c r="T377" s="295">
        <f t="shared" si="8187"/>
        <v>0</v>
      </c>
      <c r="U377" s="295">
        <f t="shared" si="8123"/>
        <v>0</v>
      </c>
      <c r="V377" s="295">
        <f>ROUND(U377*(1+取值表!$D$30),0)</f>
        <v>0</v>
      </c>
      <c r="W377" s="295">
        <f t="shared" si="8124"/>
        <v>0</v>
      </c>
      <c r="X377" s="295">
        <f t="shared" si="8125"/>
        <v>0</v>
      </c>
      <c r="Y377" s="295">
        <f t="shared" si="8126"/>
        <v>0</v>
      </c>
      <c r="Z377" s="295">
        <f>ROUND(Y377*(1+取值表!$D$30),0)</f>
        <v>0</v>
      </c>
      <c r="AA377" s="295">
        <f t="shared" si="8127"/>
        <v>0</v>
      </c>
      <c r="AB377" s="295">
        <f t="shared" si="8128"/>
        <v>0</v>
      </c>
      <c r="AC377" s="295">
        <f t="shared" si="8129"/>
        <v>0</v>
      </c>
      <c r="AD377" s="295">
        <f>ROUND(AC377*(1+取值表!$D$30),0)</f>
        <v>0</v>
      </c>
      <c r="AE377" s="295">
        <f t="shared" si="8130"/>
        <v>0</v>
      </c>
      <c r="AF377" s="295">
        <f t="shared" si="8131"/>
        <v>0</v>
      </c>
      <c r="AG377" s="295">
        <f t="shared" si="8132"/>
        <v>0</v>
      </c>
      <c r="AH377" s="295">
        <f>ROUND(AG377*(1+取值表!$D$30),0)</f>
        <v>0</v>
      </c>
      <c r="AI377" s="295">
        <f t="shared" si="8133"/>
        <v>0</v>
      </c>
      <c r="AJ377" s="295">
        <f t="shared" si="8134"/>
        <v>0</v>
      </c>
      <c r="AK377" s="295">
        <f t="shared" si="8135"/>
        <v>0</v>
      </c>
      <c r="AL377" s="295">
        <f>ROUND(AK377*(1+取值表!$D$30),0)</f>
        <v>0</v>
      </c>
      <c r="AM377" s="295">
        <f t="shared" si="8136"/>
        <v>0</v>
      </c>
      <c r="AN377" s="295">
        <f t="shared" si="8137"/>
        <v>0</v>
      </c>
      <c r="AO377" s="295">
        <f t="shared" si="8138"/>
        <v>0</v>
      </c>
      <c r="AP377" s="295">
        <f>ROUND(AO377*(1+取值表!$D$30),0)</f>
        <v>0</v>
      </c>
      <c r="AQ377" s="295">
        <f t="shared" si="8139"/>
        <v>0</v>
      </c>
      <c r="AR377" s="295">
        <f t="shared" si="8140"/>
        <v>0</v>
      </c>
      <c r="AS377" s="295">
        <f t="shared" si="8141"/>
        <v>0</v>
      </c>
      <c r="AT377" s="295">
        <f>ROUND(AS377*(1+取值表!$D$30),0)</f>
        <v>0</v>
      </c>
      <c r="AU377" s="295">
        <f t="shared" si="8142"/>
        <v>0</v>
      </c>
      <c r="AV377" s="295">
        <f t="shared" si="8143"/>
        <v>0</v>
      </c>
      <c r="AW377" s="295">
        <f t="shared" si="8144"/>
        <v>0</v>
      </c>
      <c r="AX377" s="295">
        <f>ROUND(AW377*(1+取值表!$D$30),0)</f>
        <v>0</v>
      </c>
      <c r="AY377" s="295">
        <f t="shared" si="8145"/>
        <v>0</v>
      </c>
      <c r="AZ377" s="295">
        <f t="shared" si="8146"/>
        <v>0</v>
      </c>
      <c r="BA377" s="295">
        <f t="shared" si="8147"/>
        <v>0</v>
      </c>
      <c r="BB377" s="295">
        <f>ROUND(BA377*(1+取值表!$D$30),0)</f>
        <v>0</v>
      </c>
      <c r="BC377" s="295">
        <f t="shared" si="8148"/>
        <v>0</v>
      </c>
      <c r="BD377" s="295">
        <f t="shared" si="8149"/>
        <v>0</v>
      </c>
      <c r="BE377" s="295">
        <f t="shared" si="8150"/>
        <v>0</v>
      </c>
      <c r="BF377" s="295">
        <f>ROUND(BE377*(1+取值表!$D$30),0)</f>
        <v>0</v>
      </c>
      <c r="BG377" s="295">
        <f t="shared" si="8151"/>
        <v>0</v>
      </c>
      <c r="BH377" s="295">
        <f t="shared" si="8152"/>
        <v>0</v>
      </c>
      <c r="BI377" s="295">
        <f t="shared" si="8153"/>
        <v>0</v>
      </c>
      <c r="BJ377" s="295">
        <f>ROUND(BI377*(1+取值表!$D$30),0)</f>
        <v>0</v>
      </c>
      <c r="BK377" s="295">
        <f t="shared" si="8154"/>
        <v>0</v>
      </c>
      <c r="BL377" s="295">
        <f t="shared" si="8155"/>
        <v>0</v>
      </c>
      <c r="BM377" s="295">
        <f t="shared" si="8156"/>
        <v>0</v>
      </c>
      <c r="BN377" s="295">
        <f>ROUND(BM377*(1+取值表!$D$30),0)</f>
        <v>0</v>
      </c>
      <c r="BO377" s="295">
        <f t="shared" si="8157"/>
        <v>0</v>
      </c>
      <c r="BP377" s="295">
        <f t="shared" si="8158"/>
        <v>0</v>
      </c>
      <c r="BQ377" s="295">
        <f t="shared" si="8159"/>
        <v>0</v>
      </c>
      <c r="BR377" s="295">
        <f>ROUND(BQ377*(1+取值表!$D$30),0)</f>
        <v>0</v>
      </c>
      <c r="BS377" s="295">
        <f t="shared" si="8160"/>
        <v>0</v>
      </c>
      <c r="BT377" s="295">
        <f t="shared" si="8161"/>
        <v>0</v>
      </c>
      <c r="BU377" s="295">
        <f t="shared" si="8162"/>
        <v>0</v>
      </c>
      <c r="BV377" s="295">
        <f>ROUND(BU377*(1+取值表!$D$30),0)</f>
        <v>0</v>
      </c>
      <c r="BW377" s="295">
        <f t="shared" si="8163"/>
        <v>0</v>
      </c>
      <c r="BX377" s="295">
        <f t="shared" si="8164"/>
        <v>0</v>
      </c>
      <c r="BY377" s="295">
        <f t="shared" si="8165"/>
        <v>0</v>
      </c>
      <c r="BZ377" s="295">
        <f>ROUND(BY377*(1+取值表!$D$30),0)</f>
        <v>0</v>
      </c>
      <c r="CA377" s="295">
        <f t="shared" si="8166"/>
        <v>0</v>
      </c>
      <c r="CB377" s="295">
        <f t="shared" si="8167"/>
        <v>0</v>
      </c>
      <c r="CC377" s="295">
        <f t="shared" si="8168"/>
        <v>0</v>
      </c>
      <c r="CD377" s="295">
        <f>ROUND(CC377*(1+取值表!$D$30),0)</f>
        <v>0</v>
      </c>
      <c r="CE377" s="295">
        <f t="shared" si="8169"/>
        <v>0</v>
      </c>
      <c r="CF377" s="295">
        <f t="shared" si="8170"/>
        <v>0</v>
      </c>
      <c r="CG377" s="295">
        <f t="shared" si="8171"/>
        <v>0</v>
      </c>
      <c r="CH377" s="295">
        <f>ROUND(CG377*(1+取值表!$D$30),0)</f>
        <v>0</v>
      </c>
      <c r="CI377" s="295">
        <f t="shared" si="8172"/>
        <v>0</v>
      </c>
      <c r="CJ377" s="295">
        <f t="shared" si="8173"/>
        <v>0</v>
      </c>
      <c r="CK377" s="295">
        <f t="shared" si="8174"/>
        <v>0</v>
      </c>
      <c r="CL377" s="295">
        <f>ROUND(CK377*(1+取值表!$D$30),0)</f>
        <v>0</v>
      </c>
      <c r="CM377" s="295">
        <f t="shared" si="8175"/>
        <v>0</v>
      </c>
      <c r="CN377" s="295">
        <f t="shared" si="8176"/>
        <v>0</v>
      </c>
      <c r="CO377" s="295">
        <f t="shared" si="8177"/>
        <v>0</v>
      </c>
      <c r="CP377" s="293">
        <f t="shared" si="7102"/>
        <v>0</v>
      </c>
    </row>
    <row r="378" spans="1:94" s="299" customFormat="1" ht="13.5" customHeight="1">
      <c r="A378" s="669">
        <v>193</v>
      </c>
      <c r="B378" s="658" t="s">
        <v>329</v>
      </c>
      <c r="C378" s="659" t="s">
        <v>82</v>
      </c>
      <c r="D378" s="647" t="s">
        <v>537</v>
      </c>
      <c r="E378" s="660"/>
      <c r="F378" s="661"/>
      <c r="G378" s="661"/>
      <c r="H378" s="662">
        <v>96000</v>
      </c>
      <c r="I378" s="298">
        <v>5000</v>
      </c>
      <c r="J378" s="292">
        <f>ROUND(H378/4*(1+取值表!$D$30)*取值表!$I$30,0)</f>
        <v>22720</v>
      </c>
      <c r="K378" s="295">
        <f t="shared" si="8118"/>
        <v>22720</v>
      </c>
      <c r="L378" s="295">
        <f t="shared" si="8118"/>
        <v>22720</v>
      </c>
      <c r="M378" s="295">
        <f t="shared" si="8118"/>
        <v>22720</v>
      </c>
      <c r="N378" s="294">
        <f>ROUND(M378*(1+取值表!$D$30),0)</f>
        <v>22856</v>
      </c>
      <c r="O378" s="295">
        <f t="shared" si="8119"/>
        <v>22856</v>
      </c>
      <c r="P378" s="295">
        <f t="shared" ref="P378" si="8188">O378</f>
        <v>22856</v>
      </c>
      <c r="Q378" s="295">
        <f t="shared" si="8121"/>
        <v>22856</v>
      </c>
      <c r="R378" s="295">
        <f>ROUND(Q378*(1+取值表!$D$30),0)</f>
        <v>22993</v>
      </c>
      <c r="S378" s="295">
        <f t="shared" ref="S378:T378" si="8189">R378</f>
        <v>22993</v>
      </c>
      <c r="T378" s="295">
        <f t="shared" si="8189"/>
        <v>22993</v>
      </c>
      <c r="U378" s="295">
        <f t="shared" si="8123"/>
        <v>22993</v>
      </c>
      <c r="V378" s="295">
        <f>ROUND(U378*(1+取值表!$D$30),0)</f>
        <v>23131</v>
      </c>
      <c r="W378" s="295">
        <f t="shared" si="8124"/>
        <v>23131</v>
      </c>
      <c r="X378" s="295">
        <f t="shared" si="8125"/>
        <v>23131</v>
      </c>
      <c r="Y378" s="295">
        <f t="shared" si="8126"/>
        <v>23131</v>
      </c>
      <c r="Z378" s="295">
        <f>ROUND(Y378*(1+取值表!$D$30),0)</f>
        <v>23270</v>
      </c>
      <c r="AA378" s="295">
        <f t="shared" si="8127"/>
        <v>23270</v>
      </c>
      <c r="AB378" s="295">
        <f t="shared" si="8128"/>
        <v>23270</v>
      </c>
      <c r="AC378" s="295">
        <f t="shared" si="8129"/>
        <v>23270</v>
      </c>
      <c r="AD378" s="295">
        <f>ROUND(AC378*(1+取值表!$D$30),0)</f>
        <v>23410</v>
      </c>
      <c r="AE378" s="295">
        <f t="shared" si="8130"/>
        <v>23410</v>
      </c>
      <c r="AF378" s="295">
        <f t="shared" si="8131"/>
        <v>23410</v>
      </c>
      <c r="AG378" s="295">
        <f t="shared" si="8132"/>
        <v>23410</v>
      </c>
      <c r="AH378" s="295">
        <f>ROUND(AG378*(1+取值表!$D$30),0)</f>
        <v>23550</v>
      </c>
      <c r="AI378" s="295">
        <f t="shared" si="8133"/>
        <v>23550</v>
      </c>
      <c r="AJ378" s="295">
        <f t="shared" si="8134"/>
        <v>23550</v>
      </c>
      <c r="AK378" s="295">
        <f t="shared" si="8135"/>
        <v>23550</v>
      </c>
      <c r="AL378" s="295">
        <f>ROUND(AK378*(1+取值表!$D$30),0)</f>
        <v>23691</v>
      </c>
      <c r="AM378" s="295">
        <f t="shared" si="8136"/>
        <v>23691</v>
      </c>
      <c r="AN378" s="295">
        <f t="shared" si="8137"/>
        <v>23691</v>
      </c>
      <c r="AO378" s="295">
        <f t="shared" si="8138"/>
        <v>23691</v>
      </c>
      <c r="AP378" s="295">
        <f>ROUND(AO378*(1+取值表!$D$30),0)</f>
        <v>23833</v>
      </c>
      <c r="AQ378" s="295">
        <f t="shared" si="8139"/>
        <v>23833</v>
      </c>
      <c r="AR378" s="295">
        <f t="shared" si="8140"/>
        <v>23833</v>
      </c>
      <c r="AS378" s="295">
        <f t="shared" si="8141"/>
        <v>23833</v>
      </c>
      <c r="AT378" s="295">
        <f>ROUND(AS378*(1+取值表!$D$30),0)</f>
        <v>23976</v>
      </c>
      <c r="AU378" s="295">
        <f t="shared" si="8142"/>
        <v>23976</v>
      </c>
      <c r="AV378" s="295">
        <f t="shared" si="8143"/>
        <v>23976</v>
      </c>
      <c r="AW378" s="295">
        <f t="shared" si="8144"/>
        <v>23976</v>
      </c>
      <c r="AX378" s="295">
        <f>ROUND(AW378*(1+取值表!$D$30),0)</f>
        <v>24120</v>
      </c>
      <c r="AY378" s="295">
        <f t="shared" si="8145"/>
        <v>24120</v>
      </c>
      <c r="AZ378" s="295">
        <f t="shared" si="8146"/>
        <v>24120</v>
      </c>
      <c r="BA378" s="295">
        <f t="shared" si="8147"/>
        <v>24120</v>
      </c>
      <c r="BB378" s="295">
        <f>ROUND(BA378*(1+取值表!$D$30),0)</f>
        <v>24265</v>
      </c>
      <c r="BC378" s="295">
        <f t="shared" si="8148"/>
        <v>24265</v>
      </c>
      <c r="BD378" s="295">
        <f t="shared" si="8149"/>
        <v>24265</v>
      </c>
      <c r="BE378" s="295">
        <f t="shared" si="8150"/>
        <v>24265</v>
      </c>
      <c r="BF378" s="295">
        <f>ROUND(BE378*(1+取值表!$D$30),0)</f>
        <v>24411</v>
      </c>
      <c r="BG378" s="295">
        <f t="shared" si="8151"/>
        <v>24411</v>
      </c>
      <c r="BH378" s="295">
        <f t="shared" si="8152"/>
        <v>24411</v>
      </c>
      <c r="BI378" s="295">
        <f t="shared" si="8153"/>
        <v>24411</v>
      </c>
      <c r="BJ378" s="295">
        <f>ROUND(BI378*(1+取值表!$D$30),0)</f>
        <v>24557</v>
      </c>
      <c r="BK378" s="295">
        <f t="shared" si="8154"/>
        <v>24557</v>
      </c>
      <c r="BL378" s="295">
        <f t="shared" si="8155"/>
        <v>24557</v>
      </c>
      <c r="BM378" s="295">
        <f t="shared" si="8156"/>
        <v>24557</v>
      </c>
      <c r="BN378" s="295">
        <f>ROUND(BM378*(1+取值表!$D$30),0)</f>
        <v>24704</v>
      </c>
      <c r="BO378" s="295">
        <f t="shared" si="8157"/>
        <v>24704</v>
      </c>
      <c r="BP378" s="295">
        <f t="shared" si="8158"/>
        <v>24704</v>
      </c>
      <c r="BQ378" s="295">
        <f t="shared" si="8159"/>
        <v>24704</v>
      </c>
      <c r="BR378" s="295">
        <f>ROUND(BQ378*(1+取值表!$D$30),0)</f>
        <v>24852</v>
      </c>
      <c r="BS378" s="295">
        <f t="shared" si="8160"/>
        <v>24852</v>
      </c>
      <c r="BT378" s="295">
        <f t="shared" si="8161"/>
        <v>24852</v>
      </c>
      <c r="BU378" s="295">
        <f t="shared" si="8162"/>
        <v>24852</v>
      </c>
      <c r="BV378" s="295">
        <f>ROUND(BU378*(1+取值表!$D$30),0)</f>
        <v>25001</v>
      </c>
      <c r="BW378" s="295">
        <f t="shared" si="8163"/>
        <v>25001</v>
      </c>
      <c r="BX378" s="295">
        <f t="shared" si="8164"/>
        <v>25001</v>
      </c>
      <c r="BY378" s="295">
        <f t="shared" si="8165"/>
        <v>25001</v>
      </c>
      <c r="BZ378" s="295">
        <f>ROUND(BY378*(1+取值表!$D$30),0)</f>
        <v>25151</v>
      </c>
      <c r="CA378" s="295">
        <f t="shared" si="8166"/>
        <v>25151</v>
      </c>
      <c r="CB378" s="295">
        <f t="shared" si="8167"/>
        <v>25151</v>
      </c>
      <c r="CC378" s="295">
        <f t="shared" si="8168"/>
        <v>25151</v>
      </c>
      <c r="CD378" s="295">
        <f>ROUND(CC378*(1+取值表!$D$30),0)</f>
        <v>25302</v>
      </c>
      <c r="CE378" s="295">
        <f t="shared" si="8169"/>
        <v>25302</v>
      </c>
      <c r="CF378" s="295">
        <f t="shared" si="8170"/>
        <v>25302</v>
      </c>
      <c r="CG378" s="295">
        <f t="shared" si="8171"/>
        <v>25302</v>
      </c>
      <c r="CH378" s="295">
        <f>ROUND(CG378*(1+取值表!$D$30),0)</f>
        <v>25454</v>
      </c>
      <c r="CI378" s="295">
        <f t="shared" si="8172"/>
        <v>25454</v>
      </c>
      <c r="CJ378" s="295">
        <f t="shared" si="8173"/>
        <v>25454</v>
      </c>
      <c r="CK378" s="295">
        <f t="shared" si="8174"/>
        <v>25454</v>
      </c>
      <c r="CL378" s="295">
        <f>ROUND(CK378*(1+取值表!$D$30),0)</f>
        <v>25607</v>
      </c>
      <c r="CM378" s="295">
        <f t="shared" si="8175"/>
        <v>25607</v>
      </c>
      <c r="CN378" s="295">
        <f t="shared" si="8176"/>
        <v>25607</v>
      </c>
      <c r="CO378" s="295">
        <f t="shared" si="8177"/>
        <v>25607</v>
      </c>
      <c r="CP378" s="293">
        <f t="shared" si="7102"/>
        <v>2027416</v>
      </c>
    </row>
    <row r="379" spans="1:94" s="299" customFormat="1">
      <c r="A379" s="670"/>
      <c r="B379" s="658"/>
      <c r="C379" s="659"/>
      <c r="D379" s="647"/>
      <c r="E379" s="660"/>
      <c r="F379" s="661"/>
      <c r="G379" s="661"/>
      <c r="H379" s="662"/>
      <c r="I379" s="298"/>
      <c r="J379" s="295"/>
      <c r="K379" s="295">
        <f t="shared" si="8118"/>
        <v>0</v>
      </c>
      <c r="L379" s="295">
        <f t="shared" si="8118"/>
        <v>0</v>
      </c>
      <c r="M379" s="295">
        <f t="shared" si="8118"/>
        <v>0</v>
      </c>
      <c r="N379" s="294"/>
      <c r="O379" s="295">
        <f t="shared" si="8119"/>
        <v>0</v>
      </c>
      <c r="P379" s="295">
        <f t="shared" ref="P379" si="8190">O379</f>
        <v>0</v>
      </c>
      <c r="Q379" s="295">
        <f t="shared" si="8121"/>
        <v>0</v>
      </c>
      <c r="R379" s="295">
        <f>ROUND(Q379*(1+取值表!$D$30),0)</f>
        <v>0</v>
      </c>
      <c r="S379" s="295">
        <f t="shared" ref="S379:T379" si="8191">R379</f>
        <v>0</v>
      </c>
      <c r="T379" s="295">
        <f t="shared" si="8191"/>
        <v>0</v>
      </c>
      <c r="U379" s="295">
        <f t="shared" si="8123"/>
        <v>0</v>
      </c>
      <c r="V379" s="295">
        <f>ROUND(U379*(1+取值表!$D$30),0)</f>
        <v>0</v>
      </c>
      <c r="W379" s="295">
        <f t="shared" si="8124"/>
        <v>0</v>
      </c>
      <c r="X379" s="295">
        <f t="shared" si="8125"/>
        <v>0</v>
      </c>
      <c r="Y379" s="295">
        <f t="shared" si="8126"/>
        <v>0</v>
      </c>
      <c r="Z379" s="295">
        <f>ROUND(Y379*(1+取值表!$D$30),0)</f>
        <v>0</v>
      </c>
      <c r="AA379" s="295">
        <f t="shared" si="8127"/>
        <v>0</v>
      </c>
      <c r="AB379" s="295">
        <f t="shared" si="8128"/>
        <v>0</v>
      </c>
      <c r="AC379" s="295">
        <f t="shared" si="8129"/>
        <v>0</v>
      </c>
      <c r="AD379" s="295">
        <f>ROUND(AC379*(1+取值表!$D$30),0)</f>
        <v>0</v>
      </c>
      <c r="AE379" s="295">
        <f t="shared" si="8130"/>
        <v>0</v>
      </c>
      <c r="AF379" s="295">
        <f t="shared" si="8131"/>
        <v>0</v>
      </c>
      <c r="AG379" s="295">
        <f t="shared" si="8132"/>
        <v>0</v>
      </c>
      <c r="AH379" s="295">
        <f>ROUND(AG379*(1+取值表!$D$30),0)</f>
        <v>0</v>
      </c>
      <c r="AI379" s="295">
        <f t="shared" si="8133"/>
        <v>0</v>
      </c>
      <c r="AJ379" s="295">
        <f t="shared" si="8134"/>
        <v>0</v>
      </c>
      <c r="AK379" s="295">
        <f t="shared" si="8135"/>
        <v>0</v>
      </c>
      <c r="AL379" s="295">
        <f>ROUND(AK379*(1+取值表!$D$30),0)</f>
        <v>0</v>
      </c>
      <c r="AM379" s="295">
        <f t="shared" si="8136"/>
        <v>0</v>
      </c>
      <c r="AN379" s="295">
        <f t="shared" si="8137"/>
        <v>0</v>
      </c>
      <c r="AO379" s="295">
        <f t="shared" si="8138"/>
        <v>0</v>
      </c>
      <c r="AP379" s="295">
        <f>ROUND(AO379*(1+取值表!$D$30),0)</f>
        <v>0</v>
      </c>
      <c r="AQ379" s="295">
        <f t="shared" si="8139"/>
        <v>0</v>
      </c>
      <c r="AR379" s="295">
        <f t="shared" si="8140"/>
        <v>0</v>
      </c>
      <c r="AS379" s="295">
        <f t="shared" si="8141"/>
        <v>0</v>
      </c>
      <c r="AT379" s="295">
        <f>ROUND(AS379*(1+取值表!$D$30),0)</f>
        <v>0</v>
      </c>
      <c r="AU379" s="295">
        <f t="shared" si="8142"/>
        <v>0</v>
      </c>
      <c r="AV379" s="295">
        <f t="shared" si="8143"/>
        <v>0</v>
      </c>
      <c r="AW379" s="295">
        <f t="shared" si="8144"/>
        <v>0</v>
      </c>
      <c r="AX379" s="295">
        <f>ROUND(AW379*(1+取值表!$D$30),0)</f>
        <v>0</v>
      </c>
      <c r="AY379" s="295">
        <f t="shared" si="8145"/>
        <v>0</v>
      </c>
      <c r="AZ379" s="295">
        <f t="shared" si="8146"/>
        <v>0</v>
      </c>
      <c r="BA379" s="295">
        <f t="shared" si="8147"/>
        <v>0</v>
      </c>
      <c r="BB379" s="295">
        <f>ROUND(BA379*(1+取值表!$D$30),0)</f>
        <v>0</v>
      </c>
      <c r="BC379" s="295">
        <f t="shared" si="8148"/>
        <v>0</v>
      </c>
      <c r="BD379" s="295">
        <f t="shared" si="8149"/>
        <v>0</v>
      </c>
      <c r="BE379" s="295">
        <f t="shared" si="8150"/>
        <v>0</v>
      </c>
      <c r="BF379" s="295">
        <f>ROUND(BE379*(1+取值表!$D$30),0)</f>
        <v>0</v>
      </c>
      <c r="BG379" s="295">
        <f t="shared" si="8151"/>
        <v>0</v>
      </c>
      <c r="BH379" s="295">
        <f t="shared" si="8152"/>
        <v>0</v>
      </c>
      <c r="BI379" s="295">
        <f t="shared" si="8153"/>
        <v>0</v>
      </c>
      <c r="BJ379" s="295">
        <f>ROUND(BI379*(1+取值表!$D$30),0)</f>
        <v>0</v>
      </c>
      <c r="BK379" s="295">
        <f t="shared" si="8154"/>
        <v>0</v>
      </c>
      <c r="BL379" s="295">
        <f t="shared" si="8155"/>
        <v>0</v>
      </c>
      <c r="BM379" s="295">
        <f t="shared" si="8156"/>
        <v>0</v>
      </c>
      <c r="BN379" s="295">
        <f>ROUND(BM379*(1+取值表!$D$30),0)</f>
        <v>0</v>
      </c>
      <c r="BO379" s="295">
        <f t="shared" si="8157"/>
        <v>0</v>
      </c>
      <c r="BP379" s="295">
        <f t="shared" si="8158"/>
        <v>0</v>
      </c>
      <c r="BQ379" s="295">
        <f t="shared" si="8159"/>
        <v>0</v>
      </c>
      <c r="BR379" s="295">
        <f>ROUND(BQ379*(1+取值表!$D$30),0)</f>
        <v>0</v>
      </c>
      <c r="BS379" s="295">
        <f t="shared" si="8160"/>
        <v>0</v>
      </c>
      <c r="BT379" s="295">
        <f t="shared" si="8161"/>
        <v>0</v>
      </c>
      <c r="BU379" s="295">
        <f t="shared" si="8162"/>
        <v>0</v>
      </c>
      <c r="BV379" s="295">
        <f>ROUND(BU379*(1+取值表!$D$30),0)</f>
        <v>0</v>
      </c>
      <c r="BW379" s="295">
        <f t="shared" si="8163"/>
        <v>0</v>
      </c>
      <c r="BX379" s="295">
        <f t="shared" si="8164"/>
        <v>0</v>
      </c>
      <c r="BY379" s="295">
        <f t="shared" si="8165"/>
        <v>0</v>
      </c>
      <c r="BZ379" s="295">
        <f>ROUND(BY379*(1+取值表!$D$30),0)</f>
        <v>0</v>
      </c>
      <c r="CA379" s="295">
        <f t="shared" si="8166"/>
        <v>0</v>
      </c>
      <c r="CB379" s="295">
        <f t="shared" si="8167"/>
        <v>0</v>
      </c>
      <c r="CC379" s="295">
        <f t="shared" si="8168"/>
        <v>0</v>
      </c>
      <c r="CD379" s="295">
        <f>ROUND(CC379*(1+取值表!$D$30),0)</f>
        <v>0</v>
      </c>
      <c r="CE379" s="295">
        <f t="shared" si="8169"/>
        <v>0</v>
      </c>
      <c r="CF379" s="295">
        <f t="shared" si="8170"/>
        <v>0</v>
      </c>
      <c r="CG379" s="295">
        <f t="shared" si="8171"/>
        <v>0</v>
      </c>
      <c r="CH379" s="295">
        <f>ROUND(CG379*(1+取值表!$D$30),0)</f>
        <v>0</v>
      </c>
      <c r="CI379" s="295">
        <f t="shared" si="8172"/>
        <v>0</v>
      </c>
      <c r="CJ379" s="295">
        <f t="shared" si="8173"/>
        <v>0</v>
      </c>
      <c r="CK379" s="295">
        <f t="shared" si="8174"/>
        <v>0</v>
      </c>
      <c r="CL379" s="295">
        <f>ROUND(CK379*(1+取值表!$D$30),0)</f>
        <v>0</v>
      </c>
      <c r="CM379" s="295">
        <f t="shared" si="8175"/>
        <v>0</v>
      </c>
      <c r="CN379" s="295">
        <f t="shared" si="8176"/>
        <v>0</v>
      </c>
      <c r="CO379" s="295">
        <f t="shared" si="8177"/>
        <v>0</v>
      </c>
      <c r="CP379" s="293">
        <f t="shared" si="7102"/>
        <v>0</v>
      </c>
    </row>
    <row r="380" spans="1:94" s="299" customFormat="1" ht="13.5" customHeight="1">
      <c r="A380" s="669">
        <v>194</v>
      </c>
      <c r="B380" s="658" t="s">
        <v>330</v>
      </c>
      <c r="C380" s="659" t="s">
        <v>315</v>
      </c>
      <c r="D380" s="647" t="s">
        <v>460</v>
      </c>
      <c r="E380" s="660"/>
      <c r="F380" s="661"/>
      <c r="G380" s="661"/>
      <c r="H380" s="662">
        <v>96000</v>
      </c>
      <c r="I380" s="298">
        <v>5000</v>
      </c>
      <c r="J380" s="292">
        <f>ROUND(H380/4*(1+取值表!$D$30)*取值表!$I$30,0)</f>
        <v>22720</v>
      </c>
      <c r="K380" s="295">
        <f t="shared" si="8118"/>
        <v>22720</v>
      </c>
      <c r="L380" s="295">
        <f t="shared" si="8118"/>
        <v>22720</v>
      </c>
      <c r="M380" s="295">
        <f t="shared" si="8118"/>
        <v>22720</v>
      </c>
      <c r="N380" s="294">
        <f>ROUND(M380*(1+取值表!$D$30),0)</f>
        <v>22856</v>
      </c>
      <c r="O380" s="295">
        <f t="shared" si="8119"/>
        <v>22856</v>
      </c>
      <c r="P380" s="295">
        <f t="shared" ref="P380" si="8192">O380</f>
        <v>22856</v>
      </c>
      <c r="Q380" s="295">
        <f t="shared" si="8121"/>
        <v>22856</v>
      </c>
      <c r="R380" s="295">
        <f>ROUND(Q380*(1+取值表!$D$30),0)</f>
        <v>22993</v>
      </c>
      <c r="S380" s="295">
        <f t="shared" ref="S380:T380" si="8193">R380</f>
        <v>22993</v>
      </c>
      <c r="T380" s="295">
        <f t="shared" si="8193"/>
        <v>22993</v>
      </c>
      <c r="U380" s="295">
        <f t="shared" si="8123"/>
        <v>22993</v>
      </c>
      <c r="V380" s="295">
        <f>ROUND(U380*(1+取值表!$D$30),0)</f>
        <v>23131</v>
      </c>
      <c r="W380" s="295">
        <f t="shared" si="8124"/>
        <v>23131</v>
      </c>
      <c r="X380" s="295">
        <f t="shared" si="8125"/>
        <v>23131</v>
      </c>
      <c r="Y380" s="295">
        <f t="shared" si="8126"/>
        <v>23131</v>
      </c>
      <c r="Z380" s="295">
        <f>ROUND(Y380*(1+取值表!$D$30),0)</f>
        <v>23270</v>
      </c>
      <c r="AA380" s="295">
        <f t="shared" si="8127"/>
        <v>23270</v>
      </c>
      <c r="AB380" s="295">
        <f t="shared" si="8128"/>
        <v>23270</v>
      </c>
      <c r="AC380" s="295">
        <f t="shared" si="8129"/>
        <v>23270</v>
      </c>
      <c r="AD380" s="295">
        <f>ROUND(AC380*(1+取值表!$D$30),0)</f>
        <v>23410</v>
      </c>
      <c r="AE380" s="295">
        <f t="shared" si="8130"/>
        <v>23410</v>
      </c>
      <c r="AF380" s="295">
        <f t="shared" si="8131"/>
        <v>23410</v>
      </c>
      <c r="AG380" s="295">
        <f t="shared" si="8132"/>
        <v>23410</v>
      </c>
      <c r="AH380" s="295">
        <f>ROUND(AG380*(1+取值表!$D$30),0)</f>
        <v>23550</v>
      </c>
      <c r="AI380" s="295">
        <f t="shared" si="8133"/>
        <v>23550</v>
      </c>
      <c r="AJ380" s="295">
        <f t="shared" si="8134"/>
        <v>23550</v>
      </c>
      <c r="AK380" s="295">
        <f t="shared" si="8135"/>
        <v>23550</v>
      </c>
      <c r="AL380" s="295">
        <f>ROUND(AK380*(1+取值表!$D$30),0)</f>
        <v>23691</v>
      </c>
      <c r="AM380" s="295">
        <f t="shared" si="8136"/>
        <v>23691</v>
      </c>
      <c r="AN380" s="295">
        <f t="shared" si="8137"/>
        <v>23691</v>
      </c>
      <c r="AO380" s="295">
        <f t="shared" si="8138"/>
        <v>23691</v>
      </c>
      <c r="AP380" s="295">
        <f>ROUND(AO380*(1+取值表!$D$30),0)</f>
        <v>23833</v>
      </c>
      <c r="AQ380" s="295">
        <f t="shared" si="8139"/>
        <v>23833</v>
      </c>
      <c r="AR380" s="295">
        <f t="shared" si="8140"/>
        <v>23833</v>
      </c>
      <c r="AS380" s="295">
        <f t="shared" si="8141"/>
        <v>23833</v>
      </c>
      <c r="AT380" s="295">
        <f>ROUND(AS380*(1+取值表!$D$30),0)</f>
        <v>23976</v>
      </c>
      <c r="AU380" s="295">
        <f t="shared" si="8142"/>
        <v>23976</v>
      </c>
      <c r="AV380" s="295">
        <f t="shared" si="8143"/>
        <v>23976</v>
      </c>
      <c r="AW380" s="295">
        <f t="shared" si="8144"/>
        <v>23976</v>
      </c>
      <c r="AX380" s="295">
        <f>ROUND(AW380*(1+取值表!$D$30),0)</f>
        <v>24120</v>
      </c>
      <c r="AY380" s="295">
        <f t="shared" si="8145"/>
        <v>24120</v>
      </c>
      <c r="AZ380" s="295">
        <f t="shared" si="8146"/>
        <v>24120</v>
      </c>
      <c r="BA380" s="295">
        <f t="shared" si="8147"/>
        <v>24120</v>
      </c>
      <c r="BB380" s="295">
        <f>ROUND(BA380*(1+取值表!$D$30),0)</f>
        <v>24265</v>
      </c>
      <c r="BC380" s="295">
        <f t="shared" si="8148"/>
        <v>24265</v>
      </c>
      <c r="BD380" s="295">
        <f t="shared" si="8149"/>
        <v>24265</v>
      </c>
      <c r="BE380" s="295">
        <f t="shared" si="8150"/>
        <v>24265</v>
      </c>
      <c r="BF380" s="295">
        <f>ROUND(BE380*(1+取值表!$D$30),0)</f>
        <v>24411</v>
      </c>
      <c r="BG380" s="295">
        <f t="shared" si="8151"/>
        <v>24411</v>
      </c>
      <c r="BH380" s="295">
        <f t="shared" si="8152"/>
        <v>24411</v>
      </c>
      <c r="BI380" s="295">
        <f t="shared" si="8153"/>
        <v>24411</v>
      </c>
      <c r="BJ380" s="295">
        <f>ROUND(BI380*(1+取值表!$D$30),0)</f>
        <v>24557</v>
      </c>
      <c r="BK380" s="295">
        <f t="shared" si="8154"/>
        <v>24557</v>
      </c>
      <c r="BL380" s="295">
        <f t="shared" si="8155"/>
        <v>24557</v>
      </c>
      <c r="BM380" s="295">
        <f t="shared" si="8156"/>
        <v>24557</v>
      </c>
      <c r="BN380" s="295">
        <f>ROUND(BM380*(1+取值表!$D$30),0)</f>
        <v>24704</v>
      </c>
      <c r="BO380" s="295">
        <f t="shared" si="8157"/>
        <v>24704</v>
      </c>
      <c r="BP380" s="295">
        <f t="shared" si="8158"/>
        <v>24704</v>
      </c>
      <c r="BQ380" s="295">
        <f t="shared" si="8159"/>
        <v>24704</v>
      </c>
      <c r="BR380" s="295">
        <f>ROUND(BQ380*(1+取值表!$D$30),0)</f>
        <v>24852</v>
      </c>
      <c r="BS380" s="295">
        <f t="shared" si="8160"/>
        <v>24852</v>
      </c>
      <c r="BT380" s="295">
        <f t="shared" si="8161"/>
        <v>24852</v>
      </c>
      <c r="BU380" s="295">
        <f t="shared" si="8162"/>
        <v>24852</v>
      </c>
      <c r="BV380" s="295">
        <f>ROUND(BU380*(1+取值表!$D$30),0)</f>
        <v>25001</v>
      </c>
      <c r="BW380" s="295">
        <f t="shared" si="8163"/>
        <v>25001</v>
      </c>
      <c r="BX380" s="295">
        <f t="shared" si="8164"/>
        <v>25001</v>
      </c>
      <c r="BY380" s="295">
        <f t="shared" si="8165"/>
        <v>25001</v>
      </c>
      <c r="BZ380" s="295">
        <f>ROUND(BY380*(1+取值表!$D$30),0)</f>
        <v>25151</v>
      </c>
      <c r="CA380" s="295">
        <f t="shared" si="8166"/>
        <v>25151</v>
      </c>
      <c r="CB380" s="295">
        <f t="shared" si="8167"/>
        <v>25151</v>
      </c>
      <c r="CC380" s="295">
        <f t="shared" si="8168"/>
        <v>25151</v>
      </c>
      <c r="CD380" s="295">
        <f>ROUND(CC380*(1+取值表!$D$30),0)</f>
        <v>25302</v>
      </c>
      <c r="CE380" s="295">
        <f t="shared" si="8169"/>
        <v>25302</v>
      </c>
      <c r="CF380" s="295">
        <f t="shared" si="8170"/>
        <v>25302</v>
      </c>
      <c r="CG380" s="295">
        <f t="shared" si="8171"/>
        <v>25302</v>
      </c>
      <c r="CH380" s="295">
        <f>ROUND(CG380*(1+取值表!$D$30),0)</f>
        <v>25454</v>
      </c>
      <c r="CI380" s="295">
        <f t="shared" si="8172"/>
        <v>25454</v>
      </c>
      <c r="CJ380" s="295">
        <f t="shared" si="8173"/>
        <v>25454</v>
      </c>
      <c r="CK380" s="295">
        <f t="shared" si="8174"/>
        <v>25454</v>
      </c>
      <c r="CL380" s="295">
        <f>ROUND(CK380*(1+取值表!$D$30),0)</f>
        <v>25607</v>
      </c>
      <c r="CM380" s="295">
        <f t="shared" si="8175"/>
        <v>25607</v>
      </c>
      <c r="CN380" s="295">
        <f t="shared" si="8176"/>
        <v>25607</v>
      </c>
      <c r="CO380" s="295">
        <f t="shared" si="8177"/>
        <v>25607</v>
      </c>
      <c r="CP380" s="293">
        <f t="shared" si="7102"/>
        <v>2027416</v>
      </c>
    </row>
    <row r="381" spans="1:94" s="299" customFormat="1">
      <c r="A381" s="670"/>
      <c r="B381" s="658"/>
      <c r="C381" s="659"/>
      <c r="D381" s="647"/>
      <c r="E381" s="660"/>
      <c r="F381" s="661"/>
      <c r="G381" s="661"/>
      <c r="H381" s="662"/>
      <c r="I381" s="298"/>
      <c r="J381" s="292"/>
      <c r="K381" s="295">
        <f t="shared" si="8118"/>
        <v>0</v>
      </c>
      <c r="L381" s="295">
        <f t="shared" si="8118"/>
        <v>0</v>
      </c>
      <c r="M381" s="295">
        <f t="shared" si="8118"/>
        <v>0</v>
      </c>
      <c r="N381" s="294"/>
      <c r="O381" s="295">
        <f t="shared" si="8119"/>
        <v>0</v>
      </c>
      <c r="P381" s="295">
        <f t="shared" ref="P381" si="8194">O381</f>
        <v>0</v>
      </c>
      <c r="Q381" s="295">
        <f t="shared" si="8121"/>
        <v>0</v>
      </c>
      <c r="R381" s="295">
        <f>ROUND(Q381*(1+取值表!$D$30),0)</f>
        <v>0</v>
      </c>
      <c r="S381" s="295">
        <f t="shared" ref="S381:T381" si="8195">R381</f>
        <v>0</v>
      </c>
      <c r="T381" s="295">
        <f t="shared" si="8195"/>
        <v>0</v>
      </c>
      <c r="U381" s="295">
        <f t="shared" si="8123"/>
        <v>0</v>
      </c>
      <c r="V381" s="295">
        <f>ROUND(U381*(1+取值表!$D$30),0)</f>
        <v>0</v>
      </c>
      <c r="W381" s="295">
        <f t="shared" si="8124"/>
        <v>0</v>
      </c>
      <c r="X381" s="295">
        <f t="shared" si="8125"/>
        <v>0</v>
      </c>
      <c r="Y381" s="295">
        <f t="shared" si="8126"/>
        <v>0</v>
      </c>
      <c r="Z381" s="295">
        <f>ROUND(Y381*(1+取值表!$D$30),0)</f>
        <v>0</v>
      </c>
      <c r="AA381" s="295">
        <f t="shared" si="8127"/>
        <v>0</v>
      </c>
      <c r="AB381" s="295">
        <f t="shared" si="8128"/>
        <v>0</v>
      </c>
      <c r="AC381" s="295">
        <f t="shared" si="8129"/>
        <v>0</v>
      </c>
      <c r="AD381" s="295">
        <f>ROUND(AC381*(1+取值表!$D$30),0)</f>
        <v>0</v>
      </c>
      <c r="AE381" s="295">
        <f t="shared" si="8130"/>
        <v>0</v>
      </c>
      <c r="AF381" s="295">
        <f t="shared" si="8131"/>
        <v>0</v>
      </c>
      <c r="AG381" s="295">
        <f t="shared" si="8132"/>
        <v>0</v>
      </c>
      <c r="AH381" s="295">
        <f>ROUND(AG381*(1+取值表!$D$30),0)</f>
        <v>0</v>
      </c>
      <c r="AI381" s="295">
        <f t="shared" si="8133"/>
        <v>0</v>
      </c>
      <c r="AJ381" s="295">
        <f t="shared" si="8134"/>
        <v>0</v>
      </c>
      <c r="AK381" s="295">
        <f t="shared" si="8135"/>
        <v>0</v>
      </c>
      <c r="AL381" s="295">
        <f>ROUND(AK381*(1+取值表!$D$30),0)</f>
        <v>0</v>
      </c>
      <c r="AM381" s="295">
        <f t="shared" si="8136"/>
        <v>0</v>
      </c>
      <c r="AN381" s="295">
        <f t="shared" si="8137"/>
        <v>0</v>
      </c>
      <c r="AO381" s="295">
        <f t="shared" si="8138"/>
        <v>0</v>
      </c>
      <c r="AP381" s="295">
        <f>ROUND(AO381*(1+取值表!$D$30),0)</f>
        <v>0</v>
      </c>
      <c r="AQ381" s="295">
        <f t="shared" si="8139"/>
        <v>0</v>
      </c>
      <c r="AR381" s="295">
        <f t="shared" si="8140"/>
        <v>0</v>
      </c>
      <c r="AS381" s="295">
        <f t="shared" si="8141"/>
        <v>0</v>
      </c>
      <c r="AT381" s="295">
        <f>ROUND(AS381*(1+取值表!$D$30),0)</f>
        <v>0</v>
      </c>
      <c r="AU381" s="295">
        <f t="shared" si="8142"/>
        <v>0</v>
      </c>
      <c r="AV381" s="295">
        <f t="shared" si="8143"/>
        <v>0</v>
      </c>
      <c r="AW381" s="295">
        <f t="shared" si="8144"/>
        <v>0</v>
      </c>
      <c r="AX381" s="295">
        <f>ROUND(AW381*(1+取值表!$D$30),0)</f>
        <v>0</v>
      </c>
      <c r="AY381" s="295">
        <f t="shared" si="8145"/>
        <v>0</v>
      </c>
      <c r="AZ381" s="295">
        <f t="shared" si="8146"/>
        <v>0</v>
      </c>
      <c r="BA381" s="295">
        <f t="shared" si="8147"/>
        <v>0</v>
      </c>
      <c r="BB381" s="295">
        <f>ROUND(BA381*(1+取值表!$D$30),0)</f>
        <v>0</v>
      </c>
      <c r="BC381" s="295">
        <f t="shared" si="8148"/>
        <v>0</v>
      </c>
      <c r="BD381" s="295">
        <f t="shared" si="8149"/>
        <v>0</v>
      </c>
      <c r="BE381" s="295">
        <f t="shared" si="8150"/>
        <v>0</v>
      </c>
      <c r="BF381" s="295">
        <f>ROUND(BE381*(1+取值表!$D$30),0)</f>
        <v>0</v>
      </c>
      <c r="BG381" s="295">
        <f t="shared" si="8151"/>
        <v>0</v>
      </c>
      <c r="BH381" s="295">
        <f t="shared" si="8152"/>
        <v>0</v>
      </c>
      <c r="BI381" s="295">
        <f t="shared" si="8153"/>
        <v>0</v>
      </c>
      <c r="BJ381" s="295">
        <f>ROUND(BI381*(1+取值表!$D$30),0)</f>
        <v>0</v>
      </c>
      <c r="BK381" s="295">
        <f t="shared" si="8154"/>
        <v>0</v>
      </c>
      <c r="BL381" s="295">
        <f t="shared" si="8155"/>
        <v>0</v>
      </c>
      <c r="BM381" s="295">
        <f t="shared" si="8156"/>
        <v>0</v>
      </c>
      <c r="BN381" s="295">
        <f>ROUND(BM381*(1+取值表!$D$30),0)</f>
        <v>0</v>
      </c>
      <c r="BO381" s="295">
        <f t="shared" si="8157"/>
        <v>0</v>
      </c>
      <c r="BP381" s="295">
        <f t="shared" si="8158"/>
        <v>0</v>
      </c>
      <c r="BQ381" s="295">
        <f t="shared" si="8159"/>
        <v>0</v>
      </c>
      <c r="BR381" s="295">
        <f>ROUND(BQ381*(1+取值表!$D$30),0)</f>
        <v>0</v>
      </c>
      <c r="BS381" s="295">
        <f t="shared" si="8160"/>
        <v>0</v>
      </c>
      <c r="BT381" s="295">
        <f t="shared" si="8161"/>
        <v>0</v>
      </c>
      <c r="BU381" s="295">
        <f t="shared" si="8162"/>
        <v>0</v>
      </c>
      <c r="BV381" s="295">
        <f>ROUND(BU381*(1+取值表!$D$30),0)</f>
        <v>0</v>
      </c>
      <c r="BW381" s="295">
        <f t="shared" si="8163"/>
        <v>0</v>
      </c>
      <c r="BX381" s="295">
        <f t="shared" si="8164"/>
        <v>0</v>
      </c>
      <c r="BY381" s="295">
        <f t="shared" si="8165"/>
        <v>0</v>
      </c>
      <c r="BZ381" s="295">
        <f>ROUND(BY381*(1+取值表!$D$30),0)</f>
        <v>0</v>
      </c>
      <c r="CA381" s="295">
        <f t="shared" si="8166"/>
        <v>0</v>
      </c>
      <c r="CB381" s="295">
        <f t="shared" si="8167"/>
        <v>0</v>
      </c>
      <c r="CC381" s="295">
        <f t="shared" si="8168"/>
        <v>0</v>
      </c>
      <c r="CD381" s="295">
        <f>ROUND(CC381*(1+取值表!$D$30),0)</f>
        <v>0</v>
      </c>
      <c r="CE381" s="295">
        <f t="shared" si="8169"/>
        <v>0</v>
      </c>
      <c r="CF381" s="295">
        <f t="shared" si="8170"/>
        <v>0</v>
      </c>
      <c r="CG381" s="295">
        <f t="shared" si="8171"/>
        <v>0</v>
      </c>
      <c r="CH381" s="295">
        <f>ROUND(CG381*(1+取值表!$D$30),0)</f>
        <v>0</v>
      </c>
      <c r="CI381" s="295">
        <f t="shared" si="8172"/>
        <v>0</v>
      </c>
      <c r="CJ381" s="295">
        <f t="shared" si="8173"/>
        <v>0</v>
      </c>
      <c r="CK381" s="295">
        <f t="shared" si="8174"/>
        <v>0</v>
      </c>
      <c r="CL381" s="295">
        <f>ROUND(CK381*(1+取值表!$D$30),0)</f>
        <v>0</v>
      </c>
      <c r="CM381" s="295">
        <f t="shared" si="8175"/>
        <v>0</v>
      </c>
      <c r="CN381" s="295">
        <f t="shared" si="8176"/>
        <v>0</v>
      </c>
      <c r="CO381" s="295">
        <f t="shared" si="8177"/>
        <v>0</v>
      </c>
      <c r="CP381" s="293">
        <f t="shared" si="7102"/>
        <v>0</v>
      </c>
    </row>
    <row r="382" spans="1:94" s="299" customFormat="1" ht="12" customHeight="1">
      <c r="A382" s="669">
        <v>195</v>
      </c>
      <c r="B382" s="658" t="s">
        <v>331</v>
      </c>
      <c r="C382" s="659" t="s">
        <v>12</v>
      </c>
      <c r="D382" s="647" t="s">
        <v>540</v>
      </c>
      <c r="E382" s="660"/>
      <c r="F382" s="661"/>
      <c r="G382" s="661"/>
      <c r="H382" s="662">
        <v>96000</v>
      </c>
      <c r="I382" s="298">
        <v>5000</v>
      </c>
      <c r="J382" s="292">
        <f>ROUND(H382/4*(1+取值表!$D$30)*取值表!$I$30,0)</f>
        <v>22720</v>
      </c>
      <c r="K382" s="295">
        <f t="shared" si="8118"/>
        <v>22720</v>
      </c>
      <c r="L382" s="295">
        <f t="shared" si="8118"/>
        <v>22720</v>
      </c>
      <c r="M382" s="295">
        <f t="shared" si="8118"/>
        <v>22720</v>
      </c>
      <c r="N382" s="294">
        <f>ROUND(M382*(1+取值表!$D$30),0)</f>
        <v>22856</v>
      </c>
      <c r="O382" s="295">
        <f t="shared" si="8119"/>
        <v>22856</v>
      </c>
      <c r="P382" s="295">
        <f t="shared" ref="P382" si="8196">O382</f>
        <v>22856</v>
      </c>
      <c r="Q382" s="295">
        <f t="shared" si="8121"/>
        <v>22856</v>
      </c>
      <c r="R382" s="295">
        <f>ROUND(Q382*(1+取值表!$D$30),0)</f>
        <v>22993</v>
      </c>
      <c r="S382" s="295">
        <f t="shared" ref="S382:T382" si="8197">R382</f>
        <v>22993</v>
      </c>
      <c r="T382" s="295">
        <f t="shared" si="8197"/>
        <v>22993</v>
      </c>
      <c r="U382" s="295">
        <f t="shared" si="8123"/>
        <v>22993</v>
      </c>
      <c r="V382" s="295">
        <f>ROUND(U382*(1+取值表!$D$30),0)</f>
        <v>23131</v>
      </c>
      <c r="W382" s="295">
        <f t="shared" si="8124"/>
        <v>23131</v>
      </c>
      <c r="X382" s="295">
        <f t="shared" si="8125"/>
        <v>23131</v>
      </c>
      <c r="Y382" s="295">
        <f t="shared" si="8126"/>
        <v>23131</v>
      </c>
      <c r="Z382" s="295">
        <f>ROUND(Y382*(1+取值表!$D$30),0)</f>
        <v>23270</v>
      </c>
      <c r="AA382" s="295">
        <f t="shared" si="8127"/>
        <v>23270</v>
      </c>
      <c r="AB382" s="295">
        <f t="shared" si="8128"/>
        <v>23270</v>
      </c>
      <c r="AC382" s="295">
        <f t="shared" si="8129"/>
        <v>23270</v>
      </c>
      <c r="AD382" s="295">
        <f>ROUND(AC382*(1+取值表!$D$30),0)</f>
        <v>23410</v>
      </c>
      <c r="AE382" s="295">
        <f t="shared" si="8130"/>
        <v>23410</v>
      </c>
      <c r="AF382" s="295">
        <f t="shared" si="8131"/>
        <v>23410</v>
      </c>
      <c r="AG382" s="295">
        <f t="shared" si="8132"/>
        <v>23410</v>
      </c>
      <c r="AH382" s="295">
        <f>ROUND(AG382*(1+取值表!$D$30),0)</f>
        <v>23550</v>
      </c>
      <c r="AI382" s="295">
        <f t="shared" si="8133"/>
        <v>23550</v>
      </c>
      <c r="AJ382" s="295">
        <f t="shared" si="8134"/>
        <v>23550</v>
      </c>
      <c r="AK382" s="295">
        <f t="shared" si="8135"/>
        <v>23550</v>
      </c>
      <c r="AL382" s="295">
        <f>ROUND(AK382*(1+取值表!$D$30),0)</f>
        <v>23691</v>
      </c>
      <c r="AM382" s="295">
        <f t="shared" si="8136"/>
        <v>23691</v>
      </c>
      <c r="AN382" s="295">
        <f t="shared" si="8137"/>
        <v>23691</v>
      </c>
      <c r="AO382" s="295">
        <f t="shared" si="8138"/>
        <v>23691</v>
      </c>
      <c r="AP382" s="295">
        <f>ROUND(AO382*(1+取值表!$D$30),0)</f>
        <v>23833</v>
      </c>
      <c r="AQ382" s="295">
        <f t="shared" si="8139"/>
        <v>23833</v>
      </c>
      <c r="AR382" s="295">
        <f t="shared" si="8140"/>
        <v>23833</v>
      </c>
      <c r="AS382" s="295">
        <f t="shared" si="8141"/>
        <v>23833</v>
      </c>
      <c r="AT382" s="295">
        <f>ROUND(AS382*(1+取值表!$D$30),0)</f>
        <v>23976</v>
      </c>
      <c r="AU382" s="295">
        <f t="shared" si="8142"/>
        <v>23976</v>
      </c>
      <c r="AV382" s="295">
        <f t="shared" si="8143"/>
        <v>23976</v>
      </c>
      <c r="AW382" s="295">
        <f t="shared" si="8144"/>
        <v>23976</v>
      </c>
      <c r="AX382" s="295">
        <f>ROUND(AW382*(1+取值表!$D$30),0)</f>
        <v>24120</v>
      </c>
      <c r="AY382" s="295">
        <f t="shared" si="8145"/>
        <v>24120</v>
      </c>
      <c r="AZ382" s="295">
        <f t="shared" si="8146"/>
        <v>24120</v>
      </c>
      <c r="BA382" s="295">
        <f t="shared" si="8147"/>
        <v>24120</v>
      </c>
      <c r="BB382" s="295">
        <f>ROUND(BA382*(1+取值表!$D$30),0)</f>
        <v>24265</v>
      </c>
      <c r="BC382" s="295">
        <f t="shared" si="8148"/>
        <v>24265</v>
      </c>
      <c r="BD382" s="295">
        <f t="shared" si="8149"/>
        <v>24265</v>
      </c>
      <c r="BE382" s="295">
        <f t="shared" si="8150"/>
        <v>24265</v>
      </c>
      <c r="BF382" s="295">
        <f>ROUND(BE382*(1+取值表!$D$30),0)</f>
        <v>24411</v>
      </c>
      <c r="BG382" s="295">
        <f t="shared" si="8151"/>
        <v>24411</v>
      </c>
      <c r="BH382" s="295">
        <f t="shared" si="8152"/>
        <v>24411</v>
      </c>
      <c r="BI382" s="295">
        <f t="shared" si="8153"/>
        <v>24411</v>
      </c>
      <c r="BJ382" s="295">
        <f>ROUND(BI382*(1+取值表!$D$30),0)</f>
        <v>24557</v>
      </c>
      <c r="BK382" s="295">
        <f t="shared" si="8154"/>
        <v>24557</v>
      </c>
      <c r="BL382" s="295">
        <f t="shared" si="8155"/>
        <v>24557</v>
      </c>
      <c r="BM382" s="295">
        <f t="shared" si="8156"/>
        <v>24557</v>
      </c>
      <c r="BN382" s="295">
        <f>ROUND(BM382*(1+取值表!$D$30),0)</f>
        <v>24704</v>
      </c>
      <c r="BO382" s="295">
        <f t="shared" si="8157"/>
        <v>24704</v>
      </c>
      <c r="BP382" s="295">
        <f t="shared" si="8158"/>
        <v>24704</v>
      </c>
      <c r="BQ382" s="295">
        <f t="shared" si="8159"/>
        <v>24704</v>
      </c>
      <c r="BR382" s="295">
        <f>ROUND(BQ382*(1+取值表!$D$30),0)</f>
        <v>24852</v>
      </c>
      <c r="BS382" s="295">
        <f t="shared" si="8160"/>
        <v>24852</v>
      </c>
      <c r="BT382" s="295">
        <f t="shared" si="8161"/>
        <v>24852</v>
      </c>
      <c r="BU382" s="295">
        <f t="shared" si="8162"/>
        <v>24852</v>
      </c>
      <c r="BV382" s="295">
        <f>ROUND(BU382*(1+取值表!$D$30),0)</f>
        <v>25001</v>
      </c>
      <c r="BW382" s="295">
        <f t="shared" si="8163"/>
        <v>25001</v>
      </c>
      <c r="BX382" s="295">
        <f t="shared" si="8164"/>
        <v>25001</v>
      </c>
      <c r="BY382" s="295">
        <f t="shared" si="8165"/>
        <v>25001</v>
      </c>
      <c r="BZ382" s="295">
        <f>ROUND(BY382*(1+取值表!$D$30),0)</f>
        <v>25151</v>
      </c>
      <c r="CA382" s="295">
        <f t="shared" si="8166"/>
        <v>25151</v>
      </c>
      <c r="CB382" s="295">
        <f t="shared" si="8167"/>
        <v>25151</v>
      </c>
      <c r="CC382" s="295">
        <f t="shared" si="8168"/>
        <v>25151</v>
      </c>
      <c r="CD382" s="295">
        <f>ROUND(CC382*(1+取值表!$D$30),0)</f>
        <v>25302</v>
      </c>
      <c r="CE382" s="295">
        <f t="shared" si="8169"/>
        <v>25302</v>
      </c>
      <c r="CF382" s="295">
        <f t="shared" si="8170"/>
        <v>25302</v>
      </c>
      <c r="CG382" s="295">
        <f t="shared" si="8171"/>
        <v>25302</v>
      </c>
      <c r="CH382" s="295">
        <f>ROUND(CG382*(1+取值表!$D$30),0)</f>
        <v>25454</v>
      </c>
      <c r="CI382" s="295">
        <f t="shared" si="8172"/>
        <v>25454</v>
      </c>
      <c r="CJ382" s="295">
        <f t="shared" si="8173"/>
        <v>25454</v>
      </c>
      <c r="CK382" s="295">
        <f t="shared" si="8174"/>
        <v>25454</v>
      </c>
      <c r="CL382" s="295">
        <f>ROUND(CK382*(1+取值表!$D$30),0)</f>
        <v>25607</v>
      </c>
      <c r="CM382" s="295">
        <f t="shared" si="8175"/>
        <v>25607</v>
      </c>
      <c r="CN382" s="295">
        <f t="shared" si="8176"/>
        <v>25607</v>
      </c>
      <c r="CO382" s="295">
        <f t="shared" si="8177"/>
        <v>25607</v>
      </c>
      <c r="CP382" s="293">
        <f t="shared" si="7102"/>
        <v>2027416</v>
      </c>
    </row>
    <row r="383" spans="1:94" s="299" customFormat="1">
      <c r="A383" s="670"/>
      <c r="B383" s="658"/>
      <c r="C383" s="659"/>
      <c r="D383" s="647"/>
      <c r="E383" s="660"/>
      <c r="F383" s="661"/>
      <c r="G383" s="661"/>
      <c r="H383" s="662"/>
      <c r="I383" s="298"/>
      <c r="J383" s="292"/>
      <c r="K383" s="295">
        <f t="shared" si="8118"/>
        <v>0</v>
      </c>
      <c r="L383" s="295">
        <f t="shared" si="8118"/>
        <v>0</v>
      </c>
      <c r="M383" s="295">
        <f t="shared" si="8118"/>
        <v>0</v>
      </c>
      <c r="N383" s="294"/>
      <c r="O383" s="295">
        <f t="shared" si="8119"/>
        <v>0</v>
      </c>
      <c r="P383" s="295">
        <f t="shared" ref="P383" si="8198">O383</f>
        <v>0</v>
      </c>
      <c r="Q383" s="295">
        <f t="shared" si="8121"/>
        <v>0</v>
      </c>
      <c r="R383" s="295">
        <f>ROUND(Q383*(1+取值表!$D$30),0)</f>
        <v>0</v>
      </c>
      <c r="S383" s="295">
        <f t="shared" ref="S383:T383" si="8199">R383</f>
        <v>0</v>
      </c>
      <c r="T383" s="295">
        <f t="shared" si="8199"/>
        <v>0</v>
      </c>
      <c r="U383" s="295">
        <f t="shared" si="8123"/>
        <v>0</v>
      </c>
      <c r="V383" s="295">
        <f>ROUND(U383*(1+取值表!$D$30),0)</f>
        <v>0</v>
      </c>
      <c r="W383" s="295">
        <f t="shared" si="8124"/>
        <v>0</v>
      </c>
      <c r="X383" s="295">
        <f t="shared" si="8125"/>
        <v>0</v>
      </c>
      <c r="Y383" s="295">
        <f t="shared" si="8126"/>
        <v>0</v>
      </c>
      <c r="Z383" s="295">
        <f>ROUND(Y383*(1+取值表!$D$30),0)</f>
        <v>0</v>
      </c>
      <c r="AA383" s="295">
        <f t="shared" si="8127"/>
        <v>0</v>
      </c>
      <c r="AB383" s="295">
        <f t="shared" si="8128"/>
        <v>0</v>
      </c>
      <c r="AC383" s="295">
        <f t="shared" si="8129"/>
        <v>0</v>
      </c>
      <c r="AD383" s="295">
        <f>ROUND(AC383*(1+取值表!$D$30),0)</f>
        <v>0</v>
      </c>
      <c r="AE383" s="295">
        <f t="shared" si="8130"/>
        <v>0</v>
      </c>
      <c r="AF383" s="295">
        <f t="shared" si="8131"/>
        <v>0</v>
      </c>
      <c r="AG383" s="295">
        <f t="shared" si="8132"/>
        <v>0</v>
      </c>
      <c r="AH383" s="295">
        <f>ROUND(AG383*(1+取值表!$D$30),0)</f>
        <v>0</v>
      </c>
      <c r="AI383" s="295">
        <f t="shared" si="8133"/>
        <v>0</v>
      </c>
      <c r="AJ383" s="295">
        <f t="shared" si="8134"/>
        <v>0</v>
      </c>
      <c r="AK383" s="295">
        <f t="shared" si="8135"/>
        <v>0</v>
      </c>
      <c r="AL383" s="295">
        <f>ROUND(AK383*(1+取值表!$D$30),0)</f>
        <v>0</v>
      </c>
      <c r="AM383" s="295">
        <f t="shared" si="8136"/>
        <v>0</v>
      </c>
      <c r="AN383" s="295">
        <f t="shared" si="8137"/>
        <v>0</v>
      </c>
      <c r="AO383" s="295">
        <f t="shared" si="8138"/>
        <v>0</v>
      </c>
      <c r="AP383" s="295">
        <f>ROUND(AO383*(1+取值表!$D$30),0)</f>
        <v>0</v>
      </c>
      <c r="AQ383" s="295">
        <f t="shared" si="8139"/>
        <v>0</v>
      </c>
      <c r="AR383" s="295">
        <f t="shared" si="8140"/>
        <v>0</v>
      </c>
      <c r="AS383" s="295">
        <f t="shared" si="8141"/>
        <v>0</v>
      </c>
      <c r="AT383" s="295">
        <f>ROUND(AS383*(1+取值表!$D$30),0)</f>
        <v>0</v>
      </c>
      <c r="AU383" s="295">
        <f t="shared" si="8142"/>
        <v>0</v>
      </c>
      <c r="AV383" s="295">
        <f t="shared" si="8143"/>
        <v>0</v>
      </c>
      <c r="AW383" s="295">
        <f t="shared" si="8144"/>
        <v>0</v>
      </c>
      <c r="AX383" s="295">
        <f>ROUND(AW383*(1+取值表!$D$30),0)</f>
        <v>0</v>
      </c>
      <c r="AY383" s="295">
        <f t="shared" si="8145"/>
        <v>0</v>
      </c>
      <c r="AZ383" s="295">
        <f t="shared" si="8146"/>
        <v>0</v>
      </c>
      <c r="BA383" s="295">
        <f t="shared" si="8147"/>
        <v>0</v>
      </c>
      <c r="BB383" s="295">
        <f>ROUND(BA383*(1+取值表!$D$30),0)</f>
        <v>0</v>
      </c>
      <c r="BC383" s="295">
        <f t="shared" si="8148"/>
        <v>0</v>
      </c>
      <c r="BD383" s="295">
        <f t="shared" si="8149"/>
        <v>0</v>
      </c>
      <c r="BE383" s="295">
        <f t="shared" si="8150"/>
        <v>0</v>
      </c>
      <c r="BF383" s="295">
        <f>ROUND(BE383*(1+取值表!$D$30),0)</f>
        <v>0</v>
      </c>
      <c r="BG383" s="295">
        <f t="shared" si="8151"/>
        <v>0</v>
      </c>
      <c r="BH383" s="295">
        <f t="shared" si="8152"/>
        <v>0</v>
      </c>
      <c r="BI383" s="295">
        <f t="shared" si="8153"/>
        <v>0</v>
      </c>
      <c r="BJ383" s="295">
        <f>ROUND(BI383*(1+取值表!$D$30),0)</f>
        <v>0</v>
      </c>
      <c r="BK383" s="295">
        <f t="shared" si="8154"/>
        <v>0</v>
      </c>
      <c r="BL383" s="295">
        <f t="shared" si="8155"/>
        <v>0</v>
      </c>
      <c r="BM383" s="295">
        <f t="shared" si="8156"/>
        <v>0</v>
      </c>
      <c r="BN383" s="295">
        <f>ROUND(BM383*(1+取值表!$D$30),0)</f>
        <v>0</v>
      </c>
      <c r="BO383" s="295">
        <f t="shared" si="8157"/>
        <v>0</v>
      </c>
      <c r="BP383" s="295">
        <f t="shared" si="8158"/>
        <v>0</v>
      </c>
      <c r="BQ383" s="295">
        <f t="shared" si="8159"/>
        <v>0</v>
      </c>
      <c r="BR383" s="295">
        <f>ROUND(BQ383*(1+取值表!$D$30),0)</f>
        <v>0</v>
      </c>
      <c r="BS383" s="295">
        <f t="shared" si="8160"/>
        <v>0</v>
      </c>
      <c r="BT383" s="295">
        <f t="shared" si="8161"/>
        <v>0</v>
      </c>
      <c r="BU383" s="295">
        <f t="shared" si="8162"/>
        <v>0</v>
      </c>
      <c r="BV383" s="295">
        <f>ROUND(BU383*(1+取值表!$D$30),0)</f>
        <v>0</v>
      </c>
      <c r="BW383" s="295">
        <f t="shared" si="8163"/>
        <v>0</v>
      </c>
      <c r="BX383" s="295">
        <f t="shared" si="8164"/>
        <v>0</v>
      </c>
      <c r="BY383" s="295">
        <f t="shared" si="8165"/>
        <v>0</v>
      </c>
      <c r="BZ383" s="295">
        <f>ROUND(BY383*(1+取值表!$D$30),0)</f>
        <v>0</v>
      </c>
      <c r="CA383" s="295">
        <f t="shared" si="8166"/>
        <v>0</v>
      </c>
      <c r="CB383" s="295">
        <f t="shared" si="8167"/>
        <v>0</v>
      </c>
      <c r="CC383" s="295">
        <f t="shared" si="8168"/>
        <v>0</v>
      </c>
      <c r="CD383" s="295">
        <f>ROUND(CC383*(1+取值表!$D$30),0)</f>
        <v>0</v>
      </c>
      <c r="CE383" s="295">
        <f t="shared" si="8169"/>
        <v>0</v>
      </c>
      <c r="CF383" s="295">
        <f t="shared" si="8170"/>
        <v>0</v>
      </c>
      <c r="CG383" s="295">
        <f t="shared" si="8171"/>
        <v>0</v>
      </c>
      <c r="CH383" s="295">
        <f>ROUND(CG383*(1+取值表!$D$30),0)</f>
        <v>0</v>
      </c>
      <c r="CI383" s="295">
        <f t="shared" si="8172"/>
        <v>0</v>
      </c>
      <c r="CJ383" s="295">
        <f t="shared" si="8173"/>
        <v>0</v>
      </c>
      <c r="CK383" s="295">
        <f t="shared" si="8174"/>
        <v>0</v>
      </c>
      <c r="CL383" s="295">
        <f>ROUND(CK383*(1+取值表!$D$30),0)</f>
        <v>0</v>
      </c>
      <c r="CM383" s="295">
        <f t="shared" si="8175"/>
        <v>0</v>
      </c>
      <c r="CN383" s="295">
        <f t="shared" si="8176"/>
        <v>0</v>
      </c>
      <c r="CO383" s="295">
        <f t="shared" si="8177"/>
        <v>0</v>
      </c>
      <c r="CP383" s="293">
        <f t="shared" si="7102"/>
        <v>0</v>
      </c>
    </row>
    <row r="384" spans="1:94" s="299" customFormat="1">
      <c r="A384" s="669">
        <v>196</v>
      </c>
      <c r="B384" s="658" t="s">
        <v>331</v>
      </c>
      <c r="C384" s="659" t="s">
        <v>758</v>
      </c>
      <c r="D384" s="647" t="s">
        <v>541</v>
      </c>
      <c r="E384" s="660"/>
      <c r="F384" s="661"/>
      <c r="G384" s="661"/>
      <c r="H384" s="662">
        <v>96000</v>
      </c>
      <c r="I384" s="298">
        <v>5000</v>
      </c>
      <c r="J384" s="292">
        <f>ROUND(H384/4*(1+取值表!$D$30)*取值表!$I$30,0)</f>
        <v>22720</v>
      </c>
      <c r="K384" s="295">
        <f t="shared" si="8118"/>
        <v>22720</v>
      </c>
      <c r="L384" s="295">
        <f t="shared" si="8118"/>
        <v>22720</v>
      </c>
      <c r="M384" s="295">
        <f t="shared" si="8118"/>
        <v>22720</v>
      </c>
      <c r="N384" s="294">
        <f>ROUND(M384*(1+取值表!$D$30),0)</f>
        <v>22856</v>
      </c>
      <c r="O384" s="295">
        <f t="shared" si="8119"/>
        <v>22856</v>
      </c>
      <c r="P384" s="295">
        <f t="shared" ref="P384" si="8200">O384</f>
        <v>22856</v>
      </c>
      <c r="Q384" s="295">
        <f t="shared" si="8121"/>
        <v>22856</v>
      </c>
      <c r="R384" s="295">
        <f>ROUND(Q384*(1+取值表!$D$30),0)</f>
        <v>22993</v>
      </c>
      <c r="S384" s="295">
        <f t="shared" ref="S384:T384" si="8201">R384</f>
        <v>22993</v>
      </c>
      <c r="T384" s="295">
        <f t="shared" si="8201"/>
        <v>22993</v>
      </c>
      <c r="U384" s="295">
        <f t="shared" si="8123"/>
        <v>22993</v>
      </c>
      <c r="V384" s="295">
        <f>ROUND(U384*(1+取值表!$D$30),0)</f>
        <v>23131</v>
      </c>
      <c r="W384" s="295">
        <f t="shared" si="8124"/>
        <v>23131</v>
      </c>
      <c r="X384" s="295">
        <f t="shared" si="8125"/>
        <v>23131</v>
      </c>
      <c r="Y384" s="295">
        <f t="shared" si="8126"/>
        <v>23131</v>
      </c>
      <c r="Z384" s="295">
        <f>ROUND(Y384*(1+取值表!$D$30),0)</f>
        <v>23270</v>
      </c>
      <c r="AA384" s="295">
        <f t="shared" si="8127"/>
        <v>23270</v>
      </c>
      <c r="AB384" s="295">
        <f t="shared" si="8128"/>
        <v>23270</v>
      </c>
      <c r="AC384" s="295">
        <f t="shared" si="8129"/>
        <v>23270</v>
      </c>
      <c r="AD384" s="295">
        <f>ROUND(AC384*(1+取值表!$D$30),0)</f>
        <v>23410</v>
      </c>
      <c r="AE384" s="295">
        <f t="shared" si="8130"/>
        <v>23410</v>
      </c>
      <c r="AF384" s="295">
        <f t="shared" si="8131"/>
        <v>23410</v>
      </c>
      <c r="AG384" s="295">
        <f t="shared" si="8132"/>
        <v>23410</v>
      </c>
      <c r="AH384" s="295">
        <f>ROUND(AG384*(1+取值表!$D$30),0)</f>
        <v>23550</v>
      </c>
      <c r="AI384" s="295">
        <f t="shared" si="8133"/>
        <v>23550</v>
      </c>
      <c r="AJ384" s="295">
        <f t="shared" si="8134"/>
        <v>23550</v>
      </c>
      <c r="AK384" s="295">
        <f t="shared" si="8135"/>
        <v>23550</v>
      </c>
      <c r="AL384" s="295">
        <f>ROUND(AK384*(1+取值表!$D$30),0)</f>
        <v>23691</v>
      </c>
      <c r="AM384" s="295">
        <f t="shared" si="8136"/>
        <v>23691</v>
      </c>
      <c r="AN384" s="295">
        <f t="shared" si="8137"/>
        <v>23691</v>
      </c>
      <c r="AO384" s="295">
        <f t="shared" si="8138"/>
        <v>23691</v>
      </c>
      <c r="AP384" s="295">
        <f>ROUND(AO384*(1+取值表!$D$30),0)</f>
        <v>23833</v>
      </c>
      <c r="AQ384" s="295">
        <f t="shared" si="8139"/>
        <v>23833</v>
      </c>
      <c r="AR384" s="295">
        <f t="shared" si="8140"/>
        <v>23833</v>
      </c>
      <c r="AS384" s="295">
        <f t="shared" si="8141"/>
        <v>23833</v>
      </c>
      <c r="AT384" s="295">
        <f>ROUND(AS384*(1+取值表!$D$30),0)</f>
        <v>23976</v>
      </c>
      <c r="AU384" s="295">
        <f t="shared" si="8142"/>
        <v>23976</v>
      </c>
      <c r="AV384" s="295">
        <f t="shared" si="8143"/>
        <v>23976</v>
      </c>
      <c r="AW384" s="295">
        <f t="shared" si="8144"/>
        <v>23976</v>
      </c>
      <c r="AX384" s="295">
        <f>ROUND(AW384*(1+取值表!$D$30),0)</f>
        <v>24120</v>
      </c>
      <c r="AY384" s="295">
        <f t="shared" si="8145"/>
        <v>24120</v>
      </c>
      <c r="AZ384" s="295">
        <f t="shared" si="8146"/>
        <v>24120</v>
      </c>
      <c r="BA384" s="295">
        <f t="shared" si="8147"/>
        <v>24120</v>
      </c>
      <c r="BB384" s="295">
        <f>ROUND(BA384*(1+取值表!$D$30),0)</f>
        <v>24265</v>
      </c>
      <c r="BC384" s="295">
        <f t="shared" si="8148"/>
        <v>24265</v>
      </c>
      <c r="BD384" s="295">
        <f t="shared" si="8149"/>
        <v>24265</v>
      </c>
      <c r="BE384" s="295">
        <f t="shared" si="8150"/>
        <v>24265</v>
      </c>
      <c r="BF384" s="295">
        <f>ROUND(BE384*(1+取值表!$D$30),0)</f>
        <v>24411</v>
      </c>
      <c r="BG384" s="295">
        <f t="shared" si="8151"/>
        <v>24411</v>
      </c>
      <c r="BH384" s="295">
        <f t="shared" si="8152"/>
        <v>24411</v>
      </c>
      <c r="BI384" s="295">
        <f t="shared" si="8153"/>
        <v>24411</v>
      </c>
      <c r="BJ384" s="295">
        <f>ROUND(BI384*(1+取值表!$D$30),0)</f>
        <v>24557</v>
      </c>
      <c r="BK384" s="295">
        <f t="shared" si="8154"/>
        <v>24557</v>
      </c>
      <c r="BL384" s="295">
        <f t="shared" si="8155"/>
        <v>24557</v>
      </c>
      <c r="BM384" s="295">
        <f t="shared" si="8156"/>
        <v>24557</v>
      </c>
      <c r="BN384" s="295">
        <f>ROUND(BM384*(1+取值表!$D$30),0)</f>
        <v>24704</v>
      </c>
      <c r="BO384" s="295">
        <f t="shared" si="8157"/>
        <v>24704</v>
      </c>
      <c r="BP384" s="295">
        <f t="shared" si="8158"/>
        <v>24704</v>
      </c>
      <c r="BQ384" s="295">
        <f t="shared" si="8159"/>
        <v>24704</v>
      </c>
      <c r="BR384" s="295">
        <f>ROUND(BQ384*(1+取值表!$D$30),0)</f>
        <v>24852</v>
      </c>
      <c r="BS384" s="295">
        <f t="shared" si="8160"/>
        <v>24852</v>
      </c>
      <c r="BT384" s="295">
        <f t="shared" si="8161"/>
        <v>24852</v>
      </c>
      <c r="BU384" s="295">
        <f t="shared" si="8162"/>
        <v>24852</v>
      </c>
      <c r="BV384" s="295">
        <f>ROUND(BU384*(1+取值表!$D$30),0)</f>
        <v>25001</v>
      </c>
      <c r="BW384" s="295">
        <f t="shared" si="8163"/>
        <v>25001</v>
      </c>
      <c r="BX384" s="295">
        <f t="shared" si="8164"/>
        <v>25001</v>
      </c>
      <c r="BY384" s="295">
        <f t="shared" si="8165"/>
        <v>25001</v>
      </c>
      <c r="BZ384" s="295">
        <f>ROUND(BY384*(1+取值表!$D$30),0)</f>
        <v>25151</v>
      </c>
      <c r="CA384" s="295">
        <f t="shared" si="8166"/>
        <v>25151</v>
      </c>
      <c r="CB384" s="295">
        <f t="shared" si="8167"/>
        <v>25151</v>
      </c>
      <c r="CC384" s="295">
        <f t="shared" si="8168"/>
        <v>25151</v>
      </c>
      <c r="CD384" s="295">
        <f>ROUND(CC384*(1+取值表!$D$30),0)</f>
        <v>25302</v>
      </c>
      <c r="CE384" s="295">
        <f t="shared" si="8169"/>
        <v>25302</v>
      </c>
      <c r="CF384" s="295">
        <f t="shared" si="8170"/>
        <v>25302</v>
      </c>
      <c r="CG384" s="295">
        <f t="shared" si="8171"/>
        <v>25302</v>
      </c>
      <c r="CH384" s="295">
        <f>ROUND(CG384*(1+取值表!$D$30),0)</f>
        <v>25454</v>
      </c>
      <c r="CI384" s="295">
        <f t="shared" si="8172"/>
        <v>25454</v>
      </c>
      <c r="CJ384" s="295">
        <f t="shared" si="8173"/>
        <v>25454</v>
      </c>
      <c r="CK384" s="295">
        <f t="shared" si="8174"/>
        <v>25454</v>
      </c>
      <c r="CL384" s="295">
        <f>ROUND(CK384*(1+取值表!$D$30),0)</f>
        <v>25607</v>
      </c>
      <c r="CM384" s="295">
        <f t="shared" si="8175"/>
        <v>25607</v>
      </c>
      <c r="CN384" s="295">
        <f t="shared" si="8176"/>
        <v>25607</v>
      </c>
      <c r="CO384" s="295">
        <f t="shared" si="8177"/>
        <v>25607</v>
      </c>
      <c r="CP384" s="293">
        <f t="shared" si="7102"/>
        <v>2027416</v>
      </c>
    </row>
    <row r="385" spans="1:94" s="299" customFormat="1">
      <c r="A385" s="670"/>
      <c r="B385" s="658"/>
      <c r="C385" s="659"/>
      <c r="D385" s="647"/>
      <c r="E385" s="660"/>
      <c r="F385" s="661"/>
      <c r="G385" s="661"/>
      <c r="H385" s="662"/>
      <c r="I385" s="298"/>
      <c r="J385" s="292"/>
      <c r="K385" s="295">
        <f t="shared" si="8118"/>
        <v>0</v>
      </c>
      <c r="L385" s="295">
        <f t="shared" si="8118"/>
        <v>0</v>
      </c>
      <c r="M385" s="295">
        <f t="shared" si="8118"/>
        <v>0</v>
      </c>
      <c r="N385" s="294"/>
      <c r="O385" s="295">
        <f t="shared" si="8119"/>
        <v>0</v>
      </c>
      <c r="P385" s="295">
        <f t="shared" ref="P385" si="8202">O385</f>
        <v>0</v>
      </c>
      <c r="Q385" s="295">
        <f t="shared" si="8121"/>
        <v>0</v>
      </c>
      <c r="R385" s="295">
        <f>ROUND(Q385*(1+取值表!$D$30),0)</f>
        <v>0</v>
      </c>
      <c r="S385" s="295">
        <f t="shared" ref="S385:T385" si="8203">R385</f>
        <v>0</v>
      </c>
      <c r="T385" s="295">
        <f t="shared" si="8203"/>
        <v>0</v>
      </c>
      <c r="U385" s="295">
        <f t="shared" si="8123"/>
        <v>0</v>
      </c>
      <c r="V385" s="295">
        <f>ROUND(U385*(1+取值表!$D$30),0)</f>
        <v>0</v>
      </c>
      <c r="W385" s="295">
        <f t="shared" si="8124"/>
        <v>0</v>
      </c>
      <c r="X385" s="295">
        <f t="shared" si="8125"/>
        <v>0</v>
      </c>
      <c r="Y385" s="295">
        <f t="shared" si="8126"/>
        <v>0</v>
      </c>
      <c r="Z385" s="295">
        <f>ROUND(Y385*(1+取值表!$D$30),0)</f>
        <v>0</v>
      </c>
      <c r="AA385" s="295">
        <f t="shared" si="8127"/>
        <v>0</v>
      </c>
      <c r="AB385" s="295">
        <f t="shared" si="8128"/>
        <v>0</v>
      </c>
      <c r="AC385" s="295">
        <f t="shared" si="8129"/>
        <v>0</v>
      </c>
      <c r="AD385" s="295">
        <f>ROUND(AC385*(1+取值表!$D$30),0)</f>
        <v>0</v>
      </c>
      <c r="AE385" s="295">
        <f t="shared" si="8130"/>
        <v>0</v>
      </c>
      <c r="AF385" s="295">
        <f t="shared" si="8131"/>
        <v>0</v>
      </c>
      <c r="AG385" s="295">
        <f t="shared" si="8132"/>
        <v>0</v>
      </c>
      <c r="AH385" s="295">
        <f>ROUND(AG385*(1+取值表!$D$30),0)</f>
        <v>0</v>
      </c>
      <c r="AI385" s="295">
        <f t="shared" si="8133"/>
        <v>0</v>
      </c>
      <c r="AJ385" s="295">
        <f t="shared" si="8134"/>
        <v>0</v>
      </c>
      <c r="AK385" s="295">
        <f t="shared" si="8135"/>
        <v>0</v>
      </c>
      <c r="AL385" s="295">
        <f>ROUND(AK385*(1+取值表!$D$30),0)</f>
        <v>0</v>
      </c>
      <c r="AM385" s="295">
        <f t="shared" si="8136"/>
        <v>0</v>
      </c>
      <c r="AN385" s="295">
        <f t="shared" si="8137"/>
        <v>0</v>
      </c>
      <c r="AO385" s="295">
        <f t="shared" si="8138"/>
        <v>0</v>
      </c>
      <c r="AP385" s="295">
        <f>ROUND(AO385*(1+取值表!$D$30),0)</f>
        <v>0</v>
      </c>
      <c r="AQ385" s="295">
        <f t="shared" si="8139"/>
        <v>0</v>
      </c>
      <c r="AR385" s="295">
        <f t="shared" si="8140"/>
        <v>0</v>
      </c>
      <c r="AS385" s="295">
        <f t="shared" si="8141"/>
        <v>0</v>
      </c>
      <c r="AT385" s="295">
        <f>ROUND(AS385*(1+取值表!$D$30),0)</f>
        <v>0</v>
      </c>
      <c r="AU385" s="295">
        <f t="shared" si="8142"/>
        <v>0</v>
      </c>
      <c r="AV385" s="295">
        <f t="shared" si="8143"/>
        <v>0</v>
      </c>
      <c r="AW385" s="295">
        <f t="shared" si="8144"/>
        <v>0</v>
      </c>
      <c r="AX385" s="295">
        <f>ROUND(AW385*(1+取值表!$D$30),0)</f>
        <v>0</v>
      </c>
      <c r="AY385" s="295">
        <f t="shared" si="8145"/>
        <v>0</v>
      </c>
      <c r="AZ385" s="295">
        <f t="shared" si="8146"/>
        <v>0</v>
      </c>
      <c r="BA385" s="295">
        <f t="shared" si="8147"/>
        <v>0</v>
      </c>
      <c r="BB385" s="295">
        <f>ROUND(BA385*(1+取值表!$D$30),0)</f>
        <v>0</v>
      </c>
      <c r="BC385" s="295">
        <f t="shared" si="8148"/>
        <v>0</v>
      </c>
      <c r="BD385" s="295">
        <f t="shared" si="8149"/>
        <v>0</v>
      </c>
      <c r="BE385" s="295">
        <f t="shared" si="8150"/>
        <v>0</v>
      </c>
      <c r="BF385" s="295">
        <f>ROUND(BE385*(1+取值表!$D$30),0)</f>
        <v>0</v>
      </c>
      <c r="BG385" s="295">
        <f t="shared" si="8151"/>
        <v>0</v>
      </c>
      <c r="BH385" s="295">
        <f t="shared" si="8152"/>
        <v>0</v>
      </c>
      <c r="BI385" s="295">
        <f t="shared" si="8153"/>
        <v>0</v>
      </c>
      <c r="BJ385" s="295">
        <f>ROUND(BI385*(1+取值表!$D$30),0)</f>
        <v>0</v>
      </c>
      <c r="BK385" s="295">
        <f t="shared" si="8154"/>
        <v>0</v>
      </c>
      <c r="BL385" s="295">
        <f t="shared" si="8155"/>
        <v>0</v>
      </c>
      <c r="BM385" s="295">
        <f t="shared" si="8156"/>
        <v>0</v>
      </c>
      <c r="BN385" s="295">
        <f>ROUND(BM385*(1+取值表!$D$30),0)</f>
        <v>0</v>
      </c>
      <c r="BO385" s="295">
        <f t="shared" si="8157"/>
        <v>0</v>
      </c>
      <c r="BP385" s="295">
        <f t="shared" si="8158"/>
        <v>0</v>
      </c>
      <c r="BQ385" s="295">
        <f t="shared" si="8159"/>
        <v>0</v>
      </c>
      <c r="BR385" s="295">
        <f>ROUND(BQ385*(1+取值表!$D$30),0)</f>
        <v>0</v>
      </c>
      <c r="BS385" s="295">
        <f t="shared" si="8160"/>
        <v>0</v>
      </c>
      <c r="BT385" s="295">
        <f t="shared" si="8161"/>
        <v>0</v>
      </c>
      <c r="BU385" s="295">
        <f t="shared" si="8162"/>
        <v>0</v>
      </c>
      <c r="BV385" s="295">
        <f>ROUND(BU385*(1+取值表!$D$30),0)</f>
        <v>0</v>
      </c>
      <c r="BW385" s="295">
        <f t="shared" si="8163"/>
        <v>0</v>
      </c>
      <c r="BX385" s="295">
        <f t="shared" si="8164"/>
        <v>0</v>
      </c>
      <c r="BY385" s="295">
        <f t="shared" si="8165"/>
        <v>0</v>
      </c>
      <c r="BZ385" s="295">
        <f>ROUND(BY385*(1+取值表!$D$30),0)</f>
        <v>0</v>
      </c>
      <c r="CA385" s="295">
        <f t="shared" si="8166"/>
        <v>0</v>
      </c>
      <c r="CB385" s="295">
        <f t="shared" si="8167"/>
        <v>0</v>
      </c>
      <c r="CC385" s="295">
        <f t="shared" si="8168"/>
        <v>0</v>
      </c>
      <c r="CD385" s="295">
        <f>ROUND(CC385*(1+取值表!$D$30),0)</f>
        <v>0</v>
      </c>
      <c r="CE385" s="295">
        <f t="shared" si="8169"/>
        <v>0</v>
      </c>
      <c r="CF385" s="295">
        <f t="shared" si="8170"/>
        <v>0</v>
      </c>
      <c r="CG385" s="295">
        <f t="shared" si="8171"/>
        <v>0</v>
      </c>
      <c r="CH385" s="295">
        <f>ROUND(CG385*(1+取值表!$D$30),0)</f>
        <v>0</v>
      </c>
      <c r="CI385" s="295">
        <f t="shared" si="8172"/>
        <v>0</v>
      </c>
      <c r="CJ385" s="295">
        <f t="shared" si="8173"/>
        <v>0</v>
      </c>
      <c r="CK385" s="295">
        <f t="shared" si="8174"/>
        <v>0</v>
      </c>
      <c r="CL385" s="295">
        <f>ROUND(CK385*(1+取值表!$D$30),0)</f>
        <v>0</v>
      </c>
      <c r="CM385" s="295">
        <f t="shared" si="8175"/>
        <v>0</v>
      </c>
      <c r="CN385" s="295">
        <f t="shared" si="8176"/>
        <v>0</v>
      </c>
      <c r="CO385" s="295">
        <f t="shared" si="8177"/>
        <v>0</v>
      </c>
      <c r="CP385" s="293">
        <f t="shared" si="7102"/>
        <v>0</v>
      </c>
    </row>
    <row r="386" spans="1:94" s="299" customFormat="1" ht="13.5" customHeight="1">
      <c r="A386" s="669">
        <v>197</v>
      </c>
      <c r="B386" s="658" t="s">
        <v>332</v>
      </c>
      <c r="C386" s="659" t="s">
        <v>333</v>
      </c>
      <c r="D386" s="647" t="s">
        <v>460</v>
      </c>
      <c r="E386" s="660"/>
      <c r="F386" s="661"/>
      <c r="G386" s="661"/>
      <c r="H386" s="662">
        <v>120000</v>
      </c>
      <c r="I386" s="298">
        <v>5000</v>
      </c>
      <c r="J386" s="292">
        <f>ROUND(H386/4*(1+取值表!$D$30)*取值表!$I$30,0)</f>
        <v>28399</v>
      </c>
      <c r="K386" s="295">
        <f>J386</f>
        <v>28399</v>
      </c>
      <c r="L386" s="295">
        <f>K386</f>
        <v>28399</v>
      </c>
      <c r="M386" s="295">
        <f>L386</f>
        <v>28399</v>
      </c>
      <c r="N386" s="294">
        <f>ROUND(M386*(1+取值表!$D$30),0)</f>
        <v>28569</v>
      </c>
      <c r="O386" s="295">
        <f t="shared" si="8119"/>
        <v>28569</v>
      </c>
      <c r="P386" s="295">
        <f t="shared" ref="P386" si="8204">O386</f>
        <v>28569</v>
      </c>
      <c r="Q386" s="295">
        <f t="shared" si="8121"/>
        <v>28569</v>
      </c>
      <c r="R386" s="295">
        <f>ROUND(Q386*(1+取值表!$D$30),0)</f>
        <v>28740</v>
      </c>
      <c r="S386" s="295">
        <f t="shared" ref="S386:T386" si="8205">R386</f>
        <v>28740</v>
      </c>
      <c r="T386" s="295">
        <f t="shared" si="8205"/>
        <v>28740</v>
      </c>
      <c r="U386" s="295">
        <f t="shared" si="8123"/>
        <v>28740</v>
      </c>
      <c r="V386" s="295">
        <f>ROUND(U386*(1+取值表!$D$30),0)</f>
        <v>28912</v>
      </c>
      <c r="W386" s="295">
        <f t="shared" si="8124"/>
        <v>28912</v>
      </c>
      <c r="X386" s="295">
        <f t="shared" si="8125"/>
        <v>28912</v>
      </c>
      <c r="Y386" s="295">
        <f t="shared" si="8126"/>
        <v>28912</v>
      </c>
      <c r="Z386" s="295">
        <f>ROUND(Y386*(1+取值表!$D$30),0)</f>
        <v>29085</v>
      </c>
      <c r="AA386" s="295">
        <f t="shared" si="8127"/>
        <v>29085</v>
      </c>
      <c r="AB386" s="295">
        <f t="shared" si="8128"/>
        <v>29085</v>
      </c>
      <c r="AC386" s="295">
        <f t="shared" si="8129"/>
        <v>29085</v>
      </c>
      <c r="AD386" s="295">
        <f>ROUND(AC386*(1+取值表!$D$30),0)</f>
        <v>29260</v>
      </c>
      <c r="AE386" s="295">
        <f t="shared" si="8130"/>
        <v>29260</v>
      </c>
      <c r="AF386" s="295">
        <f t="shared" si="8131"/>
        <v>29260</v>
      </c>
      <c r="AG386" s="295">
        <f t="shared" si="8132"/>
        <v>29260</v>
      </c>
      <c r="AH386" s="295">
        <f>ROUND(AG386*(1+取值表!$D$30),0)</f>
        <v>29436</v>
      </c>
      <c r="AI386" s="295">
        <f t="shared" si="8133"/>
        <v>29436</v>
      </c>
      <c r="AJ386" s="295">
        <f t="shared" si="8134"/>
        <v>29436</v>
      </c>
      <c r="AK386" s="295">
        <f t="shared" si="8135"/>
        <v>29436</v>
      </c>
      <c r="AL386" s="295">
        <f>ROUND(AK386*(1+取值表!$D$30),0)</f>
        <v>29613</v>
      </c>
      <c r="AM386" s="295">
        <f t="shared" si="8136"/>
        <v>29613</v>
      </c>
      <c r="AN386" s="295">
        <f t="shared" si="8137"/>
        <v>29613</v>
      </c>
      <c r="AO386" s="295">
        <f t="shared" si="8138"/>
        <v>29613</v>
      </c>
      <c r="AP386" s="295">
        <f>ROUND(AO386*(1+取值表!$D$30),0)</f>
        <v>29791</v>
      </c>
      <c r="AQ386" s="295">
        <f t="shared" si="8139"/>
        <v>29791</v>
      </c>
      <c r="AR386" s="295">
        <f t="shared" si="8140"/>
        <v>29791</v>
      </c>
      <c r="AS386" s="295">
        <f t="shared" si="8141"/>
        <v>29791</v>
      </c>
      <c r="AT386" s="295">
        <f>ROUND(AS386*(1+取值表!$D$30),0)</f>
        <v>29970</v>
      </c>
      <c r="AU386" s="295">
        <f t="shared" si="8142"/>
        <v>29970</v>
      </c>
      <c r="AV386" s="295">
        <f t="shared" si="8143"/>
        <v>29970</v>
      </c>
      <c r="AW386" s="295">
        <f t="shared" si="8144"/>
        <v>29970</v>
      </c>
      <c r="AX386" s="295">
        <f>ROUND(AW386*(1+取值表!$D$30),0)</f>
        <v>30150</v>
      </c>
      <c r="AY386" s="295">
        <f t="shared" si="8145"/>
        <v>30150</v>
      </c>
      <c r="AZ386" s="295">
        <f t="shared" si="8146"/>
        <v>30150</v>
      </c>
      <c r="BA386" s="295">
        <f t="shared" si="8147"/>
        <v>30150</v>
      </c>
      <c r="BB386" s="295">
        <f>ROUND(BA386*(1+取值表!$D$30),0)</f>
        <v>30331</v>
      </c>
      <c r="BC386" s="295">
        <f t="shared" si="8148"/>
        <v>30331</v>
      </c>
      <c r="BD386" s="295">
        <f t="shared" si="8149"/>
        <v>30331</v>
      </c>
      <c r="BE386" s="295">
        <f t="shared" si="8150"/>
        <v>30331</v>
      </c>
      <c r="BF386" s="295">
        <f>ROUND(BE386*(1+取值表!$D$30),0)</f>
        <v>30513</v>
      </c>
      <c r="BG386" s="295">
        <f t="shared" si="8151"/>
        <v>30513</v>
      </c>
      <c r="BH386" s="295">
        <f t="shared" si="8152"/>
        <v>30513</v>
      </c>
      <c r="BI386" s="295">
        <f t="shared" si="8153"/>
        <v>30513</v>
      </c>
      <c r="BJ386" s="295">
        <f>ROUND(BI386*(1+取值表!$D$30),0)</f>
        <v>30696</v>
      </c>
      <c r="BK386" s="295">
        <f t="shared" si="8154"/>
        <v>30696</v>
      </c>
      <c r="BL386" s="295">
        <f t="shared" si="8155"/>
        <v>30696</v>
      </c>
      <c r="BM386" s="295">
        <f t="shared" si="8156"/>
        <v>30696</v>
      </c>
      <c r="BN386" s="295">
        <f>ROUND(BM386*(1+取值表!$D$30),0)</f>
        <v>30880</v>
      </c>
      <c r="BO386" s="295">
        <f t="shared" si="8157"/>
        <v>30880</v>
      </c>
      <c r="BP386" s="295">
        <f t="shared" si="8158"/>
        <v>30880</v>
      </c>
      <c r="BQ386" s="295">
        <f t="shared" si="8159"/>
        <v>30880</v>
      </c>
      <c r="BR386" s="295">
        <f>ROUND(BQ386*(1+取值表!$D$30),0)</f>
        <v>31065</v>
      </c>
      <c r="BS386" s="295">
        <f t="shared" si="8160"/>
        <v>31065</v>
      </c>
      <c r="BT386" s="295">
        <f t="shared" si="8161"/>
        <v>31065</v>
      </c>
      <c r="BU386" s="295">
        <f t="shared" si="8162"/>
        <v>31065</v>
      </c>
      <c r="BV386" s="295">
        <f>ROUND(BU386*(1+取值表!$D$30),0)</f>
        <v>31251</v>
      </c>
      <c r="BW386" s="295">
        <f t="shared" si="8163"/>
        <v>31251</v>
      </c>
      <c r="BX386" s="295">
        <f t="shared" si="8164"/>
        <v>31251</v>
      </c>
      <c r="BY386" s="295">
        <f t="shared" si="8165"/>
        <v>31251</v>
      </c>
      <c r="BZ386" s="295">
        <f>ROUND(BY386*(1+取值表!$D$30),0)</f>
        <v>31439</v>
      </c>
      <c r="CA386" s="295">
        <f t="shared" si="8166"/>
        <v>31439</v>
      </c>
      <c r="CB386" s="295">
        <f t="shared" si="8167"/>
        <v>31439</v>
      </c>
      <c r="CC386" s="295">
        <f t="shared" si="8168"/>
        <v>31439</v>
      </c>
      <c r="CD386" s="295">
        <f>ROUND(CC386*(1+取值表!$D$30),0)</f>
        <v>31628</v>
      </c>
      <c r="CE386" s="295">
        <f t="shared" si="8169"/>
        <v>31628</v>
      </c>
      <c r="CF386" s="295">
        <f t="shared" si="8170"/>
        <v>31628</v>
      </c>
      <c r="CG386" s="295">
        <f t="shared" si="8171"/>
        <v>31628</v>
      </c>
      <c r="CH386" s="295">
        <f>ROUND(CG386*(1+取值表!$D$30),0)</f>
        <v>31818</v>
      </c>
      <c r="CI386" s="295">
        <f t="shared" si="8172"/>
        <v>31818</v>
      </c>
      <c r="CJ386" s="295">
        <f t="shared" si="8173"/>
        <v>31818</v>
      </c>
      <c r="CK386" s="295">
        <f t="shared" si="8174"/>
        <v>31818</v>
      </c>
      <c r="CL386" s="295">
        <f>ROUND(CK386*(1+取值表!$D$30),0)</f>
        <v>32009</v>
      </c>
      <c r="CM386" s="295">
        <f t="shared" si="8175"/>
        <v>32009</v>
      </c>
      <c r="CN386" s="295">
        <f t="shared" si="8176"/>
        <v>32009</v>
      </c>
      <c r="CO386" s="295">
        <f t="shared" si="8177"/>
        <v>32009</v>
      </c>
      <c r="CP386" s="293">
        <f t="shared" si="7102"/>
        <v>2534220</v>
      </c>
    </row>
    <row r="387" spans="1:94" s="299" customFormat="1">
      <c r="A387" s="670"/>
      <c r="B387" s="658"/>
      <c r="C387" s="659"/>
      <c r="D387" s="647"/>
      <c r="E387" s="660"/>
      <c r="F387" s="661"/>
      <c r="G387" s="661"/>
      <c r="H387" s="662"/>
      <c r="I387" s="298"/>
      <c r="J387" s="292"/>
      <c r="K387" s="295"/>
      <c r="L387" s="295"/>
      <c r="M387" s="295"/>
      <c r="N387" s="294"/>
      <c r="O387" s="295"/>
      <c r="P387" s="295"/>
      <c r="Q387" s="295"/>
      <c r="R387" s="295">
        <f>ROUND(Q387*(1+取值表!$D$30),0)</f>
        <v>0</v>
      </c>
      <c r="S387" s="295"/>
      <c r="T387" s="295"/>
      <c r="U387" s="295"/>
      <c r="V387" s="295">
        <f>ROUND(U387*(1+取值表!$D$30),0)</f>
        <v>0</v>
      </c>
      <c r="W387" s="295"/>
      <c r="X387" s="295"/>
      <c r="Y387" s="295"/>
      <c r="Z387" s="295">
        <f>ROUND(Y387*(1+取值表!$D$30),0)</f>
        <v>0</v>
      </c>
      <c r="AA387" s="295"/>
      <c r="AB387" s="295"/>
      <c r="AC387" s="295"/>
      <c r="AD387" s="295">
        <f>ROUND(AC387*(1+取值表!$D$30),0)</f>
        <v>0</v>
      </c>
      <c r="AE387" s="295"/>
      <c r="AF387" s="295"/>
      <c r="AG387" s="295"/>
      <c r="AH387" s="295">
        <f>ROUND(AG387*(1+取值表!$D$30),0)</f>
        <v>0</v>
      </c>
      <c r="AI387" s="295"/>
      <c r="AJ387" s="295"/>
      <c r="AK387" s="295"/>
      <c r="AL387" s="295">
        <f>ROUND(AK387*(1+取值表!$D$30),0)</f>
        <v>0</v>
      </c>
      <c r="AM387" s="295"/>
      <c r="AN387" s="295"/>
      <c r="AO387" s="295"/>
      <c r="AP387" s="295">
        <f>ROUND(AO387*(1+取值表!$D$30),0)</f>
        <v>0</v>
      </c>
      <c r="AQ387" s="295"/>
      <c r="AR387" s="295"/>
      <c r="AS387" s="295"/>
      <c r="AT387" s="295">
        <f>ROUND(AS387*(1+取值表!$D$30),0)</f>
        <v>0</v>
      </c>
      <c r="AU387" s="295"/>
      <c r="AV387" s="295"/>
      <c r="AW387" s="295"/>
      <c r="AX387" s="295">
        <f>ROUND(AW387*(1+取值表!$D$30),0)</f>
        <v>0</v>
      </c>
      <c r="AY387" s="295"/>
      <c r="AZ387" s="295"/>
      <c r="BA387" s="295"/>
      <c r="BB387" s="295">
        <f>ROUND(BA387*(1+取值表!$D$30),0)</f>
        <v>0</v>
      </c>
      <c r="BC387" s="295"/>
      <c r="BD387" s="295"/>
      <c r="BE387" s="295"/>
      <c r="BF387" s="295">
        <f>ROUND(BE387*(1+取值表!$D$30),0)</f>
        <v>0</v>
      </c>
      <c r="BG387" s="295"/>
      <c r="BH387" s="295"/>
      <c r="BI387" s="295"/>
      <c r="BJ387" s="295">
        <f>ROUND(BI387*(1+取值表!$D$30),0)</f>
        <v>0</v>
      </c>
      <c r="BK387" s="295"/>
      <c r="BL387" s="295"/>
      <c r="BM387" s="295"/>
      <c r="BN387" s="295">
        <f>ROUND(BM387*(1+取值表!$D$30),0)</f>
        <v>0</v>
      </c>
      <c r="BO387" s="295"/>
      <c r="BP387" s="295"/>
      <c r="BQ387" s="295"/>
      <c r="BR387" s="295">
        <f>ROUND(BQ387*(1+取值表!$D$30),0)</f>
        <v>0</v>
      </c>
      <c r="BS387" s="295"/>
      <c r="BT387" s="295"/>
      <c r="BU387" s="295"/>
      <c r="BV387" s="295">
        <f>ROUND(BU387*(1+取值表!$D$30),0)</f>
        <v>0</v>
      </c>
      <c r="BW387" s="295"/>
      <c r="BX387" s="295"/>
      <c r="BY387" s="295"/>
      <c r="BZ387" s="295">
        <f>ROUND(BY387*(1+取值表!$D$30),0)</f>
        <v>0</v>
      </c>
      <c r="CA387" s="295"/>
      <c r="CB387" s="295"/>
      <c r="CC387" s="295"/>
      <c r="CD387" s="295">
        <f>ROUND(CC387*(1+取值表!$D$30),0)</f>
        <v>0</v>
      </c>
      <c r="CE387" s="295"/>
      <c r="CF387" s="295"/>
      <c r="CG387" s="295"/>
      <c r="CH387" s="295">
        <f>ROUND(CG387*(1+取值表!$D$30),0)</f>
        <v>0</v>
      </c>
      <c r="CI387" s="295"/>
      <c r="CJ387" s="295"/>
      <c r="CK387" s="295"/>
      <c r="CL387" s="295">
        <f>ROUND(CK387*(1+取值表!$D$30),0)</f>
        <v>0</v>
      </c>
      <c r="CM387" s="295"/>
      <c r="CN387" s="295"/>
      <c r="CO387" s="295"/>
      <c r="CP387" s="293">
        <f t="shared" ref="CP387:CP396" si="8206">SUM(J387:CO387)</f>
        <v>0</v>
      </c>
    </row>
    <row r="388" spans="1:94" s="299" customFormat="1" ht="13.5" customHeight="1">
      <c r="A388" s="669">
        <v>198</v>
      </c>
      <c r="B388" s="658" t="s">
        <v>334</v>
      </c>
      <c r="C388" s="659" t="s">
        <v>12</v>
      </c>
      <c r="D388" s="647" t="s">
        <v>460</v>
      </c>
      <c r="E388" s="660"/>
      <c r="F388" s="661"/>
      <c r="G388" s="661"/>
      <c r="H388" s="662">
        <v>96000</v>
      </c>
      <c r="I388" s="298">
        <v>5000</v>
      </c>
      <c r="J388" s="292">
        <f>ROUND(H388/4*(1+取值表!$D$30)*取值表!$I$30,0)</f>
        <v>22720</v>
      </c>
      <c r="K388" s="295">
        <f>J388</f>
        <v>22720</v>
      </c>
      <c r="L388" s="295">
        <f>K388</f>
        <v>22720</v>
      </c>
      <c r="M388" s="295">
        <f>L388</f>
        <v>22720</v>
      </c>
      <c r="N388" s="294">
        <f>ROUND(M388*(1+取值表!$D$30),0)</f>
        <v>22856</v>
      </c>
      <c r="O388" s="295">
        <f>N388</f>
        <v>22856</v>
      </c>
      <c r="P388" s="295">
        <f t="shared" ref="P388" si="8207">O388</f>
        <v>22856</v>
      </c>
      <c r="Q388" s="295">
        <f>P388</f>
        <v>22856</v>
      </c>
      <c r="R388" s="295">
        <f>ROUND(Q388*(1+取值表!$D$30),0)</f>
        <v>22993</v>
      </c>
      <c r="S388" s="295">
        <f t="shared" ref="S388:T388" si="8208">R388</f>
        <v>22993</v>
      </c>
      <c r="T388" s="295">
        <f t="shared" si="8208"/>
        <v>22993</v>
      </c>
      <c r="U388" s="295">
        <f>T388</f>
        <v>22993</v>
      </c>
      <c r="V388" s="295">
        <f>ROUND(U388*(1+取值表!$D$30),0)</f>
        <v>23131</v>
      </c>
      <c r="W388" s="295">
        <f t="shared" ref="W388" si="8209">V388</f>
        <v>23131</v>
      </c>
      <c r="X388" s="295">
        <f t="shared" ref="X388" si="8210">W388</f>
        <v>23131</v>
      </c>
      <c r="Y388" s="295">
        <f t="shared" ref="Y388" si="8211">X388</f>
        <v>23131</v>
      </c>
      <c r="Z388" s="295">
        <f>ROUND(Y388*(1+取值表!$D$30),0)</f>
        <v>23270</v>
      </c>
      <c r="AA388" s="295">
        <f t="shared" ref="AA388" si="8212">Z388</f>
        <v>23270</v>
      </c>
      <c r="AB388" s="295">
        <f t="shared" ref="AB388" si="8213">AA388</f>
        <v>23270</v>
      </c>
      <c r="AC388" s="295">
        <f>AB388</f>
        <v>23270</v>
      </c>
      <c r="AD388" s="295">
        <f>ROUND(AC388*(1+取值表!$D$30),0)</f>
        <v>23410</v>
      </c>
      <c r="AE388" s="295">
        <f t="shared" ref="AE388" si="8214">AD388</f>
        <v>23410</v>
      </c>
      <c r="AF388" s="295">
        <f t="shared" ref="AF388" si="8215">AE388</f>
        <v>23410</v>
      </c>
      <c r="AG388" s="295">
        <f t="shared" ref="AG388" si="8216">AF388</f>
        <v>23410</v>
      </c>
      <c r="AH388" s="295">
        <f>ROUND(AG388*(1+取值表!$D$30),0)</f>
        <v>23550</v>
      </c>
      <c r="AI388" s="295">
        <f t="shared" ref="AI388" si="8217">AH388</f>
        <v>23550</v>
      </c>
      <c r="AJ388" s="295">
        <f t="shared" ref="AJ388" si="8218">AI388</f>
        <v>23550</v>
      </c>
      <c r="AK388" s="295">
        <f t="shared" ref="AK388" si="8219">AJ388</f>
        <v>23550</v>
      </c>
      <c r="AL388" s="295">
        <f>ROUND(AK388*(1+取值表!$D$30),0)</f>
        <v>23691</v>
      </c>
      <c r="AM388" s="295">
        <f t="shared" ref="AM388" si="8220">AL388</f>
        <v>23691</v>
      </c>
      <c r="AN388" s="295">
        <f t="shared" ref="AN388" si="8221">AM388</f>
        <v>23691</v>
      </c>
      <c r="AO388" s="295">
        <f t="shared" ref="AO388" si="8222">AN388</f>
        <v>23691</v>
      </c>
      <c r="AP388" s="295">
        <f>ROUND(AO388*(1+取值表!$D$30),0)</f>
        <v>23833</v>
      </c>
      <c r="AQ388" s="295">
        <f t="shared" ref="AQ388" si="8223">AP388</f>
        <v>23833</v>
      </c>
      <c r="AR388" s="295">
        <f t="shared" ref="AR388" si="8224">AQ388</f>
        <v>23833</v>
      </c>
      <c r="AS388" s="295">
        <f t="shared" ref="AS388" si="8225">AR388</f>
        <v>23833</v>
      </c>
      <c r="AT388" s="295">
        <f>ROUND(AS388*(1+取值表!$D$30),0)</f>
        <v>23976</v>
      </c>
      <c r="AU388" s="295">
        <f t="shared" ref="AU388" si="8226">AT388</f>
        <v>23976</v>
      </c>
      <c r="AV388" s="295">
        <f t="shared" ref="AV388" si="8227">AU388</f>
        <v>23976</v>
      </c>
      <c r="AW388" s="295">
        <f t="shared" ref="AW388" si="8228">AV388</f>
        <v>23976</v>
      </c>
      <c r="AX388" s="295">
        <f>ROUND(AW388*(1+取值表!$D$30),0)</f>
        <v>24120</v>
      </c>
      <c r="AY388" s="295">
        <f t="shared" ref="AY388" si="8229">AX388</f>
        <v>24120</v>
      </c>
      <c r="AZ388" s="295">
        <f t="shared" ref="AZ388" si="8230">AY388</f>
        <v>24120</v>
      </c>
      <c r="BA388" s="295">
        <f t="shared" ref="BA388" si="8231">AZ388</f>
        <v>24120</v>
      </c>
      <c r="BB388" s="295">
        <f>ROUND(BA388*(1+取值表!$D$30),0)</f>
        <v>24265</v>
      </c>
      <c r="BC388" s="295">
        <f>BB388</f>
        <v>24265</v>
      </c>
      <c r="BD388" s="295">
        <f t="shared" ref="BD388" si="8232">BC388</f>
        <v>24265</v>
      </c>
      <c r="BE388" s="295">
        <f>BD388</f>
        <v>24265</v>
      </c>
      <c r="BF388" s="295">
        <f>ROUND(BE388*(1+取值表!$D$30),0)</f>
        <v>24411</v>
      </c>
      <c r="BG388" s="295">
        <f>BF388</f>
        <v>24411</v>
      </c>
      <c r="BH388" s="295">
        <f t="shared" ref="BH388" si="8233">BG388</f>
        <v>24411</v>
      </c>
      <c r="BI388" s="295">
        <f t="shared" ref="BI388" si="8234">BH388</f>
        <v>24411</v>
      </c>
      <c r="BJ388" s="295">
        <f>ROUND(BI388*(1+取值表!$D$30),0)</f>
        <v>24557</v>
      </c>
      <c r="BK388" s="295">
        <f t="shared" ref="BK388" si="8235">BJ388</f>
        <v>24557</v>
      </c>
      <c r="BL388" s="295">
        <f t="shared" ref="BL388" si="8236">BK388</f>
        <v>24557</v>
      </c>
      <c r="BM388" s="295">
        <f t="shared" ref="BM388" si="8237">BL388</f>
        <v>24557</v>
      </c>
      <c r="BN388" s="295">
        <f>ROUND(BM388*(1+取值表!$D$30),0)</f>
        <v>24704</v>
      </c>
      <c r="BO388" s="295">
        <f t="shared" ref="BO388" si="8238">BN388</f>
        <v>24704</v>
      </c>
      <c r="BP388" s="295">
        <f t="shared" ref="BP388" si="8239">BO388</f>
        <v>24704</v>
      </c>
      <c r="BQ388" s="295">
        <f t="shared" ref="BQ388" si="8240">BP388</f>
        <v>24704</v>
      </c>
      <c r="BR388" s="295">
        <f>ROUND(BQ388*(1+取值表!$D$30),0)</f>
        <v>24852</v>
      </c>
      <c r="BS388" s="295">
        <f t="shared" ref="BS388" si="8241">BR388</f>
        <v>24852</v>
      </c>
      <c r="BT388" s="295">
        <f t="shared" ref="BT388" si="8242">BS388</f>
        <v>24852</v>
      </c>
      <c r="BU388" s="295">
        <f t="shared" ref="BU388" si="8243">BT388</f>
        <v>24852</v>
      </c>
      <c r="BV388" s="295">
        <f>ROUND(BU388*(1+取值表!$D$30),0)</f>
        <v>25001</v>
      </c>
      <c r="BW388" s="295">
        <f t="shared" ref="BW388" si="8244">BV388</f>
        <v>25001</v>
      </c>
      <c r="BX388" s="295">
        <f t="shared" ref="BX388" si="8245">BW388</f>
        <v>25001</v>
      </c>
      <c r="BY388" s="295">
        <f t="shared" ref="BY388" si="8246">BX388</f>
        <v>25001</v>
      </c>
      <c r="BZ388" s="295">
        <f>ROUND(BY388*(1+取值表!$D$30),0)</f>
        <v>25151</v>
      </c>
      <c r="CA388" s="295">
        <f t="shared" ref="CA388" si="8247">BZ388</f>
        <v>25151</v>
      </c>
      <c r="CB388" s="295">
        <f t="shared" ref="CB388" si="8248">CA388</f>
        <v>25151</v>
      </c>
      <c r="CC388" s="295">
        <f t="shared" ref="CC388" si="8249">CB388</f>
        <v>25151</v>
      </c>
      <c r="CD388" s="295">
        <f>ROUND(CC388*(1+取值表!$D$30),0)</f>
        <v>25302</v>
      </c>
      <c r="CE388" s="295">
        <f t="shared" ref="CE388" si="8250">CD388</f>
        <v>25302</v>
      </c>
      <c r="CF388" s="295">
        <f t="shared" ref="CF388" si="8251">CE388</f>
        <v>25302</v>
      </c>
      <c r="CG388" s="295">
        <f t="shared" ref="CG388" si="8252">CF388</f>
        <v>25302</v>
      </c>
      <c r="CH388" s="295">
        <f>ROUND(CG388*(1+取值表!$D$30),0)</f>
        <v>25454</v>
      </c>
      <c r="CI388" s="295">
        <f>CH388</f>
        <v>25454</v>
      </c>
      <c r="CJ388" s="295">
        <f t="shared" ref="CJ388" si="8253">CI388</f>
        <v>25454</v>
      </c>
      <c r="CK388" s="295">
        <f t="shared" ref="CK388" si="8254">CJ388</f>
        <v>25454</v>
      </c>
      <c r="CL388" s="295">
        <f>ROUND(CK388*(1+取值表!$D$30),0)</f>
        <v>25607</v>
      </c>
      <c r="CM388" s="295">
        <f>CL388</f>
        <v>25607</v>
      </c>
      <c r="CN388" s="295">
        <f t="shared" ref="CN388" si="8255">CM388</f>
        <v>25607</v>
      </c>
      <c r="CO388" s="295">
        <f t="shared" ref="CO388" si="8256">CN388</f>
        <v>25607</v>
      </c>
      <c r="CP388" s="293">
        <f t="shared" si="8206"/>
        <v>2027416</v>
      </c>
    </row>
    <row r="389" spans="1:94" s="299" customFormat="1">
      <c r="A389" s="670"/>
      <c r="B389" s="658"/>
      <c r="C389" s="659"/>
      <c r="D389" s="647"/>
      <c r="E389" s="660"/>
      <c r="F389" s="661"/>
      <c r="G389" s="661"/>
      <c r="H389" s="662"/>
      <c r="I389" s="298"/>
      <c r="J389" s="292"/>
      <c r="K389" s="295"/>
      <c r="L389" s="295"/>
      <c r="M389" s="295"/>
      <c r="N389" s="294"/>
      <c r="O389" s="295"/>
      <c r="P389" s="295"/>
      <c r="Q389" s="295"/>
      <c r="R389" s="295">
        <f>ROUND(Q389*(1+取值表!$D$30),0)</f>
        <v>0</v>
      </c>
      <c r="S389" s="295"/>
      <c r="T389" s="295"/>
      <c r="U389" s="295"/>
      <c r="V389" s="295">
        <f>ROUND(U389*(1+取值表!$D$30),0)</f>
        <v>0</v>
      </c>
      <c r="W389" s="295"/>
      <c r="X389" s="295"/>
      <c r="Y389" s="295"/>
      <c r="Z389" s="295">
        <f>ROUND(Y389*(1+取值表!$D$30),0)</f>
        <v>0</v>
      </c>
      <c r="AA389" s="295"/>
      <c r="AB389" s="295"/>
      <c r="AC389" s="295"/>
      <c r="AD389" s="295">
        <f>ROUND(AC389*(1+取值表!$D$30),0)</f>
        <v>0</v>
      </c>
      <c r="AE389" s="295"/>
      <c r="AF389" s="295"/>
      <c r="AG389" s="295"/>
      <c r="AH389" s="295">
        <f>ROUND(AG389*(1+取值表!$D$30),0)</f>
        <v>0</v>
      </c>
      <c r="AI389" s="295"/>
      <c r="AJ389" s="295"/>
      <c r="AK389" s="295"/>
      <c r="AL389" s="295">
        <f>ROUND(AK389*(1+取值表!$D$30),0)</f>
        <v>0</v>
      </c>
      <c r="AM389" s="295"/>
      <c r="AN389" s="295"/>
      <c r="AO389" s="295"/>
      <c r="AP389" s="295">
        <f>ROUND(AO389*(1+取值表!$D$30),0)</f>
        <v>0</v>
      </c>
      <c r="AQ389" s="295"/>
      <c r="AR389" s="295"/>
      <c r="AS389" s="295"/>
      <c r="AT389" s="295">
        <f>ROUND(AS389*(1+取值表!$D$30),0)</f>
        <v>0</v>
      </c>
      <c r="AU389" s="295"/>
      <c r="AV389" s="295"/>
      <c r="AW389" s="295"/>
      <c r="AX389" s="295">
        <f>ROUND(AW389*(1+取值表!$D$30),0)</f>
        <v>0</v>
      </c>
      <c r="AY389" s="295"/>
      <c r="AZ389" s="295"/>
      <c r="BA389" s="295"/>
      <c r="BB389" s="295">
        <f>ROUND(BA389*(1+取值表!$D$30),0)</f>
        <v>0</v>
      </c>
      <c r="BC389" s="295"/>
      <c r="BD389" s="295"/>
      <c r="BE389" s="295"/>
      <c r="BF389" s="295">
        <f>ROUND(BE389*(1+取值表!$D$30),0)</f>
        <v>0</v>
      </c>
      <c r="BG389" s="295"/>
      <c r="BH389" s="295"/>
      <c r="BI389" s="295"/>
      <c r="BJ389" s="295">
        <f>ROUND(BI389*(1+取值表!$D$30),0)</f>
        <v>0</v>
      </c>
      <c r="BK389" s="295"/>
      <c r="BL389" s="295"/>
      <c r="BM389" s="295"/>
      <c r="BN389" s="295">
        <f>ROUND(BM389*(1+取值表!$D$30),0)</f>
        <v>0</v>
      </c>
      <c r="BO389" s="295"/>
      <c r="BP389" s="295"/>
      <c r="BQ389" s="295"/>
      <c r="BR389" s="295">
        <f>ROUND(BQ389*(1+取值表!$D$30),0)</f>
        <v>0</v>
      </c>
      <c r="BS389" s="295"/>
      <c r="BT389" s="295"/>
      <c r="BU389" s="295"/>
      <c r="BV389" s="295">
        <f>ROUND(BU389*(1+取值表!$D$30),0)</f>
        <v>0</v>
      </c>
      <c r="BW389" s="295"/>
      <c r="BX389" s="295"/>
      <c r="BY389" s="295"/>
      <c r="BZ389" s="295">
        <f>ROUND(BY389*(1+取值表!$D$30),0)</f>
        <v>0</v>
      </c>
      <c r="CA389" s="295"/>
      <c r="CB389" s="295"/>
      <c r="CC389" s="295"/>
      <c r="CD389" s="295">
        <f>ROUND(CC389*(1+取值表!$D$30),0)</f>
        <v>0</v>
      </c>
      <c r="CE389" s="295"/>
      <c r="CF389" s="295"/>
      <c r="CG389" s="295"/>
      <c r="CH389" s="295">
        <f>ROUND(CG389*(1+取值表!$D$30),0)</f>
        <v>0</v>
      </c>
      <c r="CI389" s="295"/>
      <c r="CJ389" s="295"/>
      <c r="CK389" s="295"/>
      <c r="CL389" s="295">
        <f>ROUND(CK389*(1+取值表!$D$30),0)</f>
        <v>0</v>
      </c>
      <c r="CM389" s="295"/>
      <c r="CN389" s="295"/>
      <c r="CO389" s="295"/>
      <c r="CP389" s="293">
        <f t="shared" si="8206"/>
        <v>0</v>
      </c>
    </row>
    <row r="390" spans="1:94" s="299" customFormat="1">
      <c r="A390" s="669">
        <v>199</v>
      </c>
      <c r="B390" s="658" t="s">
        <v>334</v>
      </c>
      <c r="C390" s="659" t="s">
        <v>105</v>
      </c>
      <c r="D390" s="647" t="s">
        <v>538</v>
      </c>
      <c r="E390" s="660"/>
      <c r="F390" s="661"/>
      <c r="G390" s="661"/>
      <c r="H390" s="662">
        <v>96000</v>
      </c>
      <c r="I390" s="298">
        <v>5000</v>
      </c>
      <c r="J390" s="292">
        <f>ROUND(H390/4*(1+取值表!$D$30)*取值表!$I$30,0)</f>
        <v>22720</v>
      </c>
      <c r="K390" s="295">
        <f>J390</f>
        <v>22720</v>
      </c>
      <c r="L390" s="295">
        <f>K390</f>
        <v>22720</v>
      </c>
      <c r="M390" s="295">
        <f>L390</f>
        <v>22720</v>
      </c>
      <c r="N390" s="294">
        <f>ROUND(M390*(1+取值表!$D$30),0)</f>
        <v>22856</v>
      </c>
      <c r="O390" s="295">
        <f>N390</f>
        <v>22856</v>
      </c>
      <c r="P390" s="295">
        <f t="shared" ref="P390" si="8257">O390</f>
        <v>22856</v>
      </c>
      <c r="Q390" s="295">
        <f>P390</f>
        <v>22856</v>
      </c>
      <c r="R390" s="295">
        <f>ROUND(Q390*(1+取值表!$D$30),0)</f>
        <v>22993</v>
      </c>
      <c r="S390" s="295">
        <f t="shared" ref="S390:T390" si="8258">R390</f>
        <v>22993</v>
      </c>
      <c r="T390" s="295">
        <f t="shared" si="8258"/>
        <v>22993</v>
      </c>
      <c r="U390" s="295">
        <f>T390</f>
        <v>22993</v>
      </c>
      <c r="V390" s="295">
        <f>ROUND(U390*(1+取值表!$D$30),0)</f>
        <v>23131</v>
      </c>
      <c r="W390" s="295">
        <f t="shared" ref="W390" si="8259">V390</f>
        <v>23131</v>
      </c>
      <c r="X390" s="295">
        <f t="shared" ref="X390" si="8260">W390</f>
        <v>23131</v>
      </c>
      <c r="Y390" s="295">
        <f t="shared" ref="Y390" si="8261">X390</f>
        <v>23131</v>
      </c>
      <c r="Z390" s="295">
        <f>ROUND(Y390*(1+取值表!$D$30),0)</f>
        <v>23270</v>
      </c>
      <c r="AA390" s="295">
        <f t="shared" ref="AA390" si="8262">Z390</f>
        <v>23270</v>
      </c>
      <c r="AB390" s="295">
        <f t="shared" ref="AB390" si="8263">AA390</f>
        <v>23270</v>
      </c>
      <c r="AC390" s="295">
        <f>AB390</f>
        <v>23270</v>
      </c>
      <c r="AD390" s="295">
        <f>ROUND(AC390*(1+取值表!$D$30),0)</f>
        <v>23410</v>
      </c>
      <c r="AE390" s="295">
        <f t="shared" ref="AE390" si="8264">AD390</f>
        <v>23410</v>
      </c>
      <c r="AF390" s="295">
        <f t="shared" ref="AF390" si="8265">AE390</f>
        <v>23410</v>
      </c>
      <c r="AG390" s="295">
        <f t="shared" ref="AG390" si="8266">AF390</f>
        <v>23410</v>
      </c>
      <c r="AH390" s="295">
        <f>ROUND(AG390*(1+取值表!$D$30),0)</f>
        <v>23550</v>
      </c>
      <c r="AI390" s="295">
        <f t="shared" ref="AI390" si="8267">AH390</f>
        <v>23550</v>
      </c>
      <c r="AJ390" s="295">
        <f t="shared" ref="AJ390" si="8268">AI390</f>
        <v>23550</v>
      </c>
      <c r="AK390" s="295">
        <f t="shared" ref="AK390" si="8269">AJ390</f>
        <v>23550</v>
      </c>
      <c r="AL390" s="295">
        <f>ROUND(AK390*(1+取值表!$D$30),0)</f>
        <v>23691</v>
      </c>
      <c r="AM390" s="295">
        <f t="shared" ref="AM390" si="8270">AL390</f>
        <v>23691</v>
      </c>
      <c r="AN390" s="295">
        <f t="shared" ref="AN390" si="8271">AM390</f>
        <v>23691</v>
      </c>
      <c r="AO390" s="295">
        <f t="shared" ref="AO390" si="8272">AN390</f>
        <v>23691</v>
      </c>
      <c r="AP390" s="295">
        <f>ROUND(AO390*(1+取值表!$D$30),0)</f>
        <v>23833</v>
      </c>
      <c r="AQ390" s="295">
        <f t="shared" ref="AQ390" si="8273">AP390</f>
        <v>23833</v>
      </c>
      <c r="AR390" s="295">
        <f t="shared" ref="AR390" si="8274">AQ390</f>
        <v>23833</v>
      </c>
      <c r="AS390" s="295">
        <f t="shared" ref="AS390" si="8275">AR390</f>
        <v>23833</v>
      </c>
      <c r="AT390" s="295">
        <f>ROUND(AS390*(1+取值表!$D$30),0)</f>
        <v>23976</v>
      </c>
      <c r="AU390" s="295">
        <f t="shared" ref="AU390" si="8276">AT390</f>
        <v>23976</v>
      </c>
      <c r="AV390" s="295">
        <f t="shared" ref="AV390" si="8277">AU390</f>
        <v>23976</v>
      </c>
      <c r="AW390" s="295">
        <f t="shared" ref="AW390" si="8278">AV390</f>
        <v>23976</v>
      </c>
      <c r="AX390" s="295">
        <f>ROUND(AW390*(1+取值表!$D$30),0)</f>
        <v>24120</v>
      </c>
      <c r="AY390" s="295">
        <f t="shared" ref="AY390" si="8279">AX390</f>
        <v>24120</v>
      </c>
      <c r="AZ390" s="295">
        <f t="shared" ref="AZ390" si="8280">AY390</f>
        <v>24120</v>
      </c>
      <c r="BA390" s="295">
        <f t="shared" ref="BA390" si="8281">AZ390</f>
        <v>24120</v>
      </c>
      <c r="BB390" s="295">
        <f>ROUND(BA390*(1+取值表!$D$30),0)</f>
        <v>24265</v>
      </c>
      <c r="BC390" s="295">
        <f>BB390</f>
        <v>24265</v>
      </c>
      <c r="BD390" s="295">
        <f t="shared" ref="BD390" si="8282">BC390</f>
        <v>24265</v>
      </c>
      <c r="BE390" s="295">
        <f>BD390</f>
        <v>24265</v>
      </c>
      <c r="BF390" s="295">
        <f>ROUND(BE390*(1+取值表!$D$30),0)</f>
        <v>24411</v>
      </c>
      <c r="BG390" s="295">
        <f>BF390</f>
        <v>24411</v>
      </c>
      <c r="BH390" s="295">
        <f t="shared" ref="BH390" si="8283">BG390</f>
        <v>24411</v>
      </c>
      <c r="BI390" s="295">
        <f t="shared" ref="BI390" si="8284">BH390</f>
        <v>24411</v>
      </c>
      <c r="BJ390" s="295">
        <f>ROUND(BI390*(1+取值表!$D$30),0)</f>
        <v>24557</v>
      </c>
      <c r="BK390" s="295">
        <f t="shared" ref="BK390" si="8285">BJ390</f>
        <v>24557</v>
      </c>
      <c r="BL390" s="295">
        <f t="shared" ref="BL390" si="8286">BK390</f>
        <v>24557</v>
      </c>
      <c r="BM390" s="295">
        <f t="shared" ref="BM390" si="8287">BL390</f>
        <v>24557</v>
      </c>
      <c r="BN390" s="295">
        <f>ROUND(BM390*(1+取值表!$D$30),0)</f>
        <v>24704</v>
      </c>
      <c r="BO390" s="295">
        <f t="shared" ref="BO390" si="8288">BN390</f>
        <v>24704</v>
      </c>
      <c r="BP390" s="295">
        <f t="shared" ref="BP390" si="8289">BO390</f>
        <v>24704</v>
      </c>
      <c r="BQ390" s="295">
        <f t="shared" ref="BQ390" si="8290">BP390</f>
        <v>24704</v>
      </c>
      <c r="BR390" s="295">
        <f>ROUND(BQ390*(1+取值表!$D$30),0)</f>
        <v>24852</v>
      </c>
      <c r="BS390" s="295">
        <f t="shared" ref="BS390" si="8291">BR390</f>
        <v>24852</v>
      </c>
      <c r="BT390" s="295">
        <f t="shared" ref="BT390" si="8292">BS390</f>
        <v>24852</v>
      </c>
      <c r="BU390" s="295">
        <f t="shared" ref="BU390" si="8293">BT390</f>
        <v>24852</v>
      </c>
      <c r="BV390" s="295">
        <f>ROUND(BU390*(1+取值表!$D$30),0)</f>
        <v>25001</v>
      </c>
      <c r="BW390" s="295">
        <f t="shared" ref="BW390" si="8294">BV390</f>
        <v>25001</v>
      </c>
      <c r="BX390" s="295">
        <f t="shared" ref="BX390" si="8295">BW390</f>
        <v>25001</v>
      </c>
      <c r="BY390" s="295">
        <f t="shared" ref="BY390" si="8296">BX390</f>
        <v>25001</v>
      </c>
      <c r="BZ390" s="295">
        <f>ROUND(BY390*(1+取值表!$D$30),0)</f>
        <v>25151</v>
      </c>
      <c r="CA390" s="295">
        <f t="shared" ref="CA390" si="8297">BZ390</f>
        <v>25151</v>
      </c>
      <c r="CB390" s="295">
        <f t="shared" ref="CB390" si="8298">CA390</f>
        <v>25151</v>
      </c>
      <c r="CC390" s="295">
        <f t="shared" ref="CC390" si="8299">CB390</f>
        <v>25151</v>
      </c>
      <c r="CD390" s="295">
        <f>ROUND(CC390*(1+取值表!$D$30),0)</f>
        <v>25302</v>
      </c>
      <c r="CE390" s="295">
        <f t="shared" ref="CE390" si="8300">CD390</f>
        <v>25302</v>
      </c>
      <c r="CF390" s="295">
        <f t="shared" ref="CF390" si="8301">CE390</f>
        <v>25302</v>
      </c>
      <c r="CG390" s="295">
        <f t="shared" ref="CG390" si="8302">CF390</f>
        <v>25302</v>
      </c>
      <c r="CH390" s="295">
        <f>ROUND(CG390*(1+取值表!$D$30),0)</f>
        <v>25454</v>
      </c>
      <c r="CI390" s="295">
        <f>CH390</f>
        <v>25454</v>
      </c>
      <c r="CJ390" s="295">
        <f t="shared" ref="CJ390" si="8303">CI390</f>
        <v>25454</v>
      </c>
      <c r="CK390" s="295">
        <f t="shared" ref="CK390" si="8304">CJ390</f>
        <v>25454</v>
      </c>
      <c r="CL390" s="295">
        <f>ROUND(CK390*(1+取值表!$D$30),0)</f>
        <v>25607</v>
      </c>
      <c r="CM390" s="295">
        <f>CL390</f>
        <v>25607</v>
      </c>
      <c r="CN390" s="295">
        <f t="shared" ref="CN390" si="8305">CM390</f>
        <v>25607</v>
      </c>
      <c r="CO390" s="295">
        <f t="shared" ref="CO390" si="8306">CN390</f>
        <v>25607</v>
      </c>
      <c r="CP390" s="293">
        <f t="shared" si="8206"/>
        <v>2027416</v>
      </c>
    </row>
    <row r="391" spans="1:94" s="299" customFormat="1">
      <c r="A391" s="670"/>
      <c r="B391" s="658"/>
      <c r="C391" s="659"/>
      <c r="D391" s="647"/>
      <c r="E391" s="660"/>
      <c r="F391" s="661"/>
      <c r="G391" s="661"/>
      <c r="H391" s="662"/>
      <c r="I391" s="298"/>
      <c r="J391" s="292"/>
      <c r="K391" s="295"/>
      <c r="L391" s="295"/>
      <c r="M391" s="295"/>
      <c r="N391" s="294"/>
      <c r="O391" s="295"/>
      <c r="P391" s="295"/>
      <c r="Q391" s="295"/>
      <c r="R391" s="295">
        <f>ROUND(Q391*(1+取值表!$D$30),0)</f>
        <v>0</v>
      </c>
      <c r="S391" s="295"/>
      <c r="T391" s="295"/>
      <c r="U391" s="295"/>
      <c r="V391" s="295">
        <f>ROUND(U391*(1+取值表!$D$30),0)</f>
        <v>0</v>
      </c>
      <c r="W391" s="295"/>
      <c r="X391" s="295"/>
      <c r="Y391" s="295"/>
      <c r="Z391" s="295">
        <f>ROUND(Y391*(1+取值表!$D$30),0)</f>
        <v>0</v>
      </c>
      <c r="AA391" s="295"/>
      <c r="AB391" s="295"/>
      <c r="AC391" s="295"/>
      <c r="AD391" s="295">
        <f>ROUND(AC391*(1+取值表!$D$30),0)</f>
        <v>0</v>
      </c>
      <c r="AE391" s="295"/>
      <c r="AF391" s="295"/>
      <c r="AG391" s="295"/>
      <c r="AH391" s="295">
        <f>ROUND(AG391*(1+取值表!$D$30),0)</f>
        <v>0</v>
      </c>
      <c r="AI391" s="295"/>
      <c r="AJ391" s="295"/>
      <c r="AK391" s="295"/>
      <c r="AL391" s="295">
        <f>ROUND(AK391*(1+取值表!$D$30),0)</f>
        <v>0</v>
      </c>
      <c r="AM391" s="295"/>
      <c r="AN391" s="295"/>
      <c r="AO391" s="295"/>
      <c r="AP391" s="295">
        <f>ROUND(AO391*(1+取值表!$D$30),0)</f>
        <v>0</v>
      </c>
      <c r="AQ391" s="295"/>
      <c r="AR391" s="295"/>
      <c r="AS391" s="295"/>
      <c r="AT391" s="295">
        <f>ROUND(AS391*(1+取值表!$D$30),0)</f>
        <v>0</v>
      </c>
      <c r="AU391" s="295"/>
      <c r="AV391" s="295"/>
      <c r="AW391" s="295"/>
      <c r="AX391" s="295">
        <f>ROUND(AW391*(1+取值表!$D$30),0)</f>
        <v>0</v>
      </c>
      <c r="AY391" s="295"/>
      <c r="AZ391" s="295"/>
      <c r="BA391" s="295"/>
      <c r="BB391" s="295">
        <f>ROUND(BA391*(1+取值表!$D$30),0)</f>
        <v>0</v>
      </c>
      <c r="BC391" s="295"/>
      <c r="BD391" s="295"/>
      <c r="BE391" s="295"/>
      <c r="BF391" s="295">
        <f>ROUND(BE391*(1+取值表!$D$30),0)</f>
        <v>0</v>
      </c>
      <c r="BG391" s="295"/>
      <c r="BH391" s="295"/>
      <c r="BI391" s="295"/>
      <c r="BJ391" s="295">
        <f>ROUND(BI391*(1+取值表!$D$30),0)</f>
        <v>0</v>
      </c>
      <c r="BK391" s="295"/>
      <c r="BL391" s="295"/>
      <c r="BM391" s="295"/>
      <c r="BN391" s="295">
        <f>ROUND(BM391*(1+取值表!$D$30),0)</f>
        <v>0</v>
      </c>
      <c r="BO391" s="295"/>
      <c r="BP391" s="295"/>
      <c r="BQ391" s="295"/>
      <c r="BR391" s="295">
        <f>ROUND(BQ391*(1+取值表!$D$30),0)</f>
        <v>0</v>
      </c>
      <c r="BS391" s="295"/>
      <c r="BT391" s="295"/>
      <c r="BU391" s="295"/>
      <c r="BV391" s="295">
        <f>ROUND(BU391*(1+取值表!$D$30),0)</f>
        <v>0</v>
      </c>
      <c r="BW391" s="295"/>
      <c r="BX391" s="295"/>
      <c r="BY391" s="295"/>
      <c r="BZ391" s="295">
        <f>ROUND(BY391*(1+取值表!$D$30),0)</f>
        <v>0</v>
      </c>
      <c r="CA391" s="295"/>
      <c r="CB391" s="295"/>
      <c r="CC391" s="295"/>
      <c r="CD391" s="295">
        <f>ROUND(CC391*(1+取值表!$D$30),0)</f>
        <v>0</v>
      </c>
      <c r="CE391" s="295"/>
      <c r="CF391" s="295"/>
      <c r="CG391" s="295"/>
      <c r="CH391" s="295">
        <f>ROUND(CG391*(1+取值表!$D$30),0)</f>
        <v>0</v>
      </c>
      <c r="CI391" s="295"/>
      <c r="CJ391" s="295"/>
      <c r="CK391" s="295"/>
      <c r="CL391" s="295">
        <f>ROUND(CK391*(1+取值表!$D$30),0)</f>
        <v>0</v>
      </c>
      <c r="CM391" s="295"/>
      <c r="CN391" s="295"/>
      <c r="CO391" s="295"/>
      <c r="CP391" s="293">
        <f t="shared" si="8206"/>
        <v>0</v>
      </c>
    </row>
    <row r="392" spans="1:94" s="299" customFormat="1">
      <c r="A392" s="669">
        <v>200</v>
      </c>
      <c r="B392" s="658" t="s">
        <v>335</v>
      </c>
      <c r="C392" s="659" t="s">
        <v>336</v>
      </c>
      <c r="D392" s="647" t="s">
        <v>460</v>
      </c>
      <c r="E392" s="660"/>
      <c r="F392" s="661"/>
      <c r="G392" s="661"/>
      <c r="H392" s="662">
        <v>96000</v>
      </c>
      <c r="I392" s="298">
        <v>5000</v>
      </c>
      <c r="J392" s="292">
        <f>ROUND(H392/4*(1+取值表!$D$30)*取值表!$I$30,0)</f>
        <v>22720</v>
      </c>
      <c r="K392" s="295">
        <f>J392</f>
        <v>22720</v>
      </c>
      <c r="L392" s="295">
        <f>K392</f>
        <v>22720</v>
      </c>
      <c r="M392" s="295">
        <f>L392</f>
        <v>22720</v>
      </c>
      <c r="N392" s="294">
        <f>ROUND(M392*(1+取值表!$D$30),0)</f>
        <v>22856</v>
      </c>
      <c r="O392" s="295">
        <f>N392</f>
        <v>22856</v>
      </c>
      <c r="P392" s="295">
        <f t="shared" ref="P392" si="8307">O392</f>
        <v>22856</v>
      </c>
      <c r="Q392" s="295">
        <f>P392</f>
        <v>22856</v>
      </c>
      <c r="R392" s="295">
        <f>ROUND(Q392*(1+取值表!$D$30),0)</f>
        <v>22993</v>
      </c>
      <c r="S392" s="295">
        <f t="shared" ref="S392:T392" si="8308">R392</f>
        <v>22993</v>
      </c>
      <c r="T392" s="295">
        <f t="shared" si="8308"/>
        <v>22993</v>
      </c>
      <c r="U392" s="295">
        <f>T392</f>
        <v>22993</v>
      </c>
      <c r="V392" s="295">
        <f>ROUND(U392*(1+取值表!$D$30),0)</f>
        <v>23131</v>
      </c>
      <c r="W392" s="295">
        <f t="shared" ref="W392" si="8309">V392</f>
        <v>23131</v>
      </c>
      <c r="X392" s="295">
        <f t="shared" ref="X392" si="8310">W392</f>
        <v>23131</v>
      </c>
      <c r="Y392" s="295">
        <f t="shared" ref="Y392" si="8311">X392</f>
        <v>23131</v>
      </c>
      <c r="Z392" s="295">
        <f>ROUND(Y392*(1+取值表!$D$30),0)</f>
        <v>23270</v>
      </c>
      <c r="AA392" s="295">
        <f t="shared" ref="AA392" si="8312">Z392</f>
        <v>23270</v>
      </c>
      <c r="AB392" s="295">
        <f t="shared" ref="AB392" si="8313">AA392</f>
        <v>23270</v>
      </c>
      <c r="AC392" s="295">
        <f>AB392</f>
        <v>23270</v>
      </c>
      <c r="AD392" s="295">
        <f>ROUND(AC392*(1+取值表!$D$30),0)</f>
        <v>23410</v>
      </c>
      <c r="AE392" s="295">
        <f t="shared" ref="AE392" si="8314">AD392</f>
        <v>23410</v>
      </c>
      <c r="AF392" s="295">
        <f t="shared" ref="AF392" si="8315">AE392</f>
        <v>23410</v>
      </c>
      <c r="AG392" s="295">
        <f t="shared" ref="AG392" si="8316">AF392</f>
        <v>23410</v>
      </c>
      <c r="AH392" s="295">
        <f>ROUND(AG392*(1+取值表!$D$30),0)</f>
        <v>23550</v>
      </c>
      <c r="AI392" s="295">
        <f t="shared" ref="AI392" si="8317">AH392</f>
        <v>23550</v>
      </c>
      <c r="AJ392" s="295">
        <f t="shared" ref="AJ392" si="8318">AI392</f>
        <v>23550</v>
      </c>
      <c r="AK392" s="295">
        <f t="shared" ref="AK392" si="8319">AJ392</f>
        <v>23550</v>
      </c>
      <c r="AL392" s="295">
        <f>ROUND(AK392*(1+取值表!$D$30),0)</f>
        <v>23691</v>
      </c>
      <c r="AM392" s="295">
        <f t="shared" ref="AM392" si="8320">AL392</f>
        <v>23691</v>
      </c>
      <c r="AN392" s="295">
        <f t="shared" ref="AN392" si="8321">AM392</f>
        <v>23691</v>
      </c>
      <c r="AO392" s="295">
        <f t="shared" ref="AO392" si="8322">AN392</f>
        <v>23691</v>
      </c>
      <c r="AP392" s="295">
        <f>ROUND(AO392*(1+取值表!$D$30),0)</f>
        <v>23833</v>
      </c>
      <c r="AQ392" s="295">
        <f t="shared" ref="AQ392" si="8323">AP392</f>
        <v>23833</v>
      </c>
      <c r="AR392" s="295">
        <f t="shared" ref="AR392" si="8324">AQ392</f>
        <v>23833</v>
      </c>
      <c r="AS392" s="295">
        <f t="shared" ref="AS392" si="8325">AR392</f>
        <v>23833</v>
      </c>
      <c r="AT392" s="295">
        <f>ROUND(AS392*(1+取值表!$D$30),0)</f>
        <v>23976</v>
      </c>
      <c r="AU392" s="295">
        <f t="shared" ref="AU392" si="8326">AT392</f>
        <v>23976</v>
      </c>
      <c r="AV392" s="295">
        <f t="shared" ref="AV392" si="8327">AU392</f>
        <v>23976</v>
      </c>
      <c r="AW392" s="295">
        <f t="shared" ref="AW392" si="8328">AV392</f>
        <v>23976</v>
      </c>
      <c r="AX392" s="295">
        <f>ROUND(AW392*(1+取值表!$D$30),0)</f>
        <v>24120</v>
      </c>
      <c r="AY392" s="295">
        <f t="shared" ref="AY392" si="8329">AX392</f>
        <v>24120</v>
      </c>
      <c r="AZ392" s="295">
        <f t="shared" ref="AZ392" si="8330">AY392</f>
        <v>24120</v>
      </c>
      <c r="BA392" s="295">
        <f t="shared" ref="BA392" si="8331">AZ392</f>
        <v>24120</v>
      </c>
      <c r="BB392" s="295">
        <f>ROUND(BA392*(1+取值表!$D$30),0)</f>
        <v>24265</v>
      </c>
      <c r="BC392" s="295">
        <f>BB392</f>
        <v>24265</v>
      </c>
      <c r="BD392" s="295">
        <f t="shared" ref="BD392" si="8332">BC392</f>
        <v>24265</v>
      </c>
      <c r="BE392" s="295">
        <f>BD392</f>
        <v>24265</v>
      </c>
      <c r="BF392" s="295">
        <f>ROUND(BE392*(1+取值表!$D$30),0)</f>
        <v>24411</v>
      </c>
      <c r="BG392" s="295">
        <f>BF392</f>
        <v>24411</v>
      </c>
      <c r="BH392" s="295">
        <f t="shared" ref="BH392" si="8333">BG392</f>
        <v>24411</v>
      </c>
      <c r="BI392" s="295">
        <f t="shared" ref="BI392" si="8334">BH392</f>
        <v>24411</v>
      </c>
      <c r="BJ392" s="295">
        <f>ROUND(BI392*(1+取值表!$D$30),0)</f>
        <v>24557</v>
      </c>
      <c r="BK392" s="295">
        <f t="shared" ref="BK392" si="8335">BJ392</f>
        <v>24557</v>
      </c>
      <c r="BL392" s="295">
        <f t="shared" ref="BL392" si="8336">BK392</f>
        <v>24557</v>
      </c>
      <c r="BM392" s="295">
        <f t="shared" ref="BM392" si="8337">BL392</f>
        <v>24557</v>
      </c>
      <c r="BN392" s="295">
        <f>ROUND(BM392*(1+取值表!$D$30),0)</f>
        <v>24704</v>
      </c>
      <c r="BO392" s="295">
        <f t="shared" ref="BO392" si="8338">BN392</f>
        <v>24704</v>
      </c>
      <c r="BP392" s="295">
        <f t="shared" ref="BP392" si="8339">BO392</f>
        <v>24704</v>
      </c>
      <c r="BQ392" s="295">
        <f t="shared" ref="BQ392" si="8340">BP392</f>
        <v>24704</v>
      </c>
      <c r="BR392" s="295">
        <f>ROUND(BQ392*(1+取值表!$D$30),0)</f>
        <v>24852</v>
      </c>
      <c r="BS392" s="295">
        <f t="shared" ref="BS392" si="8341">BR392</f>
        <v>24852</v>
      </c>
      <c r="BT392" s="295">
        <f t="shared" ref="BT392" si="8342">BS392</f>
        <v>24852</v>
      </c>
      <c r="BU392" s="295">
        <f t="shared" ref="BU392" si="8343">BT392</f>
        <v>24852</v>
      </c>
      <c r="BV392" s="295">
        <f>ROUND(BU392*(1+取值表!$D$30),0)</f>
        <v>25001</v>
      </c>
      <c r="BW392" s="295">
        <f t="shared" ref="BW392" si="8344">BV392</f>
        <v>25001</v>
      </c>
      <c r="BX392" s="295">
        <f t="shared" ref="BX392" si="8345">BW392</f>
        <v>25001</v>
      </c>
      <c r="BY392" s="295">
        <f t="shared" ref="BY392" si="8346">BX392</f>
        <v>25001</v>
      </c>
      <c r="BZ392" s="295">
        <f>ROUND(BY392*(1+取值表!$D$30),0)</f>
        <v>25151</v>
      </c>
      <c r="CA392" s="295">
        <f t="shared" ref="CA392" si="8347">BZ392</f>
        <v>25151</v>
      </c>
      <c r="CB392" s="295">
        <f t="shared" ref="CB392" si="8348">CA392</f>
        <v>25151</v>
      </c>
      <c r="CC392" s="295">
        <f t="shared" ref="CC392" si="8349">CB392</f>
        <v>25151</v>
      </c>
      <c r="CD392" s="295">
        <f>ROUND(CC392*(1+取值表!$D$30),0)</f>
        <v>25302</v>
      </c>
      <c r="CE392" s="295">
        <f t="shared" ref="CE392" si="8350">CD392</f>
        <v>25302</v>
      </c>
      <c r="CF392" s="295">
        <f t="shared" ref="CF392" si="8351">CE392</f>
        <v>25302</v>
      </c>
      <c r="CG392" s="295">
        <f t="shared" ref="CG392" si="8352">CF392</f>
        <v>25302</v>
      </c>
      <c r="CH392" s="295">
        <f>ROUND(CG392*(1+取值表!$D$30),0)</f>
        <v>25454</v>
      </c>
      <c r="CI392" s="295">
        <f>CH392</f>
        <v>25454</v>
      </c>
      <c r="CJ392" s="295">
        <f t="shared" ref="CJ392" si="8353">CI392</f>
        <v>25454</v>
      </c>
      <c r="CK392" s="295">
        <f t="shared" ref="CK392" si="8354">CJ392</f>
        <v>25454</v>
      </c>
      <c r="CL392" s="295">
        <f>ROUND(CK392*(1+取值表!$D$30),0)</f>
        <v>25607</v>
      </c>
      <c r="CM392" s="295">
        <f>CL392</f>
        <v>25607</v>
      </c>
      <c r="CN392" s="295">
        <f t="shared" ref="CN392" si="8355">CM392</f>
        <v>25607</v>
      </c>
      <c r="CO392" s="295">
        <f t="shared" ref="CO392" si="8356">CN392</f>
        <v>25607</v>
      </c>
      <c r="CP392" s="293">
        <f t="shared" si="8206"/>
        <v>2027416</v>
      </c>
    </row>
    <row r="393" spans="1:94" s="299" customFormat="1">
      <c r="A393" s="670"/>
      <c r="B393" s="658"/>
      <c r="C393" s="659"/>
      <c r="D393" s="647"/>
      <c r="E393" s="660"/>
      <c r="F393" s="661"/>
      <c r="G393" s="661"/>
      <c r="H393" s="662"/>
      <c r="I393" s="298"/>
      <c r="J393" s="292"/>
      <c r="K393" s="295"/>
      <c r="L393" s="295"/>
      <c r="M393" s="295"/>
      <c r="N393" s="294"/>
      <c r="O393" s="295"/>
      <c r="P393" s="295"/>
      <c r="Q393" s="295"/>
      <c r="R393" s="295">
        <f>ROUND(Q393*(1+取值表!$D$30),0)</f>
        <v>0</v>
      </c>
      <c r="S393" s="295"/>
      <c r="T393" s="295"/>
      <c r="U393" s="295"/>
      <c r="V393" s="295">
        <f>ROUND(U393*(1+取值表!$D$30),0)</f>
        <v>0</v>
      </c>
      <c r="W393" s="295"/>
      <c r="X393" s="295"/>
      <c r="Y393" s="295"/>
      <c r="Z393" s="295">
        <f>ROUND(Y393*(1+取值表!$D$30),0)</f>
        <v>0</v>
      </c>
      <c r="AA393" s="295"/>
      <c r="AB393" s="295"/>
      <c r="AC393" s="295"/>
      <c r="AD393" s="295">
        <f>ROUND(AC393*(1+取值表!$D$30),0)</f>
        <v>0</v>
      </c>
      <c r="AE393" s="295"/>
      <c r="AF393" s="295"/>
      <c r="AG393" s="295"/>
      <c r="AH393" s="295">
        <f>ROUND(AG393*(1+取值表!$D$30),0)</f>
        <v>0</v>
      </c>
      <c r="AI393" s="295"/>
      <c r="AJ393" s="295"/>
      <c r="AK393" s="295"/>
      <c r="AL393" s="295">
        <f>ROUND(AK393*(1+取值表!$D$30),0)</f>
        <v>0</v>
      </c>
      <c r="AM393" s="295"/>
      <c r="AN393" s="295"/>
      <c r="AO393" s="295"/>
      <c r="AP393" s="295">
        <f>ROUND(AO393*(1+取值表!$D$30),0)</f>
        <v>0</v>
      </c>
      <c r="AQ393" s="295"/>
      <c r="AR393" s="295"/>
      <c r="AS393" s="295"/>
      <c r="AT393" s="295">
        <f>ROUND(AS393*(1+取值表!$D$30),0)</f>
        <v>0</v>
      </c>
      <c r="AU393" s="295"/>
      <c r="AV393" s="295"/>
      <c r="AW393" s="295"/>
      <c r="AX393" s="295">
        <f>ROUND(AW393*(1+取值表!$D$30),0)</f>
        <v>0</v>
      </c>
      <c r="AY393" s="295"/>
      <c r="AZ393" s="295"/>
      <c r="BA393" s="295"/>
      <c r="BB393" s="295">
        <f>ROUND(BA393*(1+取值表!$D$30),0)</f>
        <v>0</v>
      </c>
      <c r="BC393" s="295"/>
      <c r="BD393" s="295"/>
      <c r="BE393" s="295"/>
      <c r="BF393" s="295">
        <f>ROUND(BE393*(1+取值表!$D$30),0)</f>
        <v>0</v>
      </c>
      <c r="BG393" s="295"/>
      <c r="BH393" s="295"/>
      <c r="BI393" s="295"/>
      <c r="BJ393" s="295">
        <f>ROUND(BI393*(1+取值表!$D$30),0)</f>
        <v>0</v>
      </c>
      <c r="BK393" s="295"/>
      <c r="BL393" s="295"/>
      <c r="BM393" s="295"/>
      <c r="BN393" s="295">
        <f>ROUND(BM393*(1+取值表!$D$30),0)</f>
        <v>0</v>
      </c>
      <c r="BO393" s="295"/>
      <c r="BP393" s="295"/>
      <c r="BQ393" s="295"/>
      <c r="BR393" s="295">
        <f>ROUND(BQ393*(1+取值表!$D$30),0)</f>
        <v>0</v>
      </c>
      <c r="BS393" s="295"/>
      <c r="BT393" s="295"/>
      <c r="BU393" s="295"/>
      <c r="BV393" s="295">
        <f>ROUND(BU393*(1+取值表!$D$30),0)</f>
        <v>0</v>
      </c>
      <c r="BW393" s="295"/>
      <c r="BX393" s="295"/>
      <c r="BY393" s="295"/>
      <c r="BZ393" s="295">
        <f>ROUND(BY393*(1+取值表!$D$30),0)</f>
        <v>0</v>
      </c>
      <c r="CA393" s="295"/>
      <c r="CB393" s="295"/>
      <c r="CC393" s="295"/>
      <c r="CD393" s="295">
        <f>ROUND(CC393*(1+取值表!$D$30),0)</f>
        <v>0</v>
      </c>
      <c r="CE393" s="295"/>
      <c r="CF393" s="295"/>
      <c r="CG393" s="295"/>
      <c r="CH393" s="295">
        <f>ROUND(CG393*(1+取值表!$D$30),0)</f>
        <v>0</v>
      </c>
      <c r="CI393" s="295"/>
      <c r="CJ393" s="295"/>
      <c r="CK393" s="295"/>
      <c r="CL393" s="295">
        <f>ROUND(CK393*(1+取值表!$D$30),0)</f>
        <v>0</v>
      </c>
      <c r="CM393" s="295"/>
      <c r="CN393" s="295"/>
      <c r="CO393" s="295"/>
      <c r="CP393" s="293">
        <f t="shared" si="8206"/>
        <v>0</v>
      </c>
    </row>
    <row r="394" spans="1:94" s="299" customFormat="1" ht="13.5" customHeight="1">
      <c r="A394" s="669">
        <v>201</v>
      </c>
      <c r="B394" s="658" t="s">
        <v>337</v>
      </c>
      <c r="C394" s="659" t="s">
        <v>318</v>
      </c>
      <c r="D394" s="647" t="s">
        <v>460</v>
      </c>
      <c r="E394" s="660"/>
      <c r="F394" s="661"/>
      <c r="G394" s="661"/>
      <c r="H394" s="662">
        <v>96000</v>
      </c>
      <c r="I394" s="298">
        <v>5000</v>
      </c>
      <c r="J394" s="292">
        <f>ROUND(H394/4*(1+取值表!$D$30)*取值表!$I$30,0)</f>
        <v>22720</v>
      </c>
      <c r="K394" s="295">
        <f>J394</f>
        <v>22720</v>
      </c>
      <c r="L394" s="295">
        <f>K394</f>
        <v>22720</v>
      </c>
      <c r="M394" s="295">
        <f>L394</f>
        <v>22720</v>
      </c>
      <c r="N394" s="294">
        <f>ROUND(M394*(1+取值表!$D$30),0)</f>
        <v>22856</v>
      </c>
      <c r="O394" s="295">
        <f>N394</f>
        <v>22856</v>
      </c>
      <c r="P394" s="295">
        <f t="shared" ref="P394" si="8357">O394</f>
        <v>22856</v>
      </c>
      <c r="Q394" s="295">
        <f>P394</f>
        <v>22856</v>
      </c>
      <c r="R394" s="295">
        <f>ROUND(Q394*(1+取值表!$D$30),0)</f>
        <v>22993</v>
      </c>
      <c r="S394" s="295">
        <f t="shared" ref="S394:T394" si="8358">R394</f>
        <v>22993</v>
      </c>
      <c r="T394" s="295">
        <f t="shared" si="8358"/>
        <v>22993</v>
      </c>
      <c r="U394" s="295">
        <f>T394</f>
        <v>22993</v>
      </c>
      <c r="V394" s="295">
        <f>ROUND(U394*(1+取值表!$D$30),0)</f>
        <v>23131</v>
      </c>
      <c r="W394" s="295">
        <f t="shared" ref="W394" si="8359">V394</f>
        <v>23131</v>
      </c>
      <c r="X394" s="295">
        <f t="shared" ref="X394" si="8360">W394</f>
        <v>23131</v>
      </c>
      <c r="Y394" s="295">
        <f t="shared" ref="Y394" si="8361">X394</f>
        <v>23131</v>
      </c>
      <c r="Z394" s="295">
        <f>ROUND(Y394*(1+取值表!$D$30),0)</f>
        <v>23270</v>
      </c>
      <c r="AA394" s="295">
        <f t="shared" ref="AA394" si="8362">Z394</f>
        <v>23270</v>
      </c>
      <c r="AB394" s="295">
        <f t="shared" ref="AB394" si="8363">AA394</f>
        <v>23270</v>
      </c>
      <c r="AC394" s="295">
        <f>AB394</f>
        <v>23270</v>
      </c>
      <c r="AD394" s="295">
        <f>ROUND(AC394*(1+取值表!$D$30),0)</f>
        <v>23410</v>
      </c>
      <c r="AE394" s="295">
        <f t="shared" ref="AE394" si="8364">AD394</f>
        <v>23410</v>
      </c>
      <c r="AF394" s="295">
        <f t="shared" ref="AF394" si="8365">AE394</f>
        <v>23410</v>
      </c>
      <c r="AG394" s="295">
        <f t="shared" ref="AG394" si="8366">AF394</f>
        <v>23410</v>
      </c>
      <c r="AH394" s="295">
        <f>ROUND(AG394*(1+取值表!$D$30),0)</f>
        <v>23550</v>
      </c>
      <c r="AI394" s="295">
        <f t="shared" ref="AI394" si="8367">AH394</f>
        <v>23550</v>
      </c>
      <c r="AJ394" s="295">
        <f t="shared" ref="AJ394" si="8368">AI394</f>
        <v>23550</v>
      </c>
      <c r="AK394" s="295">
        <f t="shared" ref="AK394" si="8369">AJ394</f>
        <v>23550</v>
      </c>
      <c r="AL394" s="295">
        <f>ROUND(AK394*(1+取值表!$D$30),0)</f>
        <v>23691</v>
      </c>
      <c r="AM394" s="295">
        <f t="shared" ref="AM394" si="8370">AL394</f>
        <v>23691</v>
      </c>
      <c r="AN394" s="295">
        <f t="shared" ref="AN394" si="8371">AM394</f>
        <v>23691</v>
      </c>
      <c r="AO394" s="295">
        <f t="shared" ref="AO394" si="8372">AN394</f>
        <v>23691</v>
      </c>
      <c r="AP394" s="295">
        <f>ROUND(AO394*(1+取值表!$D$30),0)</f>
        <v>23833</v>
      </c>
      <c r="AQ394" s="295">
        <f t="shared" ref="AQ394" si="8373">AP394</f>
        <v>23833</v>
      </c>
      <c r="AR394" s="295">
        <f t="shared" ref="AR394" si="8374">AQ394</f>
        <v>23833</v>
      </c>
      <c r="AS394" s="295">
        <f t="shared" ref="AS394" si="8375">AR394</f>
        <v>23833</v>
      </c>
      <c r="AT394" s="295">
        <f>ROUND(AS394*(1+取值表!$D$30),0)</f>
        <v>23976</v>
      </c>
      <c r="AU394" s="295">
        <f t="shared" ref="AU394" si="8376">AT394</f>
        <v>23976</v>
      </c>
      <c r="AV394" s="295">
        <f t="shared" ref="AV394" si="8377">AU394</f>
        <v>23976</v>
      </c>
      <c r="AW394" s="295">
        <f t="shared" ref="AW394" si="8378">AV394</f>
        <v>23976</v>
      </c>
      <c r="AX394" s="295">
        <f>ROUND(AW394*(1+取值表!$D$30),0)</f>
        <v>24120</v>
      </c>
      <c r="AY394" s="295">
        <f t="shared" ref="AY394" si="8379">AX394</f>
        <v>24120</v>
      </c>
      <c r="AZ394" s="295">
        <f t="shared" ref="AZ394" si="8380">AY394</f>
        <v>24120</v>
      </c>
      <c r="BA394" s="295">
        <f t="shared" ref="BA394" si="8381">AZ394</f>
        <v>24120</v>
      </c>
      <c r="BB394" s="295">
        <f>ROUND(BA394*(1+取值表!$D$30),0)</f>
        <v>24265</v>
      </c>
      <c r="BC394" s="295">
        <f>BB394</f>
        <v>24265</v>
      </c>
      <c r="BD394" s="295">
        <f t="shared" ref="BD394" si="8382">BC394</f>
        <v>24265</v>
      </c>
      <c r="BE394" s="295">
        <f>BD394</f>
        <v>24265</v>
      </c>
      <c r="BF394" s="295">
        <f>ROUND(BE394*(1+取值表!$D$30),0)</f>
        <v>24411</v>
      </c>
      <c r="BG394" s="295">
        <f>BF394</f>
        <v>24411</v>
      </c>
      <c r="BH394" s="295">
        <f t="shared" ref="BH394" si="8383">BG394</f>
        <v>24411</v>
      </c>
      <c r="BI394" s="295">
        <f t="shared" ref="BI394" si="8384">BH394</f>
        <v>24411</v>
      </c>
      <c r="BJ394" s="295">
        <f>ROUND(BI394*(1+取值表!$D$30),0)</f>
        <v>24557</v>
      </c>
      <c r="BK394" s="295">
        <f t="shared" ref="BK394" si="8385">BJ394</f>
        <v>24557</v>
      </c>
      <c r="BL394" s="295">
        <f t="shared" ref="BL394" si="8386">BK394</f>
        <v>24557</v>
      </c>
      <c r="BM394" s="295">
        <f t="shared" ref="BM394" si="8387">BL394</f>
        <v>24557</v>
      </c>
      <c r="BN394" s="295">
        <f>ROUND(BM394*(1+取值表!$D$30),0)</f>
        <v>24704</v>
      </c>
      <c r="BO394" s="295">
        <f t="shared" ref="BO394" si="8388">BN394</f>
        <v>24704</v>
      </c>
      <c r="BP394" s="295">
        <f t="shared" ref="BP394" si="8389">BO394</f>
        <v>24704</v>
      </c>
      <c r="BQ394" s="295">
        <f t="shared" ref="BQ394" si="8390">BP394</f>
        <v>24704</v>
      </c>
      <c r="BR394" s="295">
        <f>ROUND(BQ394*(1+取值表!$D$30),0)</f>
        <v>24852</v>
      </c>
      <c r="BS394" s="295">
        <f t="shared" ref="BS394" si="8391">BR394</f>
        <v>24852</v>
      </c>
      <c r="BT394" s="295">
        <f t="shared" ref="BT394" si="8392">BS394</f>
        <v>24852</v>
      </c>
      <c r="BU394" s="295">
        <f t="shared" ref="BU394" si="8393">BT394</f>
        <v>24852</v>
      </c>
      <c r="BV394" s="295">
        <f>ROUND(BU394*(1+取值表!$D$30),0)</f>
        <v>25001</v>
      </c>
      <c r="BW394" s="295">
        <f t="shared" ref="BW394" si="8394">BV394</f>
        <v>25001</v>
      </c>
      <c r="BX394" s="295">
        <f t="shared" ref="BX394" si="8395">BW394</f>
        <v>25001</v>
      </c>
      <c r="BY394" s="295">
        <f t="shared" ref="BY394" si="8396">BX394</f>
        <v>25001</v>
      </c>
      <c r="BZ394" s="295">
        <f>ROUND(BY394*(1+取值表!$D$30),0)</f>
        <v>25151</v>
      </c>
      <c r="CA394" s="295">
        <f t="shared" ref="CA394" si="8397">BZ394</f>
        <v>25151</v>
      </c>
      <c r="CB394" s="295">
        <f t="shared" ref="CB394" si="8398">CA394</f>
        <v>25151</v>
      </c>
      <c r="CC394" s="295">
        <f t="shared" ref="CC394" si="8399">CB394</f>
        <v>25151</v>
      </c>
      <c r="CD394" s="295">
        <f>ROUND(CC394*(1+取值表!$D$30),0)</f>
        <v>25302</v>
      </c>
      <c r="CE394" s="295">
        <f t="shared" ref="CE394" si="8400">CD394</f>
        <v>25302</v>
      </c>
      <c r="CF394" s="295">
        <f t="shared" ref="CF394" si="8401">CE394</f>
        <v>25302</v>
      </c>
      <c r="CG394" s="295">
        <f t="shared" ref="CG394" si="8402">CF394</f>
        <v>25302</v>
      </c>
      <c r="CH394" s="295">
        <f>ROUND(CG394*(1+取值表!$D$30),0)</f>
        <v>25454</v>
      </c>
      <c r="CI394" s="295">
        <f>CH394</f>
        <v>25454</v>
      </c>
      <c r="CJ394" s="295">
        <f t="shared" ref="CJ394" si="8403">CI394</f>
        <v>25454</v>
      </c>
      <c r="CK394" s="295">
        <f t="shared" ref="CK394" si="8404">CJ394</f>
        <v>25454</v>
      </c>
      <c r="CL394" s="295">
        <f>ROUND(CK394*(1+取值表!$D$30),0)</f>
        <v>25607</v>
      </c>
      <c r="CM394" s="295">
        <f>CL394</f>
        <v>25607</v>
      </c>
      <c r="CN394" s="295">
        <f t="shared" ref="CN394" si="8405">CM394</f>
        <v>25607</v>
      </c>
      <c r="CO394" s="295">
        <f t="shared" ref="CO394" si="8406">CN394</f>
        <v>25607</v>
      </c>
      <c r="CP394" s="293">
        <f t="shared" si="8206"/>
        <v>2027416</v>
      </c>
    </row>
    <row r="395" spans="1:94" s="299" customFormat="1">
      <c r="A395" s="670"/>
      <c r="B395" s="658"/>
      <c r="C395" s="659"/>
      <c r="D395" s="647"/>
      <c r="E395" s="660"/>
      <c r="F395" s="661"/>
      <c r="G395" s="661"/>
      <c r="H395" s="662"/>
      <c r="I395" s="298"/>
      <c r="J395" s="292"/>
      <c r="K395" s="295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5"/>
      <c r="W395" s="295"/>
      <c r="X395" s="295"/>
      <c r="Y395" s="295"/>
      <c r="Z395" s="295"/>
      <c r="AA395" s="295"/>
      <c r="AB395" s="295"/>
      <c r="AC395" s="295"/>
      <c r="AD395" s="295"/>
      <c r="AE395" s="295"/>
      <c r="AF395" s="295"/>
      <c r="AG395" s="295"/>
      <c r="AH395" s="295"/>
      <c r="AI395" s="295"/>
      <c r="AJ395" s="295"/>
      <c r="AK395" s="295"/>
      <c r="AL395" s="295"/>
      <c r="AM395" s="295"/>
      <c r="AN395" s="295"/>
      <c r="AO395" s="295"/>
      <c r="AP395" s="295"/>
      <c r="AQ395" s="295"/>
      <c r="AR395" s="295"/>
      <c r="AS395" s="295"/>
      <c r="AT395" s="295"/>
      <c r="AU395" s="295"/>
      <c r="AV395" s="295"/>
      <c r="AW395" s="295"/>
      <c r="AX395" s="295"/>
      <c r="AY395" s="295"/>
      <c r="AZ395" s="295"/>
      <c r="BA395" s="295"/>
      <c r="BB395" s="295"/>
      <c r="BC395" s="295"/>
      <c r="BD395" s="295"/>
      <c r="BE395" s="295"/>
      <c r="BF395" s="295"/>
      <c r="BG395" s="295"/>
      <c r="BH395" s="295"/>
      <c r="BI395" s="295"/>
      <c r="BJ395" s="295"/>
      <c r="BK395" s="295"/>
      <c r="BL395" s="295"/>
      <c r="BM395" s="295"/>
      <c r="BN395" s="295"/>
      <c r="BO395" s="295"/>
      <c r="BP395" s="295"/>
      <c r="BQ395" s="295"/>
      <c r="BR395" s="295"/>
      <c r="BS395" s="295"/>
      <c r="BT395" s="295"/>
      <c r="BU395" s="295"/>
      <c r="BV395" s="295"/>
      <c r="BW395" s="295"/>
      <c r="BX395" s="295"/>
      <c r="BY395" s="295"/>
      <c r="BZ395" s="295"/>
      <c r="CA395" s="295"/>
      <c r="CB395" s="295"/>
      <c r="CC395" s="295"/>
      <c r="CD395" s="295"/>
      <c r="CE395" s="295"/>
      <c r="CF395" s="295"/>
      <c r="CG395" s="295"/>
      <c r="CH395" s="295"/>
      <c r="CI395" s="295"/>
      <c r="CJ395" s="295"/>
      <c r="CK395" s="295"/>
      <c r="CL395" s="295"/>
      <c r="CM395" s="295"/>
      <c r="CN395" s="295"/>
      <c r="CO395" s="295"/>
      <c r="CP395" s="293">
        <f t="shared" si="8206"/>
        <v>0</v>
      </c>
    </row>
    <row r="396" spans="1:94" s="299" customFormat="1" ht="20.25" customHeight="1">
      <c r="A396" s="355">
        <v>202</v>
      </c>
      <c r="B396" s="356" t="s">
        <v>1273</v>
      </c>
      <c r="C396" s="357"/>
      <c r="D396" s="358"/>
      <c r="E396" s="359"/>
      <c r="F396" s="298">
        <f>基础资料!H27-40921.51+202</f>
        <v>2421.9199999999983</v>
      </c>
      <c r="G396" s="298">
        <v>11.73</v>
      </c>
      <c r="H396" s="311">
        <f>G396*F396*365</f>
        <v>10369329.383999992</v>
      </c>
      <c r="I396" s="298"/>
      <c r="J396" s="360">
        <f>ROUND(G396*F396*365*取值表!I2/4,0)</f>
        <v>2439385</v>
      </c>
      <c r="K396" s="360">
        <f>J396</f>
        <v>2439385</v>
      </c>
      <c r="L396" s="360">
        <f>K396</f>
        <v>2439385</v>
      </c>
      <c r="M396" s="360">
        <f>L396</f>
        <v>2439385</v>
      </c>
      <c r="N396" s="294">
        <f>ROUND(M396*(1+取值表!$P$24),0)</f>
        <v>2617460</v>
      </c>
      <c r="O396" s="360">
        <f>N396</f>
        <v>2617460</v>
      </c>
      <c r="P396" s="360">
        <f>O396</f>
        <v>2617460</v>
      </c>
      <c r="Q396" s="360">
        <f>P396</f>
        <v>2617460</v>
      </c>
      <c r="R396" s="295">
        <f>ROUND(Q396*(1+取值表!$P$24),0)</f>
        <v>2808535</v>
      </c>
      <c r="S396" s="360">
        <f t="shared" ref="S396:T396" si="8407">R396</f>
        <v>2808535</v>
      </c>
      <c r="T396" s="360">
        <f t="shared" si="8407"/>
        <v>2808535</v>
      </c>
      <c r="U396" s="360">
        <f>T396</f>
        <v>2808535</v>
      </c>
      <c r="V396" s="295">
        <f>ROUND(U396*(1+取值表!$P$24),0)</f>
        <v>3013558</v>
      </c>
      <c r="W396" s="360">
        <f t="shared" ref="W396" si="8408">V396</f>
        <v>3013558</v>
      </c>
      <c r="X396" s="360">
        <f t="shared" ref="X396" si="8409">W396</f>
        <v>3013558</v>
      </c>
      <c r="Y396" s="360">
        <f t="shared" ref="Y396" si="8410">X396</f>
        <v>3013558</v>
      </c>
      <c r="Z396" s="295">
        <f>ROUND(Y396*(1+取值表!$P$24),0)</f>
        <v>3233548</v>
      </c>
      <c r="AA396" s="360">
        <f>Z396</f>
        <v>3233548</v>
      </c>
      <c r="AB396" s="360">
        <f>AA396</f>
        <v>3233548</v>
      </c>
      <c r="AC396" s="360">
        <f>AB396</f>
        <v>3233548</v>
      </c>
      <c r="AD396" s="295">
        <f>ROUND(AC396*(1+取值表!$P$24),0)</f>
        <v>3469597</v>
      </c>
      <c r="AE396" s="360">
        <f t="shared" ref="AE396" si="8411">AD396</f>
        <v>3469597</v>
      </c>
      <c r="AF396" s="360">
        <f t="shared" ref="AF396" si="8412">AE396</f>
        <v>3469597</v>
      </c>
      <c r="AG396" s="360">
        <f t="shared" ref="AG396" si="8413">AF396</f>
        <v>3469597</v>
      </c>
      <c r="AH396" s="295">
        <f>ROUND(AG396*(1+取值表!$P$24),0)</f>
        <v>3722878</v>
      </c>
      <c r="AI396" s="360">
        <f t="shared" ref="AI396" si="8414">AH396</f>
        <v>3722878</v>
      </c>
      <c r="AJ396" s="360">
        <f t="shared" ref="AJ396" si="8415">AI396</f>
        <v>3722878</v>
      </c>
      <c r="AK396" s="360">
        <f t="shared" ref="AK396" si="8416">AJ396</f>
        <v>3722878</v>
      </c>
      <c r="AL396" s="295">
        <f>ROUND(AK396*(1+取值表!$P$24),0)</f>
        <v>3994648</v>
      </c>
      <c r="AM396" s="360">
        <f t="shared" ref="AM396" si="8417">AL396</f>
        <v>3994648</v>
      </c>
      <c r="AN396" s="360">
        <f t="shared" ref="AN396" si="8418">AM396</f>
        <v>3994648</v>
      </c>
      <c r="AO396" s="360">
        <f t="shared" ref="AO396" si="8419">AN396</f>
        <v>3994648</v>
      </c>
      <c r="AP396" s="295">
        <f>ROUND(AO396*(1+取值表!$P$24),0)</f>
        <v>4286257</v>
      </c>
      <c r="AQ396" s="360">
        <f t="shared" ref="AQ396" si="8420">AP396</f>
        <v>4286257</v>
      </c>
      <c r="AR396" s="360">
        <f t="shared" ref="AR396" si="8421">AQ396</f>
        <v>4286257</v>
      </c>
      <c r="AS396" s="360">
        <f t="shared" ref="AS396" si="8422">AR396</f>
        <v>4286257</v>
      </c>
      <c r="AT396" s="295">
        <f>ROUND(AS396*(1+取值表!$P$24),0)</f>
        <v>4599154</v>
      </c>
      <c r="AU396" s="360">
        <f t="shared" ref="AU396" si="8423">AT396</f>
        <v>4599154</v>
      </c>
      <c r="AV396" s="360">
        <f t="shared" ref="AV396" si="8424">AU396</f>
        <v>4599154</v>
      </c>
      <c r="AW396" s="360">
        <f t="shared" ref="AW396" si="8425">AV396</f>
        <v>4599154</v>
      </c>
      <c r="AX396" s="295">
        <f>ROUND(AW396*(1+取值表!$P$24),0)</f>
        <v>4934892</v>
      </c>
      <c r="AY396" s="360">
        <f t="shared" ref="AY396" si="8426">AX396</f>
        <v>4934892</v>
      </c>
      <c r="AZ396" s="360">
        <f t="shared" ref="AZ396" si="8427">AY396</f>
        <v>4934892</v>
      </c>
      <c r="BA396" s="360">
        <f t="shared" ref="BA396" si="8428">AZ396</f>
        <v>4934892</v>
      </c>
      <c r="BB396" s="295">
        <f>ROUND(BA396*(1+取值表!$P$24),0)</f>
        <v>5295139</v>
      </c>
      <c r="BC396" s="360">
        <f>BB396</f>
        <v>5295139</v>
      </c>
      <c r="BD396" s="360">
        <f t="shared" ref="BD396" si="8429">BC396</f>
        <v>5295139</v>
      </c>
      <c r="BE396" s="360">
        <f>BD396</f>
        <v>5295139</v>
      </c>
      <c r="BF396" s="295">
        <f>ROUND(BE396*(1+取值表!$P$24),0)</f>
        <v>5681684</v>
      </c>
      <c r="BG396" s="360">
        <f>BF396</f>
        <v>5681684</v>
      </c>
      <c r="BH396" s="360">
        <f t="shared" ref="BH396" si="8430">BG396</f>
        <v>5681684</v>
      </c>
      <c r="BI396" s="360">
        <f t="shared" ref="BI396" si="8431">BH396</f>
        <v>5681684</v>
      </c>
      <c r="BJ396" s="295">
        <f>ROUND(BI396*(1+取值表!$P$24),0)</f>
        <v>6096447</v>
      </c>
      <c r="BK396" s="360">
        <f t="shared" ref="BK396" si="8432">BJ396</f>
        <v>6096447</v>
      </c>
      <c r="BL396" s="360">
        <f t="shared" ref="BL396" si="8433">BK396</f>
        <v>6096447</v>
      </c>
      <c r="BM396" s="360">
        <f t="shared" ref="BM396" si="8434">BL396</f>
        <v>6096447</v>
      </c>
      <c r="BN396" s="295">
        <f>ROUND(BM396*(1+取值表!$P$24),0)</f>
        <v>6541488</v>
      </c>
      <c r="BO396" s="360">
        <f t="shared" ref="BO396" si="8435">BN396</f>
        <v>6541488</v>
      </c>
      <c r="BP396" s="360">
        <f t="shared" ref="BP396" si="8436">BO396</f>
        <v>6541488</v>
      </c>
      <c r="BQ396" s="360">
        <f t="shared" ref="BQ396" si="8437">BP396</f>
        <v>6541488</v>
      </c>
      <c r="BR396" s="295">
        <f>ROUND(BQ396*(1+取值表!$P$24),0)</f>
        <v>7019017</v>
      </c>
      <c r="BS396" s="360">
        <f t="shared" ref="BS396" si="8438">BR396</f>
        <v>7019017</v>
      </c>
      <c r="BT396" s="360">
        <f t="shared" ref="BT396" si="8439">BS396</f>
        <v>7019017</v>
      </c>
      <c r="BU396" s="360">
        <f t="shared" ref="BU396" si="8440">BT396</f>
        <v>7019017</v>
      </c>
      <c r="BV396" s="295">
        <f>ROUND(BU396*(1+取值表!$P$24),0)</f>
        <v>7531405</v>
      </c>
      <c r="BW396" s="360">
        <f t="shared" ref="BW396" si="8441">BV396</f>
        <v>7531405</v>
      </c>
      <c r="BX396" s="360">
        <f t="shared" ref="BX396" si="8442">BW396</f>
        <v>7531405</v>
      </c>
      <c r="BY396" s="360">
        <f t="shared" ref="BY396" si="8443">BX396</f>
        <v>7531405</v>
      </c>
      <c r="BZ396" s="295">
        <f>ROUND(BY396*(1+取值表!$P$24),0)</f>
        <v>8081198</v>
      </c>
      <c r="CA396" s="360">
        <f t="shared" ref="CA396" si="8444">BZ396</f>
        <v>8081198</v>
      </c>
      <c r="CB396" s="360">
        <f t="shared" ref="CB396" si="8445">CA396</f>
        <v>8081198</v>
      </c>
      <c r="CC396" s="360">
        <f t="shared" ref="CC396" si="8446">CB396</f>
        <v>8081198</v>
      </c>
      <c r="CD396" s="295">
        <f>ROUND(CC396*(1+取值表!$P$24),0)</f>
        <v>8671125</v>
      </c>
      <c r="CE396" s="360">
        <f t="shared" ref="CE396" si="8447">CD396</f>
        <v>8671125</v>
      </c>
      <c r="CF396" s="360">
        <f t="shared" ref="CF396" si="8448">CE396</f>
        <v>8671125</v>
      </c>
      <c r="CG396" s="360">
        <f t="shared" ref="CG396" si="8449">CF396</f>
        <v>8671125</v>
      </c>
      <c r="CH396" s="295">
        <f>ROUND(CG396*(1+取值表!$P$24),0)</f>
        <v>9304117</v>
      </c>
      <c r="CI396" s="360">
        <f>CH396</f>
        <v>9304117</v>
      </c>
      <c r="CJ396" s="360">
        <f t="shared" ref="CJ396" si="8450">CI396</f>
        <v>9304117</v>
      </c>
      <c r="CK396" s="360">
        <f t="shared" ref="CK396" si="8451">CJ396</f>
        <v>9304117</v>
      </c>
      <c r="CL396" s="295">
        <f>ROUND(CK396*(1+取值表!$P$24),0)</f>
        <v>9983318</v>
      </c>
      <c r="CM396" s="360">
        <f>CL396</f>
        <v>9983318</v>
      </c>
      <c r="CN396" s="360">
        <f t="shared" ref="CN396" si="8452">CM396</f>
        <v>9983318</v>
      </c>
      <c r="CO396" s="360">
        <f t="shared" ref="CO396" si="8453">CN396</f>
        <v>9983318</v>
      </c>
      <c r="CP396" s="293">
        <f t="shared" si="8206"/>
        <v>453299400</v>
      </c>
    </row>
    <row r="397" spans="1:94" ht="21" customHeight="1">
      <c r="A397" s="693" t="s">
        <v>605</v>
      </c>
      <c r="B397" s="694"/>
      <c r="C397" s="694"/>
      <c r="D397" s="695"/>
      <c r="E397" s="343"/>
      <c r="F397" s="291">
        <f>SUM(F3:F396)</f>
        <v>43141.430005479444</v>
      </c>
      <c r="G397" s="303">
        <f>H397/365/F398</f>
        <v>11.728696066384346</v>
      </c>
      <c r="H397" s="324">
        <f>SUM(H3:H396)</f>
        <v>177473901.64903572</v>
      </c>
      <c r="I397" s="324">
        <f>SUM(I3:I396)</f>
        <v>37747701.919999965</v>
      </c>
      <c r="J397" s="324">
        <f t="shared" ref="J397:P397" si="8454">SUM(J3:J396)</f>
        <v>43912883</v>
      </c>
      <c r="K397" s="324">
        <f t="shared" si="8454"/>
        <v>44064324</v>
      </c>
      <c r="L397" s="324">
        <f t="shared" si="8454"/>
        <v>44263906</v>
      </c>
      <c r="M397" s="324">
        <f t="shared" si="8454"/>
        <v>44447375</v>
      </c>
      <c r="N397" s="324">
        <f t="shared" si="8454"/>
        <v>45160928</v>
      </c>
      <c r="O397" s="324">
        <f t="shared" si="8454"/>
        <v>45333558</v>
      </c>
      <c r="P397" s="324">
        <f t="shared" si="8454"/>
        <v>45523027</v>
      </c>
      <c r="Q397" s="324">
        <f t="shared" ref="Q397:CB397" si="8455">SUM(Q3:Q396)</f>
        <v>45620409</v>
      </c>
      <c r="R397" s="324">
        <f t="shared" si="8455"/>
        <v>47781453</v>
      </c>
      <c r="S397" s="324">
        <f t="shared" si="8455"/>
        <v>47781453</v>
      </c>
      <c r="T397" s="324">
        <f t="shared" si="8455"/>
        <v>47841001</v>
      </c>
      <c r="U397" s="324">
        <f t="shared" si="8455"/>
        <v>47841001</v>
      </c>
      <c r="V397" s="324">
        <f t="shared" si="8455"/>
        <v>50814463</v>
      </c>
      <c r="W397" s="324">
        <f t="shared" si="8455"/>
        <v>50822237</v>
      </c>
      <c r="X397" s="324">
        <f t="shared" si="8455"/>
        <v>50822237</v>
      </c>
      <c r="Y397" s="324">
        <f t="shared" si="8455"/>
        <v>50822237</v>
      </c>
      <c r="Z397" s="324">
        <f t="shared" si="8455"/>
        <v>54458632</v>
      </c>
      <c r="AA397" s="324">
        <f>SUM(AA3:AA396)</f>
        <v>54458632</v>
      </c>
      <c r="AB397" s="324">
        <f t="shared" ref="AB397:AD397" si="8456">SUM(AB3:AB396)</f>
        <v>54504964</v>
      </c>
      <c r="AC397" s="324">
        <f t="shared" si="8456"/>
        <v>54504964</v>
      </c>
      <c r="AD397" s="324">
        <f t="shared" si="8456"/>
        <v>58737549</v>
      </c>
      <c r="AE397" s="324">
        <f t="shared" si="8455"/>
        <v>58737549</v>
      </c>
      <c r="AF397" s="324">
        <f t="shared" si="8455"/>
        <v>58737549</v>
      </c>
      <c r="AG397" s="324">
        <f t="shared" si="8455"/>
        <v>58737549</v>
      </c>
      <c r="AH397" s="324">
        <f t="shared" si="8455"/>
        <v>63358250</v>
      </c>
      <c r="AI397" s="324">
        <f t="shared" si="8455"/>
        <v>63358250</v>
      </c>
      <c r="AJ397" s="324">
        <f t="shared" si="8455"/>
        <v>63358250</v>
      </c>
      <c r="AK397" s="324">
        <f t="shared" si="8455"/>
        <v>63358250</v>
      </c>
      <c r="AL397" s="324">
        <f t="shared" si="8455"/>
        <v>68381550</v>
      </c>
      <c r="AM397" s="324">
        <f t="shared" si="8455"/>
        <v>68381550</v>
      </c>
      <c r="AN397" s="324">
        <f t="shared" si="8455"/>
        <v>68381550</v>
      </c>
      <c r="AO397" s="324">
        <f t="shared" si="8455"/>
        <v>68381550</v>
      </c>
      <c r="AP397" s="324">
        <f t="shared" si="8455"/>
        <v>73875705</v>
      </c>
      <c r="AQ397" s="324">
        <f t="shared" si="8455"/>
        <v>73875705</v>
      </c>
      <c r="AR397" s="324">
        <f t="shared" si="8455"/>
        <v>73875705</v>
      </c>
      <c r="AS397" s="324">
        <f t="shared" si="8455"/>
        <v>73875705</v>
      </c>
      <c r="AT397" s="324">
        <f t="shared" si="8455"/>
        <v>79904767</v>
      </c>
      <c r="AU397" s="324">
        <f t="shared" si="8455"/>
        <v>79904767</v>
      </c>
      <c r="AV397" s="324">
        <f t="shared" si="8455"/>
        <v>79904767</v>
      </c>
      <c r="AW397" s="324">
        <f t="shared" si="8455"/>
        <v>79904767</v>
      </c>
      <c r="AX397" s="324">
        <f t="shared" si="8455"/>
        <v>86394874</v>
      </c>
      <c r="AY397" s="324">
        <f t="shared" si="8455"/>
        <v>86394874</v>
      </c>
      <c r="AZ397" s="324">
        <f t="shared" si="8455"/>
        <v>86394874</v>
      </c>
      <c r="BA397" s="324">
        <f t="shared" si="8455"/>
        <v>86394874</v>
      </c>
      <c r="BB397" s="324">
        <f t="shared" si="8455"/>
        <v>93552123</v>
      </c>
      <c r="BC397" s="324">
        <f t="shared" si="8455"/>
        <v>93552123</v>
      </c>
      <c r="BD397" s="324">
        <f t="shared" si="8455"/>
        <v>93552123</v>
      </c>
      <c r="BE397" s="324">
        <f>SUM(BE3:BE396)</f>
        <v>93552123</v>
      </c>
      <c r="BF397" s="324">
        <f>SUM(BF3:BF396)</f>
        <v>101333162</v>
      </c>
      <c r="BG397" s="324">
        <f t="shared" si="8455"/>
        <v>101333162</v>
      </c>
      <c r="BH397" s="324">
        <f t="shared" si="8455"/>
        <v>101333162</v>
      </c>
      <c r="BI397" s="324">
        <f t="shared" si="8455"/>
        <v>101333162</v>
      </c>
      <c r="BJ397" s="324">
        <f t="shared" si="8455"/>
        <v>109793634</v>
      </c>
      <c r="BK397" s="324">
        <f t="shared" si="8455"/>
        <v>109793634</v>
      </c>
      <c r="BL397" s="324">
        <f t="shared" si="8455"/>
        <v>109793634</v>
      </c>
      <c r="BM397" s="324">
        <f t="shared" si="8455"/>
        <v>109793634</v>
      </c>
      <c r="BN397" s="324">
        <f t="shared" si="8455"/>
        <v>118994245</v>
      </c>
      <c r="BO397" s="324">
        <f t="shared" si="8455"/>
        <v>118994245</v>
      </c>
      <c r="BP397" s="324">
        <f t="shared" si="8455"/>
        <v>118994245</v>
      </c>
      <c r="BQ397" s="324">
        <f t="shared" si="8455"/>
        <v>118994245</v>
      </c>
      <c r="BR397" s="324">
        <f t="shared" si="8455"/>
        <v>129001179</v>
      </c>
      <c r="BS397" s="324">
        <f t="shared" si="8455"/>
        <v>129001179</v>
      </c>
      <c r="BT397" s="324">
        <f t="shared" si="8455"/>
        <v>129001179</v>
      </c>
      <c r="BU397" s="324">
        <f t="shared" si="8455"/>
        <v>129001179</v>
      </c>
      <c r="BV397" s="324">
        <f t="shared" si="8455"/>
        <v>139886624</v>
      </c>
      <c r="BW397" s="324">
        <f t="shared" si="8455"/>
        <v>139886624</v>
      </c>
      <c r="BX397" s="324">
        <f t="shared" si="8455"/>
        <v>139886624</v>
      </c>
      <c r="BY397" s="324">
        <f t="shared" si="8455"/>
        <v>139886624</v>
      </c>
      <c r="BZ397" s="324">
        <f t="shared" si="8455"/>
        <v>151729293</v>
      </c>
      <c r="CA397" s="324">
        <f t="shared" si="8455"/>
        <v>151729293</v>
      </c>
      <c r="CB397" s="324">
        <f t="shared" si="8455"/>
        <v>151729293</v>
      </c>
      <c r="CC397" s="324">
        <f t="shared" ref="CC397:CH397" si="8457">SUM(CC3:CC396)</f>
        <v>151729293</v>
      </c>
      <c r="CD397" s="324">
        <f t="shared" si="8457"/>
        <v>164615079</v>
      </c>
      <c r="CE397" s="324">
        <f t="shared" si="8457"/>
        <v>164615079</v>
      </c>
      <c r="CF397" s="324">
        <f t="shared" si="8457"/>
        <v>164615079</v>
      </c>
      <c r="CG397" s="324">
        <f t="shared" si="8457"/>
        <v>164615079</v>
      </c>
      <c r="CH397" s="324">
        <f t="shared" si="8457"/>
        <v>178637621</v>
      </c>
      <c r="CI397" s="324">
        <f>SUM(CI3:CI396)</f>
        <v>178637621</v>
      </c>
      <c r="CJ397" s="324">
        <f t="shared" ref="CJ397:CO397" si="8458">SUM(CJ3:CJ396)</f>
        <v>178637621</v>
      </c>
      <c r="CK397" s="324">
        <f t="shared" si="8458"/>
        <v>178637621</v>
      </c>
      <c r="CL397" s="324">
        <f t="shared" si="8458"/>
        <v>193899096</v>
      </c>
      <c r="CM397" s="324">
        <f t="shared" si="8458"/>
        <v>193899096</v>
      </c>
      <c r="CN397" s="324">
        <f t="shared" si="8458"/>
        <v>193899096</v>
      </c>
      <c r="CO397" s="324">
        <f t="shared" si="8458"/>
        <v>193899096</v>
      </c>
      <c r="CP397" s="324">
        <f>SUM(CP3:CP396)</f>
        <v>8219158688</v>
      </c>
    </row>
    <row r="398" spans="1:94" ht="21" customHeight="1">
      <c r="A398" s="297"/>
      <c r="B398" s="361"/>
      <c r="C398" s="362"/>
      <c r="D398" s="363"/>
      <c r="E398" s="364"/>
      <c r="F398" s="375">
        <f>F397-1685</f>
        <v>41456.430005479444</v>
      </c>
      <c r="G398" s="365"/>
      <c r="H398" s="366">
        <f>F397-F396</f>
        <v>40719.510005479446</v>
      </c>
      <c r="I398" s="375"/>
      <c r="AB398" s="354"/>
    </row>
    <row r="399" spans="1:94" s="235" customFormat="1" ht="12">
      <c r="A399" s="234"/>
      <c r="B399" s="382"/>
      <c r="C399" s="382"/>
      <c r="D399" s="383"/>
      <c r="E399" s="696">
        <v>1</v>
      </c>
      <c r="F399" s="696"/>
      <c r="G399" s="696"/>
      <c r="H399" s="696"/>
      <c r="I399" s="696">
        <v>2</v>
      </c>
      <c r="J399" s="696"/>
      <c r="K399" s="696"/>
      <c r="L399" s="696"/>
      <c r="M399" s="696">
        <v>3</v>
      </c>
      <c r="N399" s="696"/>
      <c r="O399" s="696"/>
      <c r="P399" s="696"/>
      <c r="Q399" s="696">
        <v>4</v>
      </c>
      <c r="R399" s="696"/>
      <c r="S399" s="696"/>
      <c r="T399" s="696"/>
      <c r="U399" s="696">
        <v>5</v>
      </c>
      <c r="V399" s="696"/>
      <c r="W399" s="696"/>
      <c r="X399" s="696"/>
      <c r="Y399" s="696">
        <v>6</v>
      </c>
      <c r="Z399" s="696"/>
      <c r="AA399" s="696"/>
      <c r="AB399" s="696"/>
      <c r="AC399" s="696">
        <v>7</v>
      </c>
      <c r="AD399" s="696"/>
      <c r="AE399" s="696"/>
      <c r="AF399" s="696"/>
      <c r="AG399" s="696">
        <v>8</v>
      </c>
      <c r="AH399" s="696"/>
      <c r="AI399" s="696"/>
      <c r="AJ399" s="696"/>
      <c r="AK399" s="696">
        <v>9</v>
      </c>
      <c r="AL399" s="696"/>
      <c r="AM399" s="696"/>
      <c r="AN399" s="696"/>
      <c r="AO399" s="696">
        <v>10</v>
      </c>
      <c r="AP399" s="696"/>
      <c r="AQ399" s="696"/>
      <c r="AR399" s="696"/>
      <c r="AS399" s="696">
        <v>11</v>
      </c>
      <c r="AT399" s="696"/>
      <c r="AU399" s="696"/>
      <c r="AV399" s="696"/>
      <c r="AW399" s="696">
        <v>12</v>
      </c>
      <c r="AX399" s="696"/>
      <c r="AY399" s="696"/>
      <c r="AZ399" s="696"/>
      <c r="BA399" s="696">
        <v>13</v>
      </c>
      <c r="BB399" s="696"/>
      <c r="BC399" s="696"/>
      <c r="BD399" s="696"/>
      <c r="BE399" s="696">
        <v>14</v>
      </c>
      <c r="BF399" s="696"/>
      <c r="BG399" s="696"/>
      <c r="BH399" s="696"/>
      <c r="BI399" s="696">
        <v>15</v>
      </c>
      <c r="BJ399" s="696"/>
      <c r="BK399" s="696"/>
      <c r="BL399" s="696"/>
      <c r="BM399" s="696">
        <v>16</v>
      </c>
      <c r="BN399" s="696"/>
      <c r="BO399" s="696"/>
      <c r="BP399" s="696"/>
      <c r="BQ399" s="696">
        <v>17</v>
      </c>
      <c r="BR399" s="696"/>
      <c r="BS399" s="696"/>
      <c r="BT399" s="696"/>
      <c r="BU399" s="696">
        <v>18</v>
      </c>
      <c r="BV399" s="696"/>
      <c r="BW399" s="696"/>
      <c r="BX399" s="696"/>
      <c r="BY399" s="696">
        <v>19</v>
      </c>
      <c r="BZ399" s="696"/>
      <c r="CA399" s="696"/>
      <c r="CB399" s="696"/>
      <c r="CC399" s="696">
        <v>20</v>
      </c>
      <c r="CD399" s="696"/>
      <c r="CE399" s="696"/>
      <c r="CF399" s="696"/>
      <c r="CG399" s="696">
        <v>21</v>
      </c>
      <c r="CH399" s="696"/>
      <c r="CI399" s="696"/>
      <c r="CJ399" s="696"/>
      <c r="CK399" s="367"/>
      <c r="CL399" s="289">
        <f>CL397/CK397-1</f>
        <v>8.5432592051816414E-2</v>
      </c>
    </row>
    <row r="400" spans="1:94" s="431" customFormat="1" ht="18.75" customHeight="1">
      <c r="A400" s="430"/>
      <c r="B400" s="486" t="s">
        <v>1295</v>
      </c>
      <c r="C400" s="486" t="s">
        <v>1296</v>
      </c>
      <c r="D400" s="487" t="s">
        <v>1297</v>
      </c>
      <c r="E400" s="441" t="str">
        <f>J1</f>
        <v>2018年2季度</v>
      </c>
      <c r="F400" s="441" t="str">
        <f t="shared" ref="F400:BQ400" si="8459">K1</f>
        <v>2018年3季度</v>
      </c>
      <c r="G400" s="441" t="str">
        <f t="shared" si="8459"/>
        <v>2018年4季度</v>
      </c>
      <c r="H400" s="441" t="str">
        <f t="shared" si="8459"/>
        <v>2019年1季度</v>
      </c>
      <c r="I400" s="441" t="str">
        <f t="shared" si="8459"/>
        <v>2019年2季度</v>
      </c>
      <c r="J400" s="441" t="str">
        <f t="shared" ref="J400:T400" si="8460">O1</f>
        <v>2019年3季度</v>
      </c>
      <c r="K400" s="441" t="str">
        <f t="shared" si="8460"/>
        <v>2019年4季度</v>
      </c>
      <c r="L400" s="441" t="str">
        <f t="shared" si="8460"/>
        <v>2020年1季度</v>
      </c>
      <c r="M400" s="441" t="str">
        <f t="shared" si="8460"/>
        <v>2020年2季度</v>
      </c>
      <c r="N400" s="441" t="str">
        <f t="shared" si="8460"/>
        <v>2020年3季度</v>
      </c>
      <c r="O400" s="441" t="str">
        <f t="shared" si="8460"/>
        <v>2020年4季度</v>
      </c>
      <c r="P400" s="441" t="str">
        <f t="shared" si="8460"/>
        <v>2021年1季度</v>
      </c>
      <c r="Q400" s="441" t="str">
        <f t="shared" si="8460"/>
        <v>2021年2季度</v>
      </c>
      <c r="R400" s="441" t="str">
        <f t="shared" si="8460"/>
        <v>2021年3季度</v>
      </c>
      <c r="S400" s="441" t="str">
        <f t="shared" si="8460"/>
        <v>2021年4季度</v>
      </c>
      <c r="T400" s="441" t="str">
        <f t="shared" si="8460"/>
        <v>2022年1季度</v>
      </c>
      <c r="U400" s="441" t="str">
        <f t="shared" si="8459"/>
        <v>2022年2季度</v>
      </c>
      <c r="V400" s="441" t="str">
        <f t="shared" si="8459"/>
        <v>2022年3季度</v>
      </c>
      <c r="W400" s="441" t="str">
        <f t="shared" si="8459"/>
        <v>2022年4季度</v>
      </c>
      <c r="X400" s="441" t="str">
        <f>AC1</f>
        <v>2023年1季度</v>
      </c>
      <c r="Y400" s="441" t="str">
        <f>AD1</f>
        <v>2023年2季度</v>
      </c>
      <c r="Z400" s="441" t="str">
        <f>AE1</f>
        <v>2023年3季度</v>
      </c>
      <c r="AA400" s="441" t="str">
        <f>AF1</f>
        <v>2023年4季度</v>
      </c>
      <c r="AB400" s="441" t="str">
        <f>AG1</f>
        <v>2024年1季度</v>
      </c>
      <c r="AC400" s="441" t="str">
        <f t="shared" si="8459"/>
        <v>2024年2季度</v>
      </c>
      <c r="AD400" s="441" t="str">
        <f t="shared" si="8459"/>
        <v>2024年3季度</v>
      </c>
      <c r="AE400" s="441" t="str">
        <f t="shared" si="8459"/>
        <v>2024年4季度</v>
      </c>
      <c r="AF400" s="441" t="str">
        <f t="shared" si="8459"/>
        <v>2025年1季度</v>
      </c>
      <c r="AG400" s="441" t="str">
        <f t="shared" si="8459"/>
        <v>2025年2季度</v>
      </c>
      <c r="AH400" s="441" t="str">
        <f t="shared" si="8459"/>
        <v>2025年3季度</v>
      </c>
      <c r="AI400" s="441" t="str">
        <f t="shared" si="8459"/>
        <v>2025年4季度</v>
      </c>
      <c r="AJ400" s="441" t="str">
        <f t="shared" si="8459"/>
        <v>2026年1季度</v>
      </c>
      <c r="AK400" s="441" t="str">
        <f t="shared" si="8459"/>
        <v>2026年2季度</v>
      </c>
      <c r="AL400" s="441" t="str">
        <f t="shared" si="8459"/>
        <v>2026年3季度</v>
      </c>
      <c r="AM400" s="441" t="str">
        <f t="shared" si="8459"/>
        <v>2026年4季度</v>
      </c>
      <c r="AN400" s="441" t="str">
        <f t="shared" si="8459"/>
        <v>2027年1季度</v>
      </c>
      <c r="AO400" s="441" t="str">
        <f t="shared" si="8459"/>
        <v>2027年2季度</v>
      </c>
      <c r="AP400" s="441" t="str">
        <f t="shared" si="8459"/>
        <v>2027年3季度</v>
      </c>
      <c r="AQ400" s="441" t="str">
        <f t="shared" si="8459"/>
        <v>2027年4季度</v>
      </c>
      <c r="AR400" s="441" t="str">
        <f t="shared" si="8459"/>
        <v>2028年1季度</v>
      </c>
      <c r="AS400" s="441" t="str">
        <f t="shared" si="8459"/>
        <v>2028年2季度</v>
      </c>
      <c r="AT400" s="441" t="str">
        <f t="shared" si="8459"/>
        <v>2028年3季度</v>
      </c>
      <c r="AU400" s="441" t="str">
        <f t="shared" si="8459"/>
        <v>2028年4季度</v>
      </c>
      <c r="AV400" s="441" t="str">
        <f t="shared" si="8459"/>
        <v>2029年1季度</v>
      </c>
      <c r="AW400" s="441" t="str">
        <f t="shared" si="8459"/>
        <v>2029年2季度</v>
      </c>
      <c r="AX400" s="441" t="str">
        <f t="shared" ref="AX400:BF400" si="8461">BC1</f>
        <v>2029年3季度</v>
      </c>
      <c r="AY400" s="441" t="str">
        <f t="shared" si="8461"/>
        <v>2029年4季度</v>
      </c>
      <c r="AZ400" s="441" t="str">
        <f t="shared" si="8461"/>
        <v>2030年1季度</v>
      </c>
      <c r="BA400" s="441" t="str">
        <f t="shared" si="8461"/>
        <v>2030年2季度</v>
      </c>
      <c r="BB400" s="441" t="str">
        <f t="shared" si="8461"/>
        <v>2030年3季度</v>
      </c>
      <c r="BC400" s="441" t="str">
        <f t="shared" si="8461"/>
        <v>2030年4季度</v>
      </c>
      <c r="BD400" s="441" t="str">
        <f t="shared" si="8461"/>
        <v>2031年1季度</v>
      </c>
      <c r="BE400" s="441" t="str">
        <f t="shared" si="8461"/>
        <v>2031年2季度</v>
      </c>
      <c r="BF400" s="441" t="str">
        <f t="shared" si="8461"/>
        <v>2031年3季度</v>
      </c>
      <c r="BG400" s="441" t="str">
        <f t="shared" si="8459"/>
        <v>2031年4季度</v>
      </c>
      <c r="BH400" s="441" t="str">
        <f t="shared" si="8459"/>
        <v>2032年1季度</v>
      </c>
      <c r="BI400" s="441" t="str">
        <f t="shared" si="8459"/>
        <v>2032年2季度</v>
      </c>
      <c r="BJ400" s="441" t="str">
        <f t="shared" si="8459"/>
        <v>2032年3季度</v>
      </c>
      <c r="BK400" s="441" t="str">
        <f t="shared" si="8459"/>
        <v>2032年4季度</v>
      </c>
      <c r="BL400" s="441" t="str">
        <f t="shared" si="8459"/>
        <v>2033年1季度</v>
      </c>
      <c r="BM400" s="441" t="str">
        <f t="shared" si="8459"/>
        <v>2033年2季度</v>
      </c>
      <c r="BN400" s="441" t="str">
        <f t="shared" si="8459"/>
        <v>2033年3季度</v>
      </c>
      <c r="BO400" s="441" t="str">
        <f t="shared" si="8459"/>
        <v>2033年4季度</v>
      </c>
      <c r="BP400" s="441" t="str">
        <f t="shared" si="8459"/>
        <v>2034年1季度</v>
      </c>
      <c r="BQ400" s="441" t="str">
        <f t="shared" si="8459"/>
        <v>2034年2季度</v>
      </c>
      <c r="BR400" s="441" t="str">
        <f t="shared" ref="BR400:CC400" si="8462">BW1</f>
        <v>2034年3季度</v>
      </c>
      <c r="BS400" s="441" t="str">
        <f t="shared" si="8462"/>
        <v>2034年4季度</v>
      </c>
      <c r="BT400" s="441" t="str">
        <f t="shared" si="8462"/>
        <v>2035年1季度</v>
      </c>
      <c r="BU400" s="441" t="str">
        <f t="shared" si="8462"/>
        <v>2035年2季度</v>
      </c>
      <c r="BV400" s="441" t="str">
        <f t="shared" si="8462"/>
        <v>2035年3季度</v>
      </c>
      <c r="BW400" s="441" t="str">
        <f t="shared" si="8462"/>
        <v>2035年4季度</v>
      </c>
      <c r="BX400" s="441" t="str">
        <f t="shared" si="8462"/>
        <v>2036年1季度</v>
      </c>
      <c r="BY400" s="441" t="str">
        <f t="shared" si="8462"/>
        <v>2036年2季度</v>
      </c>
      <c r="BZ400" s="441" t="str">
        <f t="shared" si="8462"/>
        <v>2036年3季度</v>
      </c>
      <c r="CA400" s="441" t="str">
        <f t="shared" si="8462"/>
        <v>2036年4季度</v>
      </c>
      <c r="CB400" s="441" t="str">
        <f t="shared" si="8462"/>
        <v>2037年1季度</v>
      </c>
      <c r="CC400" s="441" t="str">
        <f t="shared" si="8462"/>
        <v>2037年2季度</v>
      </c>
      <c r="CD400" s="441" t="str">
        <f t="shared" ref="CD400:CJ400" si="8463">CI1</f>
        <v>2037年3季度</v>
      </c>
      <c r="CE400" s="441" t="str">
        <f t="shared" si="8463"/>
        <v>2037年4季度</v>
      </c>
      <c r="CF400" s="441" t="str">
        <f t="shared" si="8463"/>
        <v>2038年1季度</v>
      </c>
      <c r="CG400" s="441" t="str">
        <f t="shared" si="8463"/>
        <v>2038年2季度</v>
      </c>
      <c r="CH400" s="441" t="str">
        <f t="shared" si="8463"/>
        <v>2038年3季度</v>
      </c>
      <c r="CI400" s="441" t="str">
        <f t="shared" si="8463"/>
        <v>2038年4季度</v>
      </c>
      <c r="CJ400" s="441" t="str">
        <f t="shared" si="8463"/>
        <v>2039年1季度</v>
      </c>
      <c r="CK400" s="488" t="s">
        <v>605</v>
      </c>
    </row>
    <row r="401" spans="1:96" s="426" customFormat="1" ht="22.5">
      <c r="A401" s="421"/>
      <c r="B401" s="422" t="s">
        <v>1298</v>
      </c>
      <c r="C401" s="422"/>
      <c r="D401" s="423"/>
      <c r="E401" s="424">
        <f>E402+E403+E404</f>
        <v>47318492</v>
      </c>
      <c r="F401" s="424">
        <f t="shared" ref="F401:BQ401" si="8464">F402+F403+F404</f>
        <v>47469933</v>
      </c>
      <c r="G401" s="424">
        <f t="shared" si="8464"/>
        <v>47669515</v>
      </c>
      <c r="H401" s="424">
        <f t="shared" si="8464"/>
        <v>47852984</v>
      </c>
      <c r="I401" s="424">
        <f t="shared" si="8464"/>
        <v>48570435</v>
      </c>
      <c r="J401" s="424">
        <f t="shared" si="8464"/>
        <v>48743065</v>
      </c>
      <c r="K401" s="424">
        <f t="shared" si="8464"/>
        <v>48932534</v>
      </c>
      <c r="L401" s="424">
        <f t="shared" si="8464"/>
        <v>49029916</v>
      </c>
      <c r="M401" s="424">
        <f>M402+M403+M404</f>
        <v>51198525</v>
      </c>
      <c r="N401" s="424">
        <f>N402+N403+N404</f>
        <v>51198525</v>
      </c>
      <c r="O401" s="424">
        <f>O402+O403+O404</f>
        <v>51258073</v>
      </c>
      <c r="P401" s="424">
        <f>P402+P403+P404</f>
        <v>51258073</v>
      </c>
      <c r="Q401" s="424">
        <f t="shared" si="8464"/>
        <v>54241014</v>
      </c>
      <c r="R401" s="424">
        <f>R402+R403+R404</f>
        <v>54248788</v>
      </c>
      <c r="S401" s="424">
        <f t="shared" si="8464"/>
        <v>54248788</v>
      </c>
      <c r="T401" s="424">
        <f t="shared" si="8464"/>
        <v>54248788</v>
      </c>
      <c r="U401" s="424">
        <f t="shared" si="8464"/>
        <v>57896717</v>
      </c>
      <c r="V401" s="424">
        <f t="shared" si="8464"/>
        <v>57896717</v>
      </c>
      <c r="W401" s="424">
        <f>W402+W403+W404</f>
        <v>57943049</v>
      </c>
      <c r="X401" s="424">
        <f>X402+X403+X404</f>
        <v>57943049</v>
      </c>
      <c r="Y401" s="424">
        <f>Y402+Y403+Y404</f>
        <v>62189039</v>
      </c>
      <c r="Z401" s="424">
        <f>Z402+Z403+Z404</f>
        <v>62189039</v>
      </c>
      <c r="AA401" s="424">
        <f t="shared" si="8464"/>
        <v>62189039</v>
      </c>
      <c r="AB401" s="424">
        <f t="shared" si="8464"/>
        <v>62189039</v>
      </c>
      <c r="AC401" s="424">
        <f t="shared" si="8464"/>
        <v>66824295</v>
      </c>
      <c r="AD401" s="424">
        <f t="shared" si="8464"/>
        <v>66824295</v>
      </c>
      <c r="AE401" s="424">
        <f t="shared" si="8464"/>
        <v>66824295</v>
      </c>
      <c r="AF401" s="424">
        <f t="shared" si="8464"/>
        <v>66824295</v>
      </c>
      <c r="AG401" s="424">
        <f t="shared" si="8464"/>
        <v>71863419</v>
      </c>
      <c r="AH401" s="424">
        <f t="shared" si="8464"/>
        <v>71863419</v>
      </c>
      <c r="AI401" s="424">
        <f t="shared" si="8464"/>
        <v>71863419</v>
      </c>
      <c r="AJ401" s="424">
        <f t="shared" si="8464"/>
        <v>71863419</v>
      </c>
      <c r="AK401" s="424">
        <f t="shared" si="8464"/>
        <v>77374880</v>
      </c>
      <c r="AL401" s="424">
        <f t="shared" si="8464"/>
        <v>77374880</v>
      </c>
      <c r="AM401" s="424">
        <f t="shared" si="8464"/>
        <v>77374880</v>
      </c>
      <c r="AN401" s="424">
        <f t="shared" si="8464"/>
        <v>77374880</v>
      </c>
      <c r="AO401" s="424">
        <f t="shared" si="8464"/>
        <v>83422934</v>
      </c>
      <c r="AP401" s="424">
        <f t="shared" si="8464"/>
        <v>83422934</v>
      </c>
      <c r="AQ401" s="424">
        <f t="shared" si="8464"/>
        <v>83422934</v>
      </c>
      <c r="AR401" s="424">
        <f t="shared" si="8464"/>
        <v>83422934</v>
      </c>
      <c r="AS401" s="424">
        <f t="shared" si="8464"/>
        <v>89933485</v>
      </c>
      <c r="AT401" s="424">
        <f t="shared" si="8464"/>
        <v>89933485</v>
      </c>
      <c r="AU401" s="424">
        <f t="shared" si="8464"/>
        <v>89933485</v>
      </c>
      <c r="AV401" s="424">
        <f t="shared" si="8464"/>
        <v>89933485</v>
      </c>
      <c r="AW401" s="424">
        <f t="shared" si="8464"/>
        <v>97113279</v>
      </c>
      <c r="AX401" s="424">
        <f t="shared" si="8464"/>
        <v>97113279</v>
      </c>
      <c r="AY401" s="424">
        <f t="shared" si="8464"/>
        <v>97113279</v>
      </c>
      <c r="AZ401" s="424">
        <f t="shared" si="8464"/>
        <v>97113279</v>
      </c>
      <c r="BA401" s="424">
        <f t="shared" si="8464"/>
        <v>104918828</v>
      </c>
      <c r="BB401" s="424">
        <f t="shared" si="8464"/>
        <v>104918828</v>
      </c>
      <c r="BC401" s="424">
        <f t="shared" si="8464"/>
        <v>104918828</v>
      </c>
      <c r="BD401" s="424">
        <f t="shared" si="8464"/>
        <v>104918828</v>
      </c>
      <c r="BE401" s="424">
        <f t="shared" si="8464"/>
        <v>113405951</v>
      </c>
      <c r="BF401" s="424">
        <f t="shared" si="8464"/>
        <v>113405951</v>
      </c>
      <c r="BG401" s="424">
        <f t="shared" si="8464"/>
        <v>113405951</v>
      </c>
      <c r="BH401" s="424">
        <f t="shared" si="8464"/>
        <v>113405951</v>
      </c>
      <c r="BI401" s="424">
        <f t="shared" si="8464"/>
        <v>122635544</v>
      </c>
      <c r="BJ401" s="424">
        <f t="shared" si="8464"/>
        <v>122635544</v>
      </c>
      <c r="BK401" s="424">
        <f t="shared" si="8464"/>
        <v>122635544</v>
      </c>
      <c r="BL401" s="424">
        <f t="shared" si="8464"/>
        <v>122635544</v>
      </c>
      <c r="BM401" s="424">
        <f t="shared" si="8464"/>
        <v>132674000</v>
      </c>
      <c r="BN401" s="424">
        <f t="shared" si="8464"/>
        <v>132674000</v>
      </c>
      <c r="BO401" s="424">
        <f t="shared" si="8464"/>
        <v>132674000</v>
      </c>
      <c r="BP401" s="424">
        <f t="shared" si="8464"/>
        <v>132674000</v>
      </c>
      <c r="BQ401" s="424">
        <f t="shared" si="8464"/>
        <v>143593734</v>
      </c>
      <c r="BR401" s="424">
        <f t="shared" ref="BR401:CJ401" si="8465">BR402+BR403+BR404</f>
        <v>143593734</v>
      </c>
      <c r="BS401" s="424">
        <f t="shared" si="8465"/>
        <v>143593734</v>
      </c>
      <c r="BT401" s="424">
        <f t="shared" si="8465"/>
        <v>143593734</v>
      </c>
      <c r="BU401" s="424">
        <f t="shared" si="8465"/>
        <v>155473707</v>
      </c>
      <c r="BV401" s="424">
        <f t="shared" si="8465"/>
        <v>155473707</v>
      </c>
      <c r="BW401" s="424">
        <f t="shared" si="8465"/>
        <v>155473707</v>
      </c>
      <c r="BX401" s="424">
        <f t="shared" si="8465"/>
        <v>155473707</v>
      </c>
      <c r="BY401" s="424">
        <f t="shared" si="8465"/>
        <v>168400083</v>
      </c>
      <c r="BZ401" s="424">
        <f t="shared" si="8465"/>
        <v>168400083</v>
      </c>
      <c r="CA401" s="424">
        <f t="shared" si="8465"/>
        <v>168400083</v>
      </c>
      <c r="CB401" s="424">
        <f t="shared" si="8465"/>
        <v>168400083</v>
      </c>
      <c r="CC401" s="424">
        <f t="shared" si="8465"/>
        <v>182466797</v>
      </c>
      <c r="CD401" s="424">
        <f t="shared" si="8465"/>
        <v>182466797</v>
      </c>
      <c r="CE401" s="424">
        <f t="shared" si="8465"/>
        <v>182466797</v>
      </c>
      <c r="CF401" s="424">
        <f t="shared" si="8465"/>
        <v>182466797</v>
      </c>
      <c r="CG401" s="424">
        <f t="shared" si="8465"/>
        <v>197776345</v>
      </c>
      <c r="CH401" s="424">
        <f t="shared" si="8465"/>
        <v>197776345</v>
      </c>
      <c r="CI401" s="424">
        <f t="shared" si="8465"/>
        <v>197776345</v>
      </c>
      <c r="CJ401" s="424">
        <f t="shared" si="8465"/>
        <v>197776345</v>
      </c>
      <c r="CK401" s="425">
        <f t="shared" ref="CK401:CK411" si="8466">SUM(E401:CJ401)</f>
        <v>8519432260</v>
      </c>
    </row>
    <row r="402" spans="1:96" s="431" customFormat="1" ht="12">
      <c r="A402" s="430"/>
      <c r="B402" s="422" t="s">
        <v>1299</v>
      </c>
      <c r="C402" s="422"/>
      <c r="D402" s="423"/>
      <c r="E402" s="424">
        <f>J397</f>
        <v>43912883</v>
      </c>
      <c r="F402" s="424">
        <f t="shared" ref="F402:BQ402" si="8467">K397</f>
        <v>44064324</v>
      </c>
      <c r="G402" s="424">
        <f t="shared" si="8467"/>
        <v>44263906</v>
      </c>
      <c r="H402" s="424">
        <f t="shared" si="8467"/>
        <v>44447375</v>
      </c>
      <c r="I402" s="424">
        <f t="shared" si="8467"/>
        <v>45160928</v>
      </c>
      <c r="J402" s="424">
        <f t="shared" ref="J402:T402" si="8468">O397</f>
        <v>45333558</v>
      </c>
      <c r="K402" s="424">
        <f t="shared" si="8468"/>
        <v>45523027</v>
      </c>
      <c r="L402" s="424">
        <f t="shared" si="8468"/>
        <v>45620409</v>
      </c>
      <c r="M402" s="424">
        <f t="shared" si="8468"/>
        <v>47781453</v>
      </c>
      <c r="N402" s="424">
        <f t="shared" si="8468"/>
        <v>47781453</v>
      </c>
      <c r="O402" s="424">
        <f t="shared" si="8468"/>
        <v>47841001</v>
      </c>
      <c r="P402" s="424">
        <f t="shared" si="8468"/>
        <v>47841001</v>
      </c>
      <c r="Q402" s="424">
        <f t="shared" si="8468"/>
        <v>50814463</v>
      </c>
      <c r="R402" s="424">
        <f t="shared" si="8468"/>
        <v>50822237</v>
      </c>
      <c r="S402" s="424">
        <f t="shared" si="8468"/>
        <v>50822237</v>
      </c>
      <c r="T402" s="424">
        <f t="shared" si="8468"/>
        <v>50822237</v>
      </c>
      <c r="U402" s="424">
        <f t="shared" si="8467"/>
        <v>54458632</v>
      </c>
      <c r="V402" s="424">
        <f t="shared" si="8467"/>
        <v>54458632</v>
      </c>
      <c r="W402" s="424">
        <f t="shared" si="8467"/>
        <v>54504964</v>
      </c>
      <c r="X402" s="424">
        <f>AC397</f>
        <v>54504964</v>
      </c>
      <c r="Y402" s="424">
        <f>AD397</f>
        <v>58737549</v>
      </c>
      <c r="Z402" s="424">
        <f>AE397</f>
        <v>58737549</v>
      </c>
      <c r="AA402" s="424">
        <f>AF397</f>
        <v>58737549</v>
      </c>
      <c r="AB402" s="424">
        <f>AG397</f>
        <v>58737549</v>
      </c>
      <c r="AC402" s="424">
        <f t="shared" si="8467"/>
        <v>63358250</v>
      </c>
      <c r="AD402" s="424">
        <f t="shared" si="8467"/>
        <v>63358250</v>
      </c>
      <c r="AE402" s="424">
        <f t="shared" si="8467"/>
        <v>63358250</v>
      </c>
      <c r="AF402" s="424">
        <f t="shared" si="8467"/>
        <v>63358250</v>
      </c>
      <c r="AG402" s="424">
        <f t="shared" si="8467"/>
        <v>68381550</v>
      </c>
      <c r="AH402" s="424">
        <f t="shared" si="8467"/>
        <v>68381550</v>
      </c>
      <c r="AI402" s="424">
        <f t="shared" si="8467"/>
        <v>68381550</v>
      </c>
      <c r="AJ402" s="424">
        <f t="shared" si="8467"/>
        <v>68381550</v>
      </c>
      <c r="AK402" s="424">
        <f t="shared" si="8467"/>
        <v>73875705</v>
      </c>
      <c r="AL402" s="424">
        <f t="shared" si="8467"/>
        <v>73875705</v>
      </c>
      <c r="AM402" s="424">
        <f t="shared" si="8467"/>
        <v>73875705</v>
      </c>
      <c r="AN402" s="424">
        <f t="shared" si="8467"/>
        <v>73875705</v>
      </c>
      <c r="AO402" s="424">
        <f t="shared" si="8467"/>
        <v>79904767</v>
      </c>
      <c r="AP402" s="424">
        <f t="shared" si="8467"/>
        <v>79904767</v>
      </c>
      <c r="AQ402" s="424">
        <f t="shared" si="8467"/>
        <v>79904767</v>
      </c>
      <c r="AR402" s="424">
        <f t="shared" si="8467"/>
        <v>79904767</v>
      </c>
      <c r="AS402" s="424">
        <f t="shared" si="8467"/>
        <v>86394874</v>
      </c>
      <c r="AT402" s="424">
        <f t="shared" si="8467"/>
        <v>86394874</v>
      </c>
      <c r="AU402" s="424">
        <f t="shared" si="8467"/>
        <v>86394874</v>
      </c>
      <c r="AV402" s="424">
        <f t="shared" si="8467"/>
        <v>86394874</v>
      </c>
      <c r="AW402" s="424">
        <f t="shared" si="8467"/>
        <v>93552123</v>
      </c>
      <c r="AX402" s="424">
        <f t="shared" ref="AX402:BF402" si="8469">BC397</f>
        <v>93552123</v>
      </c>
      <c r="AY402" s="424">
        <f t="shared" si="8469"/>
        <v>93552123</v>
      </c>
      <c r="AZ402" s="424">
        <f t="shared" si="8469"/>
        <v>93552123</v>
      </c>
      <c r="BA402" s="424">
        <f t="shared" si="8469"/>
        <v>101333162</v>
      </c>
      <c r="BB402" s="424">
        <f t="shared" si="8469"/>
        <v>101333162</v>
      </c>
      <c r="BC402" s="424">
        <f t="shared" si="8469"/>
        <v>101333162</v>
      </c>
      <c r="BD402" s="424">
        <f t="shared" si="8469"/>
        <v>101333162</v>
      </c>
      <c r="BE402" s="424">
        <f t="shared" si="8469"/>
        <v>109793634</v>
      </c>
      <c r="BF402" s="424">
        <f t="shared" si="8469"/>
        <v>109793634</v>
      </c>
      <c r="BG402" s="424">
        <f t="shared" si="8467"/>
        <v>109793634</v>
      </c>
      <c r="BH402" s="424">
        <f t="shared" si="8467"/>
        <v>109793634</v>
      </c>
      <c r="BI402" s="424">
        <f t="shared" si="8467"/>
        <v>118994245</v>
      </c>
      <c r="BJ402" s="424">
        <f t="shared" si="8467"/>
        <v>118994245</v>
      </c>
      <c r="BK402" s="424">
        <f t="shared" si="8467"/>
        <v>118994245</v>
      </c>
      <c r="BL402" s="424">
        <f t="shared" si="8467"/>
        <v>118994245</v>
      </c>
      <c r="BM402" s="424">
        <f t="shared" si="8467"/>
        <v>129001179</v>
      </c>
      <c r="BN402" s="424">
        <f t="shared" si="8467"/>
        <v>129001179</v>
      </c>
      <c r="BO402" s="424">
        <f t="shared" si="8467"/>
        <v>129001179</v>
      </c>
      <c r="BP402" s="424">
        <f t="shared" si="8467"/>
        <v>129001179</v>
      </c>
      <c r="BQ402" s="424">
        <f t="shared" si="8467"/>
        <v>139886624</v>
      </c>
      <c r="BR402" s="424">
        <f t="shared" ref="BR402:CC402" si="8470">BW397</f>
        <v>139886624</v>
      </c>
      <c r="BS402" s="424">
        <f t="shared" si="8470"/>
        <v>139886624</v>
      </c>
      <c r="BT402" s="424">
        <f t="shared" si="8470"/>
        <v>139886624</v>
      </c>
      <c r="BU402" s="424">
        <f t="shared" si="8470"/>
        <v>151729293</v>
      </c>
      <c r="BV402" s="424">
        <f t="shared" si="8470"/>
        <v>151729293</v>
      </c>
      <c r="BW402" s="424">
        <f t="shared" si="8470"/>
        <v>151729293</v>
      </c>
      <c r="BX402" s="424">
        <f t="shared" si="8470"/>
        <v>151729293</v>
      </c>
      <c r="BY402" s="424">
        <f t="shared" si="8470"/>
        <v>164615079</v>
      </c>
      <c r="BZ402" s="424">
        <f t="shared" si="8470"/>
        <v>164615079</v>
      </c>
      <c r="CA402" s="424">
        <f t="shared" si="8470"/>
        <v>164615079</v>
      </c>
      <c r="CB402" s="424">
        <f t="shared" si="8470"/>
        <v>164615079</v>
      </c>
      <c r="CC402" s="424">
        <f t="shared" si="8470"/>
        <v>178637621</v>
      </c>
      <c r="CD402" s="424">
        <f t="shared" ref="CD402:CJ402" si="8471">CI397</f>
        <v>178637621</v>
      </c>
      <c r="CE402" s="424">
        <f t="shared" si="8471"/>
        <v>178637621</v>
      </c>
      <c r="CF402" s="424">
        <f t="shared" si="8471"/>
        <v>178637621</v>
      </c>
      <c r="CG402" s="424">
        <f t="shared" si="8471"/>
        <v>193899096</v>
      </c>
      <c r="CH402" s="424">
        <f t="shared" si="8471"/>
        <v>193899096</v>
      </c>
      <c r="CI402" s="424">
        <f t="shared" si="8471"/>
        <v>193899096</v>
      </c>
      <c r="CJ402" s="424">
        <f t="shared" si="8471"/>
        <v>193899096</v>
      </c>
      <c r="CK402" s="425">
        <f t="shared" si="8466"/>
        <v>8219158688</v>
      </c>
    </row>
    <row r="403" spans="1:96" s="431" customFormat="1" ht="12">
      <c r="A403" s="430"/>
      <c r="B403" s="422" t="s">
        <v>1300</v>
      </c>
      <c r="C403" s="422"/>
      <c r="D403" s="423"/>
      <c r="E403" s="489">
        <f>ROUND(前3年整理!C39/4,0)</f>
        <v>3266467</v>
      </c>
      <c r="F403" s="489">
        <f t="shared" ref="F403:H404" si="8472">E403</f>
        <v>3266467</v>
      </c>
      <c r="G403" s="489">
        <f t="shared" si="8472"/>
        <v>3266467</v>
      </c>
      <c r="H403" s="489">
        <f t="shared" si="8472"/>
        <v>3266467</v>
      </c>
      <c r="I403" s="489">
        <f t="shared" ref="I403:BT403" si="8473">H403</f>
        <v>3266467</v>
      </c>
      <c r="J403" s="489">
        <f t="shared" si="8473"/>
        <v>3266467</v>
      </c>
      <c r="K403" s="489">
        <f t="shared" si="8473"/>
        <v>3266467</v>
      </c>
      <c r="L403" s="489">
        <f t="shared" si="8473"/>
        <v>3266467</v>
      </c>
      <c r="M403" s="489">
        <f t="shared" si="8473"/>
        <v>3266467</v>
      </c>
      <c r="N403" s="489">
        <f t="shared" si="8473"/>
        <v>3266467</v>
      </c>
      <c r="O403" s="489">
        <f>N403</f>
        <v>3266467</v>
      </c>
      <c r="P403" s="489">
        <f>O403</f>
        <v>3266467</v>
      </c>
      <c r="Q403" s="489">
        <f>P403</f>
        <v>3266467</v>
      </c>
      <c r="R403" s="489">
        <f t="shared" si="8473"/>
        <v>3266467</v>
      </c>
      <c r="S403" s="489">
        <f t="shared" si="8473"/>
        <v>3266467</v>
      </c>
      <c r="T403" s="489">
        <f t="shared" si="8473"/>
        <v>3266467</v>
      </c>
      <c r="U403" s="489">
        <f>T403</f>
        <v>3266467</v>
      </c>
      <c r="V403" s="489">
        <f t="shared" si="8473"/>
        <v>3266467</v>
      </c>
      <c r="W403" s="489">
        <f t="shared" si="8473"/>
        <v>3266467</v>
      </c>
      <c r="X403" s="489">
        <f t="shared" si="8473"/>
        <v>3266467</v>
      </c>
      <c r="Y403" s="489">
        <f t="shared" si="8473"/>
        <v>3266467</v>
      </c>
      <c r="Z403" s="489">
        <f t="shared" si="8473"/>
        <v>3266467</v>
      </c>
      <c r="AA403" s="489">
        <f t="shared" si="8473"/>
        <v>3266467</v>
      </c>
      <c r="AB403" s="489">
        <f t="shared" si="8473"/>
        <v>3266467</v>
      </c>
      <c r="AC403" s="489">
        <f>AB403</f>
        <v>3266467</v>
      </c>
      <c r="AD403" s="489">
        <f t="shared" si="8473"/>
        <v>3266467</v>
      </c>
      <c r="AE403" s="489">
        <f t="shared" si="8473"/>
        <v>3266467</v>
      </c>
      <c r="AF403" s="489">
        <f t="shared" si="8473"/>
        <v>3266467</v>
      </c>
      <c r="AG403" s="489">
        <f t="shared" si="8473"/>
        <v>3266467</v>
      </c>
      <c r="AH403" s="489">
        <f t="shared" si="8473"/>
        <v>3266467</v>
      </c>
      <c r="AI403" s="489">
        <f t="shared" si="8473"/>
        <v>3266467</v>
      </c>
      <c r="AJ403" s="489">
        <f t="shared" si="8473"/>
        <v>3266467</v>
      </c>
      <c r="AK403" s="489">
        <f t="shared" si="8473"/>
        <v>3266467</v>
      </c>
      <c r="AL403" s="489">
        <f t="shared" si="8473"/>
        <v>3266467</v>
      </c>
      <c r="AM403" s="489">
        <f t="shared" si="8473"/>
        <v>3266467</v>
      </c>
      <c r="AN403" s="489">
        <f t="shared" si="8473"/>
        <v>3266467</v>
      </c>
      <c r="AO403" s="489">
        <f t="shared" si="8473"/>
        <v>3266467</v>
      </c>
      <c r="AP403" s="489">
        <f t="shared" si="8473"/>
        <v>3266467</v>
      </c>
      <c r="AQ403" s="489">
        <f t="shared" si="8473"/>
        <v>3266467</v>
      </c>
      <c r="AR403" s="489">
        <f t="shared" si="8473"/>
        <v>3266467</v>
      </c>
      <c r="AS403" s="489">
        <f t="shared" si="8473"/>
        <v>3266467</v>
      </c>
      <c r="AT403" s="489">
        <f t="shared" si="8473"/>
        <v>3266467</v>
      </c>
      <c r="AU403" s="489">
        <f t="shared" si="8473"/>
        <v>3266467</v>
      </c>
      <c r="AV403" s="489">
        <f t="shared" si="8473"/>
        <v>3266467</v>
      </c>
      <c r="AW403" s="489">
        <f t="shared" si="8473"/>
        <v>3266467</v>
      </c>
      <c r="AX403" s="489">
        <f t="shared" si="8473"/>
        <v>3266467</v>
      </c>
      <c r="AY403" s="489">
        <f t="shared" si="8473"/>
        <v>3266467</v>
      </c>
      <c r="AZ403" s="489">
        <f t="shared" si="8473"/>
        <v>3266467</v>
      </c>
      <c r="BA403" s="489">
        <f t="shared" si="8473"/>
        <v>3266467</v>
      </c>
      <c r="BB403" s="489">
        <f t="shared" si="8473"/>
        <v>3266467</v>
      </c>
      <c r="BC403" s="489">
        <f>BB403</f>
        <v>3266467</v>
      </c>
      <c r="BD403" s="489">
        <f t="shared" si="8473"/>
        <v>3266467</v>
      </c>
      <c r="BE403" s="489">
        <f>BD403</f>
        <v>3266467</v>
      </c>
      <c r="BF403" s="489">
        <f>BE403</f>
        <v>3266467</v>
      </c>
      <c r="BG403" s="489">
        <f>BF403</f>
        <v>3266467</v>
      </c>
      <c r="BH403" s="489">
        <f t="shared" si="8473"/>
        <v>3266467</v>
      </c>
      <c r="BI403" s="489">
        <f t="shared" si="8473"/>
        <v>3266467</v>
      </c>
      <c r="BJ403" s="489">
        <f t="shared" si="8473"/>
        <v>3266467</v>
      </c>
      <c r="BK403" s="489">
        <f t="shared" si="8473"/>
        <v>3266467</v>
      </c>
      <c r="BL403" s="489">
        <f t="shared" si="8473"/>
        <v>3266467</v>
      </c>
      <c r="BM403" s="489">
        <f t="shared" si="8473"/>
        <v>3266467</v>
      </c>
      <c r="BN403" s="489">
        <f t="shared" si="8473"/>
        <v>3266467</v>
      </c>
      <c r="BO403" s="489">
        <f t="shared" si="8473"/>
        <v>3266467</v>
      </c>
      <c r="BP403" s="489">
        <f>BO403</f>
        <v>3266467</v>
      </c>
      <c r="BQ403" s="489">
        <f t="shared" si="8473"/>
        <v>3266467</v>
      </c>
      <c r="BR403" s="489">
        <f t="shared" si="8473"/>
        <v>3266467</v>
      </c>
      <c r="BS403" s="489">
        <f t="shared" si="8473"/>
        <v>3266467</v>
      </c>
      <c r="BT403" s="489">
        <f t="shared" si="8473"/>
        <v>3266467</v>
      </c>
      <c r="BU403" s="489">
        <f t="shared" ref="BU403:CJ403" si="8474">BT403</f>
        <v>3266467</v>
      </c>
      <c r="BV403" s="489">
        <f t="shared" si="8474"/>
        <v>3266467</v>
      </c>
      <c r="BW403" s="489">
        <f t="shared" si="8474"/>
        <v>3266467</v>
      </c>
      <c r="BX403" s="489">
        <f t="shared" si="8474"/>
        <v>3266467</v>
      </c>
      <c r="BY403" s="489">
        <f t="shared" si="8474"/>
        <v>3266467</v>
      </c>
      <c r="BZ403" s="489">
        <f t="shared" si="8474"/>
        <v>3266467</v>
      </c>
      <c r="CA403" s="489">
        <f t="shared" si="8474"/>
        <v>3266467</v>
      </c>
      <c r="CB403" s="489">
        <f t="shared" si="8474"/>
        <v>3266467</v>
      </c>
      <c r="CC403" s="489">
        <f t="shared" si="8474"/>
        <v>3266467</v>
      </c>
      <c r="CD403" s="489">
        <f t="shared" si="8474"/>
        <v>3266467</v>
      </c>
      <c r="CE403" s="489">
        <f t="shared" si="8474"/>
        <v>3266467</v>
      </c>
      <c r="CF403" s="489">
        <f t="shared" si="8474"/>
        <v>3266467</v>
      </c>
      <c r="CG403" s="489">
        <f t="shared" si="8474"/>
        <v>3266467</v>
      </c>
      <c r="CH403" s="489">
        <f t="shared" si="8474"/>
        <v>3266467</v>
      </c>
      <c r="CI403" s="489">
        <f>CH403</f>
        <v>3266467</v>
      </c>
      <c r="CJ403" s="489">
        <f t="shared" si="8474"/>
        <v>3266467</v>
      </c>
      <c r="CK403" s="425">
        <f t="shared" si="8466"/>
        <v>274383228</v>
      </c>
    </row>
    <row r="404" spans="1:96" s="431" customFormat="1" ht="12">
      <c r="A404" s="430"/>
      <c r="B404" s="422" t="s">
        <v>1305</v>
      </c>
      <c r="C404" s="422"/>
      <c r="D404" s="423"/>
      <c r="E404" s="424">
        <f>ROUND((E402+F402+G402+H402)*取值表!$K$8/4*1.5%,0)</f>
        <v>139142</v>
      </c>
      <c r="F404" s="424">
        <f t="shared" si="8472"/>
        <v>139142</v>
      </c>
      <c r="G404" s="424">
        <f t="shared" si="8472"/>
        <v>139142</v>
      </c>
      <c r="H404" s="424">
        <f t="shared" si="8472"/>
        <v>139142</v>
      </c>
      <c r="I404" s="424">
        <f>ROUND((I402+J402+K402+L402)*取值表!$K$8/4*1.5%,0)</f>
        <v>143040</v>
      </c>
      <c r="J404" s="424">
        <f t="shared" ref="J404:L404" si="8475">I404</f>
        <v>143040</v>
      </c>
      <c r="K404" s="424">
        <f t="shared" si="8475"/>
        <v>143040</v>
      </c>
      <c r="L404" s="424">
        <f t="shared" si="8475"/>
        <v>143040</v>
      </c>
      <c r="M404" s="424">
        <f>ROUND((M402+N402+O402+P402)*取值表!$K$8/4*1.5%,0)</f>
        <v>150605</v>
      </c>
      <c r="N404" s="424">
        <f t="shared" ref="N404" si="8476">M404</f>
        <v>150605</v>
      </c>
      <c r="O404" s="424">
        <f>N404</f>
        <v>150605</v>
      </c>
      <c r="P404" s="424">
        <f>O404</f>
        <v>150605</v>
      </c>
      <c r="Q404" s="424">
        <f>ROUND((Q402+R402+S402+T402)*取值表!$K$8/4*1.5%,0)</f>
        <v>160084</v>
      </c>
      <c r="R404" s="424">
        <f t="shared" ref="R404:T404" si="8477">Q404</f>
        <v>160084</v>
      </c>
      <c r="S404" s="424">
        <f t="shared" si="8477"/>
        <v>160084</v>
      </c>
      <c r="T404" s="424">
        <f t="shared" si="8477"/>
        <v>160084</v>
      </c>
      <c r="U404" s="424">
        <f>ROUND((U402+V402+W402+X402)*取值表!$K$8/4*1.5%,0)</f>
        <v>171618</v>
      </c>
      <c r="V404" s="424">
        <f t="shared" ref="V404:X404" si="8478">U404</f>
        <v>171618</v>
      </c>
      <c r="W404" s="424">
        <f t="shared" si="8478"/>
        <v>171618</v>
      </c>
      <c r="X404" s="424">
        <f t="shared" si="8478"/>
        <v>171618</v>
      </c>
      <c r="Y404" s="424">
        <f>ROUND((Y402+Z402+AA402+AB402)*取值表!$K$8/4*1.5%,0)</f>
        <v>185023</v>
      </c>
      <c r="Z404" s="424">
        <f t="shared" ref="Z404:AB404" si="8479">Y404</f>
        <v>185023</v>
      </c>
      <c r="AA404" s="424">
        <f t="shared" si="8479"/>
        <v>185023</v>
      </c>
      <c r="AB404" s="424">
        <f t="shared" si="8479"/>
        <v>185023</v>
      </c>
      <c r="AC404" s="424">
        <f>ROUND((AC402+AD402+AE402+AF402)*取值表!$K$8/4*1.5%,0)</f>
        <v>199578</v>
      </c>
      <c r="AD404" s="424">
        <f t="shared" ref="AD404:AF404" si="8480">AC404</f>
        <v>199578</v>
      </c>
      <c r="AE404" s="424">
        <f t="shared" si="8480"/>
        <v>199578</v>
      </c>
      <c r="AF404" s="424">
        <f t="shared" si="8480"/>
        <v>199578</v>
      </c>
      <c r="AG404" s="424">
        <f>ROUND((AG402+AH402+AI402+AJ402)*取值表!$K$8/4*1.5%,0)</f>
        <v>215402</v>
      </c>
      <c r="AH404" s="424">
        <f t="shared" ref="AH404:AJ404" si="8481">AG404</f>
        <v>215402</v>
      </c>
      <c r="AI404" s="424">
        <f t="shared" si="8481"/>
        <v>215402</v>
      </c>
      <c r="AJ404" s="424">
        <f t="shared" si="8481"/>
        <v>215402</v>
      </c>
      <c r="AK404" s="424">
        <f>ROUND((AK402+AL402+AM402+AN402)*取值表!$K$8/4*1.5%,0)</f>
        <v>232708</v>
      </c>
      <c r="AL404" s="424">
        <f t="shared" ref="AL404:AN404" si="8482">AK404</f>
        <v>232708</v>
      </c>
      <c r="AM404" s="424">
        <f t="shared" si="8482"/>
        <v>232708</v>
      </c>
      <c r="AN404" s="424">
        <f t="shared" si="8482"/>
        <v>232708</v>
      </c>
      <c r="AO404" s="424">
        <f>ROUND((AO402+AP402+AQ402+AR402)*取值表!$K$8/4*1.5%,0)</f>
        <v>251700</v>
      </c>
      <c r="AP404" s="424">
        <f t="shared" ref="AP404:AR404" si="8483">AO404</f>
        <v>251700</v>
      </c>
      <c r="AQ404" s="424">
        <f t="shared" si="8483"/>
        <v>251700</v>
      </c>
      <c r="AR404" s="424">
        <f t="shared" si="8483"/>
        <v>251700</v>
      </c>
      <c r="AS404" s="424">
        <f>ROUND((AS402+AT402+AU402+AV402)*取值表!$K$8/4*1.5%,0)</f>
        <v>272144</v>
      </c>
      <c r="AT404" s="424">
        <f t="shared" ref="AT404:AV404" si="8484">AS404</f>
        <v>272144</v>
      </c>
      <c r="AU404" s="424">
        <f t="shared" si="8484"/>
        <v>272144</v>
      </c>
      <c r="AV404" s="424">
        <f t="shared" si="8484"/>
        <v>272144</v>
      </c>
      <c r="AW404" s="424">
        <f>ROUND((AW402+AX402+AY402+AZ402)*取值表!$K$8/4*1.5%,0)</f>
        <v>294689</v>
      </c>
      <c r="AX404" s="424">
        <f t="shared" ref="AX404:AZ404" si="8485">AW404</f>
        <v>294689</v>
      </c>
      <c r="AY404" s="424">
        <f t="shared" si="8485"/>
        <v>294689</v>
      </c>
      <c r="AZ404" s="424">
        <f t="shared" si="8485"/>
        <v>294689</v>
      </c>
      <c r="BA404" s="424">
        <f>ROUND((BA402+BB402+BC402+BD402)*取值表!$K$8/4*1.5%,0)</f>
        <v>319199</v>
      </c>
      <c r="BB404" s="424">
        <f t="shared" ref="BB404:BD404" si="8486">BA404</f>
        <v>319199</v>
      </c>
      <c r="BC404" s="424">
        <f>BB404</f>
        <v>319199</v>
      </c>
      <c r="BD404" s="424">
        <f t="shared" si="8486"/>
        <v>319199</v>
      </c>
      <c r="BE404" s="424">
        <f>ROUND((BE402+BF402+BG402+BH402)*取值表!$K$8/4*1.5%,0)</f>
        <v>345850</v>
      </c>
      <c r="BF404" s="424">
        <f>BE404</f>
        <v>345850</v>
      </c>
      <c r="BG404" s="424">
        <f>BF404</f>
        <v>345850</v>
      </c>
      <c r="BH404" s="424">
        <f t="shared" ref="BH404" si="8487">BG404</f>
        <v>345850</v>
      </c>
      <c r="BI404" s="424">
        <f>ROUND((BI402+BJ402+BK402+BL402)*取值表!$K$8/4*1.5%,0)</f>
        <v>374832</v>
      </c>
      <c r="BJ404" s="424">
        <f t="shared" ref="BJ404:BL404" si="8488">BI404</f>
        <v>374832</v>
      </c>
      <c r="BK404" s="424">
        <f t="shared" si="8488"/>
        <v>374832</v>
      </c>
      <c r="BL404" s="424">
        <f t="shared" si="8488"/>
        <v>374832</v>
      </c>
      <c r="BM404" s="424">
        <f>ROUND((BM402+BN402+BO402+BP402)*取值表!$K$8/4*1.5%,0)</f>
        <v>406354</v>
      </c>
      <c r="BN404" s="424">
        <f t="shared" ref="BN404:BP404" si="8489">BM404</f>
        <v>406354</v>
      </c>
      <c r="BO404" s="424">
        <f t="shared" si="8489"/>
        <v>406354</v>
      </c>
      <c r="BP404" s="424">
        <f t="shared" si="8489"/>
        <v>406354</v>
      </c>
      <c r="BQ404" s="424">
        <f>ROUND((BQ402+BR402+BS402+BT402)*取值表!$K$8/4*1.5%,0)</f>
        <v>440643</v>
      </c>
      <c r="BR404" s="424">
        <f t="shared" ref="BR404:BT404" si="8490">BQ404</f>
        <v>440643</v>
      </c>
      <c r="BS404" s="424">
        <f t="shared" si="8490"/>
        <v>440643</v>
      </c>
      <c r="BT404" s="424">
        <f t="shared" si="8490"/>
        <v>440643</v>
      </c>
      <c r="BU404" s="424">
        <f>ROUND((BU402+BV402+BW402+BX402)*取值表!$K$8/4*1.5%,0)</f>
        <v>477947</v>
      </c>
      <c r="BV404" s="424">
        <f t="shared" ref="BV404:BX404" si="8491">BU404</f>
        <v>477947</v>
      </c>
      <c r="BW404" s="424">
        <f t="shared" si="8491"/>
        <v>477947</v>
      </c>
      <c r="BX404" s="424">
        <f t="shared" si="8491"/>
        <v>477947</v>
      </c>
      <c r="BY404" s="424">
        <f>ROUND((BY402+BZ402+CA402+CB402)*取值表!$K$8/4*1.5%,0)</f>
        <v>518537</v>
      </c>
      <c r="BZ404" s="424">
        <f t="shared" ref="BZ404:CB404" si="8492">BY404</f>
        <v>518537</v>
      </c>
      <c r="CA404" s="424">
        <f t="shared" si="8492"/>
        <v>518537</v>
      </c>
      <c r="CB404" s="424">
        <f t="shared" si="8492"/>
        <v>518537</v>
      </c>
      <c r="CC404" s="424">
        <f>ROUND((CC402+CD402+CE402+CF402)*取值表!$K$8/4*1.5%,0)</f>
        <v>562709</v>
      </c>
      <c r="CD404" s="424">
        <f t="shared" ref="CD404:CF404" si="8493">CC404</f>
        <v>562709</v>
      </c>
      <c r="CE404" s="424">
        <f t="shared" si="8493"/>
        <v>562709</v>
      </c>
      <c r="CF404" s="424">
        <f t="shared" si="8493"/>
        <v>562709</v>
      </c>
      <c r="CG404" s="424">
        <f>ROUND((CG402+CH402+CI402+CJ402)*取值表!$K$8/4*1.5%,0)</f>
        <v>610782</v>
      </c>
      <c r="CH404" s="424">
        <f t="shared" ref="CH404" si="8494">CG404</f>
        <v>610782</v>
      </c>
      <c r="CI404" s="424">
        <f>CH404</f>
        <v>610782</v>
      </c>
      <c r="CJ404" s="424">
        <f>CI404</f>
        <v>610782</v>
      </c>
      <c r="CK404" s="425">
        <f t="shared" si="8466"/>
        <v>25890344</v>
      </c>
    </row>
    <row r="405" spans="1:96" s="426" customFormat="1" ht="22.5">
      <c r="A405" s="421"/>
      <c r="B405" s="427" t="s">
        <v>1301</v>
      </c>
      <c r="C405" s="424"/>
      <c r="D405" s="423"/>
      <c r="E405" s="424">
        <f>E406+E407+E408+E409</f>
        <v>10141478</v>
      </c>
      <c r="F405" s="424">
        <f t="shared" ref="F405:BP405" si="8495">F406+F407+F408+F409</f>
        <v>10173785</v>
      </c>
      <c r="G405" s="424">
        <f t="shared" si="8495"/>
        <v>10216363</v>
      </c>
      <c r="H405" s="424">
        <f t="shared" si="8495"/>
        <v>10255502</v>
      </c>
      <c r="I405" s="424">
        <f t="shared" si="8495"/>
        <v>10408558</v>
      </c>
      <c r="J405" s="424">
        <f t="shared" si="8495"/>
        <v>10445387</v>
      </c>
      <c r="K405" s="424">
        <f t="shared" si="8495"/>
        <v>10485806</v>
      </c>
      <c r="L405" s="424">
        <f t="shared" si="8495"/>
        <v>10506582</v>
      </c>
      <c r="M405" s="424">
        <f t="shared" si="8495"/>
        <v>10969218</v>
      </c>
      <c r="N405" s="424">
        <f t="shared" si="8495"/>
        <v>10969218</v>
      </c>
      <c r="O405" s="424">
        <f t="shared" si="8495"/>
        <v>10981922</v>
      </c>
      <c r="P405" s="424">
        <f t="shared" si="8495"/>
        <v>10981922</v>
      </c>
      <c r="Q405" s="424">
        <f t="shared" si="8495"/>
        <v>11618283</v>
      </c>
      <c r="R405" s="424">
        <f t="shared" si="8495"/>
        <v>11619942</v>
      </c>
      <c r="S405" s="424">
        <f t="shared" si="8495"/>
        <v>11619942</v>
      </c>
      <c r="T405" s="424">
        <f t="shared" si="8495"/>
        <v>11619942</v>
      </c>
      <c r="U405" s="424">
        <f t="shared" si="8495"/>
        <v>12398166</v>
      </c>
      <c r="V405" s="424">
        <f t="shared" si="8495"/>
        <v>12398166</v>
      </c>
      <c r="W405" s="424">
        <f t="shared" si="8495"/>
        <v>12408050</v>
      </c>
      <c r="X405" s="424">
        <f t="shared" si="8495"/>
        <v>12408050</v>
      </c>
      <c r="Y405" s="424">
        <f t="shared" si="8495"/>
        <v>13313862</v>
      </c>
      <c r="Z405" s="424">
        <f t="shared" si="8495"/>
        <v>13313862</v>
      </c>
      <c r="AA405" s="424">
        <f t="shared" si="8495"/>
        <v>13313862</v>
      </c>
      <c r="AB405" s="424">
        <f t="shared" si="8495"/>
        <v>13313862</v>
      </c>
      <c r="AC405" s="424">
        <f t="shared" si="8495"/>
        <v>14302715</v>
      </c>
      <c r="AD405" s="424">
        <f t="shared" si="8495"/>
        <v>14302715</v>
      </c>
      <c r="AE405" s="424">
        <f t="shared" si="8495"/>
        <v>14302715</v>
      </c>
      <c r="AF405" s="424">
        <f t="shared" si="8495"/>
        <v>14302715</v>
      </c>
      <c r="AG405" s="424">
        <f t="shared" si="8495"/>
        <v>15377729</v>
      </c>
      <c r="AH405" s="424">
        <f t="shared" si="8495"/>
        <v>15377729</v>
      </c>
      <c r="AI405" s="424">
        <f t="shared" si="8495"/>
        <v>15377729</v>
      </c>
      <c r="AJ405" s="424">
        <f t="shared" si="8495"/>
        <v>15377729</v>
      </c>
      <c r="AK405" s="424">
        <f t="shared" si="8495"/>
        <v>16553507</v>
      </c>
      <c r="AL405" s="424">
        <f t="shared" si="8495"/>
        <v>16553507</v>
      </c>
      <c r="AM405" s="424">
        <f t="shared" si="8495"/>
        <v>16553507</v>
      </c>
      <c r="AN405" s="424">
        <f t="shared" si="8495"/>
        <v>16553507</v>
      </c>
      <c r="AO405" s="424">
        <f t="shared" si="8495"/>
        <v>17843758</v>
      </c>
      <c r="AP405" s="424">
        <f t="shared" si="8495"/>
        <v>17843758</v>
      </c>
      <c r="AQ405" s="424">
        <f t="shared" si="8495"/>
        <v>17843758</v>
      </c>
      <c r="AR405" s="424">
        <f t="shared" si="8495"/>
        <v>17843758</v>
      </c>
      <c r="AS405" s="424">
        <f t="shared" si="8495"/>
        <v>19232676</v>
      </c>
      <c r="AT405" s="424">
        <f t="shared" si="8495"/>
        <v>19232676</v>
      </c>
      <c r="AU405" s="424">
        <f t="shared" si="8495"/>
        <v>19232676</v>
      </c>
      <c r="AV405" s="424">
        <f t="shared" si="8495"/>
        <v>19232676</v>
      </c>
      <c r="AW405" s="424">
        <f t="shared" si="8495"/>
        <v>20764365</v>
      </c>
      <c r="AX405" s="424">
        <f t="shared" si="8495"/>
        <v>20764365</v>
      </c>
      <c r="AY405" s="424">
        <f t="shared" si="8495"/>
        <v>20764365</v>
      </c>
      <c r="AZ405" s="424">
        <f t="shared" si="8495"/>
        <v>20764365</v>
      </c>
      <c r="BA405" s="424">
        <f t="shared" si="8495"/>
        <v>22429549</v>
      </c>
      <c r="BB405" s="424">
        <f t="shared" si="8495"/>
        <v>22429549</v>
      </c>
      <c r="BC405" s="424">
        <f t="shared" si="8495"/>
        <v>22429549</v>
      </c>
      <c r="BD405" s="424">
        <f t="shared" si="8495"/>
        <v>22429549</v>
      </c>
      <c r="BE405" s="424">
        <f t="shared" si="8495"/>
        <v>24240135</v>
      </c>
      <c r="BF405" s="424">
        <f t="shared" si="8495"/>
        <v>24240135</v>
      </c>
      <c r="BG405" s="424">
        <f t="shared" si="8495"/>
        <v>24240135</v>
      </c>
      <c r="BH405" s="424">
        <f t="shared" si="8495"/>
        <v>24240135</v>
      </c>
      <c r="BI405" s="424">
        <f t="shared" si="8495"/>
        <v>26209115</v>
      </c>
      <c r="BJ405" s="424">
        <f t="shared" si="8495"/>
        <v>26209115</v>
      </c>
      <c r="BK405" s="424">
        <f t="shared" si="8495"/>
        <v>26209115</v>
      </c>
      <c r="BL405" s="424">
        <f t="shared" si="8495"/>
        <v>26209115</v>
      </c>
      <c r="BM405" s="424">
        <f t="shared" si="8495"/>
        <v>28350653</v>
      </c>
      <c r="BN405" s="424">
        <f t="shared" si="8495"/>
        <v>28350653</v>
      </c>
      <c r="BO405" s="424">
        <f t="shared" si="8495"/>
        <v>28350653</v>
      </c>
      <c r="BP405" s="424">
        <f t="shared" si="8495"/>
        <v>28350653</v>
      </c>
      <c r="BQ405" s="424">
        <f t="shared" ref="BQ405:CI405" si="8496">BQ406+BQ407+BQ408+BQ409</f>
        <v>30680195</v>
      </c>
      <c r="BR405" s="424">
        <f t="shared" si="8496"/>
        <v>30680195</v>
      </c>
      <c r="BS405" s="424">
        <f t="shared" si="8496"/>
        <v>30680195</v>
      </c>
      <c r="BT405" s="424">
        <f t="shared" si="8496"/>
        <v>30680195</v>
      </c>
      <c r="BU405" s="424">
        <f t="shared" si="8496"/>
        <v>33214590</v>
      </c>
      <c r="BV405" s="424">
        <f t="shared" si="8496"/>
        <v>33214590</v>
      </c>
      <c r="BW405" s="424">
        <f t="shared" si="8496"/>
        <v>33214590</v>
      </c>
      <c r="BX405" s="424">
        <f t="shared" si="8496"/>
        <v>33214590</v>
      </c>
      <c r="BY405" s="424">
        <f t="shared" si="8496"/>
        <v>35972217</v>
      </c>
      <c r="BZ405" s="424">
        <f t="shared" si="8496"/>
        <v>35972217</v>
      </c>
      <c r="CA405" s="424">
        <f t="shared" si="8496"/>
        <v>35972217</v>
      </c>
      <c r="CB405" s="424">
        <f t="shared" si="8496"/>
        <v>35972217</v>
      </c>
      <c r="CC405" s="424">
        <f t="shared" si="8496"/>
        <v>38973117</v>
      </c>
      <c r="CD405" s="424">
        <f t="shared" si="8496"/>
        <v>38973117</v>
      </c>
      <c r="CE405" s="424">
        <f t="shared" si="8496"/>
        <v>38973117</v>
      </c>
      <c r="CF405" s="424">
        <f t="shared" si="8496"/>
        <v>38973117</v>
      </c>
      <c r="CG405" s="424">
        <f t="shared" si="8496"/>
        <v>42239153</v>
      </c>
      <c r="CH405" s="424">
        <f t="shared" si="8496"/>
        <v>42239153</v>
      </c>
      <c r="CI405" s="424">
        <f t="shared" si="8496"/>
        <v>42239153</v>
      </c>
      <c r="CJ405" s="424">
        <f>CJ406+CJ407+CJ408+CJ409</f>
        <v>42239153</v>
      </c>
      <c r="CK405" s="425">
        <f t="shared" si="8466"/>
        <v>1821415626</v>
      </c>
    </row>
    <row r="406" spans="1:96" s="426" customFormat="1" ht="12">
      <c r="A406" s="421"/>
      <c r="B406" s="422" t="s">
        <v>1406</v>
      </c>
      <c r="C406" s="422"/>
      <c r="D406" s="428">
        <v>0.12</v>
      </c>
      <c r="E406" s="429">
        <f t="shared" ref="E406:AJ406" si="8497">ROUND(E401*$D$406,0)</f>
        <v>5678219</v>
      </c>
      <c r="F406" s="429">
        <f t="shared" si="8497"/>
        <v>5696392</v>
      </c>
      <c r="G406" s="429">
        <f t="shared" si="8497"/>
        <v>5720342</v>
      </c>
      <c r="H406" s="429">
        <f t="shared" si="8497"/>
        <v>5742358</v>
      </c>
      <c r="I406" s="429">
        <f t="shared" si="8497"/>
        <v>5828452</v>
      </c>
      <c r="J406" s="429">
        <f t="shared" si="8497"/>
        <v>5849168</v>
      </c>
      <c r="K406" s="429">
        <f t="shared" si="8497"/>
        <v>5871904</v>
      </c>
      <c r="L406" s="429">
        <f t="shared" si="8497"/>
        <v>5883590</v>
      </c>
      <c r="M406" s="429">
        <f t="shared" si="8497"/>
        <v>6143823</v>
      </c>
      <c r="N406" s="429">
        <f t="shared" si="8497"/>
        <v>6143823</v>
      </c>
      <c r="O406" s="429">
        <f t="shared" si="8497"/>
        <v>6150969</v>
      </c>
      <c r="P406" s="429">
        <f t="shared" si="8497"/>
        <v>6150969</v>
      </c>
      <c r="Q406" s="429">
        <f t="shared" si="8497"/>
        <v>6508922</v>
      </c>
      <c r="R406" s="429">
        <f t="shared" si="8497"/>
        <v>6509855</v>
      </c>
      <c r="S406" s="429">
        <f t="shared" si="8497"/>
        <v>6509855</v>
      </c>
      <c r="T406" s="429">
        <f t="shared" si="8497"/>
        <v>6509855</v>
      </c>
      <c r="U406" s="429">
        <f t="shared" si="8497"/>
        <v>6947606</v>
      </c>
      <c r="V406" s="429">
        <f t="shared" si="8497"/>
        <v>6947606</v>
      </c>
      <c r="W406" s="429">
        <f t="shared" si="8497"/>
        <v>6953166</v>
      </c>
      <c r="X406" s="429">
        <f t="shared" si="8497"/>
        <v>6953166</v>
      </c>
      <c r="Y406" s="429">
        <f t="shared" si="8497"/>
        <v>7462685</v>
      </c>
      <c r="Z406" s="429">
        <f t="shared" si="8497"/>
        <v>7462685</v>
      </c>
      <c r="AA406" s="429">
        <f t="shared" si="8497"/>
        <v>7462685</v>
      </c>
      <c r="AB406" s="429">
        <f t="shared" si="8497"/>
        <v>7462685</v>
      </c>
      <c r="AC406" s="429">
        <f t="shared" si="8497"/>
        <v>8018915</v>
      </c>
      <c r="AD406" s="429">
        <f t="shared" si="8497"/>
        <v>8018915</v>
      </c>
      <c r="AE406" s="429">
        <f t="shared" si="8497"/>
        <v>8018915</v>
      </c>
      <c r="AF406" s="429">
        <f t="shared" si="8497"/>
        <v>8018915</v>
      </c>
      <c r="AG406" s="429">
        <f t="shared" si="8497"/>
        <v>8623610</v>
      </c>
      <c r="AH406" s="429">
        <f t="shared" si="8497"/>
        <v>8623610</v>
      </c>
      <c r="AI406" s="429">
        <f t="shared" si="8497"/>
        <v>8623610</v>
      </c>
      <c r="AJ406" s="429">
        <f t="shared" si="8497"/>
        <v>8623610</v>
      </c>
      <c r="AK406" s="429">
        <f t="shared" ref="AK406:BP406" si="8498">ROUND(AK401*$D$406,0)</f>
        <v>9284986</v>
      </c>
      <c r="AL406" s="429">
        <f t="shared" si="8498"/>
        <v>9284986</v>
      </c>
      <c r="AM406" s="429">
        <f t="shared" si="8498"/>
        <v>9284986</v>
      </c>
      <c r="AN406" s="429">
        <f t="shared" si="8498"/>
        <v>9284986</v>
      </c>
      <c r="AO406" s="429">
        <f t="shared" si="8498"/>
        <v>10010752</v>
      </c>
      <c r="AP406" s="429">
        <f t="shared" si="8498"/>
        <v>10010752</v>
      </c>
      <c r="AQ406" s="429">
        <f t="shared" si="8498"/>
        <v>10010752</v>
      </c>
      <c r="AR406" s="429">
        <f t="shared" si="8498"/>
        <v>10010752</v>
      </c>
      <c r="AS406" s="429">
        <f t="shared" si="8498"/>
        <v>10792018</v>
      </c>
      <c r="AT406" s="429">
        <f t="shared" si="8498"/>
        <v>10792018</v>
      </c>
      <c r="AU406" s="429">
        <f t="shared" si="8498"/>
        <v>10792018</v>
      </c>
      <c r="AV406" s="429">
        <f t="shared" si="8498"/>
        <v>10792018</v>
      </c>
      <c r="AW406" s="429">
        <f t="shared" si="8498"/>
        <v>11653593</v>
      </c>
      <c r="AX406" s="429">
        <f t="shared" si="8498"/>
        <v>11653593</v>
      </c>
      <c r="AY406" s="429">
        <f t="shared" si="8498"/>
        <v>11653593</v>
      </c>
      <c r="AZ406" s="429">
        <f t="shared" si="8498"/>
        <v>11653593</v>
      </c>
      <c r="BA406" s="429">
        <f t="shared" si="8498"/>
        <v>12590259</v>
      </c>
      <c r="BB406" s="429">
        <f t="shared" si="8498"/>
        <v>12590259</v>
      </c>
      <c r="BC406" s="429">
        <f t="shared" si="8498"/>
        <v>12590259</v>
      </c>
      <c r="BD406" s="429">
        <f t="shared" si="8498"/>
        <v>12590259</v>
      </c>
      <c r="BE406" s="429">
        <f t="shared" si="8498"/>
        <v>13608714</v>
      </c>
      <c r="BF406" s="429">
        <f t="shared" si="8498"/>
        <v>13608714</v>
      </c>
      <c r="BG406" s="429">
        <f t="shared" si="8498"/>
        <v>13608714</v>
      </c>
      <c r="BH406" s="429">
        <f t="shared" si="8498"/>
        <v>13608714</v>
      </c>
      <c r="BI406" s="429">
        <f t="shared" si="8498"/>
        <v>14716265</v>
      </c>
      <c r="BJ406" s="429">
        <f t="shared" si="8498"/>
        <v>14716265</v>
      </c>
      <c r="BK406" s="429">
        <f t="shared" si="8498"/>
        <v>14716265</v>
      </c>
      <c r="BL406" s="429">
        <f t="shared" si="8498"/>
        <v>14716265</v>
      </c>
      <c r="BM406" s="429">
        <f t="shared" si="8498"/>
        <v>15920880</v>
      </c>
      <c r="BN406" s="429">
        <f t="shared" si="8498"/>
        <v>15920880</v>
      </c>
      <c r="BO406" s="429">
        <f t="shared" si="8498"/>
        <v>15920880</v>
      </c>
      <c r="BP406" s="429">
        <f t="shared" si="8498"/>
        <v>15920880</v>
      </c>
      <c r="BQ406" s="429">
        <f t="shared" ref="BQ406:CJ406" si="8499">ROUND(BQ401*$D$406,0)</f>
        <v>17231248</v>
      </c>
      <c r="BR406" s="429">
        <f t="shared" si="8499"/>
        <v>17231248</v>
      </c>
      <c r="BS406" s="429">
        <f t="shared" si="8499"/>
        <v>17231248</v>
      </c>
      <c r="BT406" s="429">
        <f t="shared" si="8499"/>
        <v>17231248</v>
      </c>
      <c r="BU406" s="429">
        <f t="shared" si="8499"/>
        <v>18656845</v>
      </c>
      <c r="BV406" s="429">
        <f t="shared" si="8499"/>
        <v>18656845</v>
      </c>
      <c r="BW406" s="429">
        <f t="shared" si="8499"/>
        <v>18656845</v>
      </c>
      <c r="BX406" s="429">
        <f t="shared" si="8499"/>
        <v>18656845</v>
      </c>
      <c r="BY406" s="429">
        <f t="shared" si="8499"/>
        <v>20208010</v>
      </c>
      <c r="BZ406" s="429">
        <f t="shared" si="8499"/>
        <v>20208010</v>
      </c>
      <c r="CA406" s="429">
        <f t="shared" si="8499"/>
        <v>20208010</v>
      </c>
      <c r="CB406" s="429">
        <f t="shared" si="8499"/>
        <v>20208010</v>
      </c>
      <c r="CC406" s="429">
        <f t="shared" si="8499"/>
        <v>21896016</v>
      </c>
      <c r="CD406" s="429">
        <f t="shared" si="8499"/>
        <v>21896016</v>
      </c>
      <c r="CE406" s="429">
        <f t="shared" si="8499"/>
        <v>21896016</v>
      </c>
      <c r="CF406" s="429">
        <f t="shared" si="8499"/>
        <v>21896016</v>
      </c>
      <c r="CG406" s="429">
        <f t="shared" si="8499"/>
        <v>23733161</v>
      </c>
      <c r="CH406" s="429">
        <f t="shared" si="8499"/>
        <v>23733161</v>
      </c>
      <c r="CI406" s="429">
        <f t="shared" si="8499"/>
        <v>23733161</v>
      </c>
      <c r="CJ406" s="429">
        <f t="shared" si="8499"/>
        <v>23733161</v>
      </c>
      <c r="CK406" s="425">
        <f t="shared" si="8466"/>
        <v>1022331868</v>
      </c>
    </row>
    <row r="407" spans="1:96" s="431" customFormat="1" ht="12">
      <c r="A407" s="430"/>
      <c r="B407" s="422" t="s">
        <v>1407</v>
      </c>
      <c r="C407" s="422"/>
      <c r="D407" s="423">
        <v>5.6000000000000001E-2</v>
      </c>
      <c r="E407" s="424">
        <f t="shared" ref="E407:AJ407" si="8500">ROUND(E401*$D$407/(1+5%),0)</f>
        <v>2523653</v>
      </c>
      <c r="F407" s="424">
        <f t="shared" si="8500"/>
        <v>2531730</v>
      </c>
      <c r="G407" s="424">
        <f t="shared" si="8500"/>
        <v>2542374</v>
      </c>
      <c r="H407" s="424">
        <f t="shared" si="8500"/>
        <v>2552159</v>
      </c>
      <c r="I407" s="424">
        <f t="shared" si="8500"/>
        <v>2590423</v>
      </c>
      <c r="J407" s="424">
        <f t="shared" si="8500"/>
        <v>2599630</v>
      </c>
      <c r="K407" s="424">
        <f t="shared" si="8500"/>
        <v>2609735</v>
      </c>
      <c r="L407" s="424">
        <f t="shared" si="8500"/>
        <v>2614929</v>
      </c>
      <c r="M407" s="424">
        <f t="shared" si="8500"/>
        <v>2730588</v>
      </c>
      <c r="N407" s="424">
        <f t="shared" si="8500"/>
        <v>2730588</v>
      </c>
      <c r="O407" s="424">
        <f t="shared" si="8500"/>
        <v>2733764</v>
      </c>
      <c r="P407" s="424">
        <f t="shared" si="8500"/>
        <v>2733764</v>
      </c>
      <c r="Q407" s="424">
        <f t="shared" si="8500"/>
        <v>2892854</v>
      </c>
      <c r="R407" s="424">
        <f t="shared" si="8500"/>
        <v>2893269</v>
      </c>
      <c r="S407" s="424">
        <f t="shared" si="8500"/>
        <v>2893269</v>
      </c>
      <c r="T407" s="424">
        <f t="shared" si="8500"/>
        <v>2893269</v>
      </c>
      <c r="U407" s="424">
        <f t="shared" si="8500"/>
        <v>3087825</v>
      </c>
      <c r="V407" s="424">
        <f t="shared" si="8500"/>
        <v>3087825</v>
      </c>
      <c r="W407" s="424">
        <f t="shared" si="8500"/>
        <v>3090296</v>
      </c>
      <c r="X407" s="424">
        <f t="shared" si="8500"/>
        <v>3090296</v>
      </c>
      <c r="Y407" s="424">
        <f t="shared" si="8500"/>
        <v>3316749</v>
      </c>
      <c r="Z407" s="424">
        <f t="shared" si="8500"/>
        <v>3316749</v>
      </c>
      <c r="AA407" s="424">
        <f t="shared" si="8500"/>
        <v>3316749</v>
      </c>
      <c r="AB407" s="424">
        <f t="shared" si="8500"/>
        <v>3316749</v>
      </c>
      <c r="AC407" s="424">
        <f t="shared" si="8500"/>
        <v>3563962</v>
      </c>
      <c r="AD407" s="424">
        <f t="shared" si="8500"/>
        <v>3563962</v>
      </c>
      <c r="AE407" s="424">
        <f t="shared" si="8500"/>
        <v>3563962</v>
      </c>
      <c r="AF407" s="424">
        <f t="shared" si="8500"/>
        <v>3563962</v>
      </c>
      <c r="AG407" s="424">
        <f t="shared" si="8500"/>
        <v>3832716</v>
      </c>
      <c r="AH407" s="424">
        <f t="shared" si="8500"/>
        <v>3832716</v>
      </c>
      <c r="AI407" s="424">
        <f t="shared" si="8500"/>
        <v>3832716</v>
      </c>
      <c r="AJ407" s="424">
        <f t="shared" si="8500"/>
        <v>3832716</v>
      </c>
      <c r="AK407" s="424">
        <f t="shared" ref="AK407:BP407" si="8501">ROUND(AK401*$D$407/(1+5%),0)</f>
        <v>4126660</v>
      </c>
      <c r="AL407" s="424">
        <f t="shared" si="8501"/>
        <v>4126660</v>
      </c>
      <c r="AM407" s="424">
        <f t="shared" si="8501"/>
        <v>4126660</v>
      </c>
      <c r="AN407" s="424">
        <f t="shared" si="8501"/>
        <v>4126660</v>
      </c>
      <c r="AO407" s="424">
        <f t="shared" si="8501"/>
        <v>4449223</v>
      </c>
      <c r="AP407" s="424">
        <f t="shared" si="8501"/>
        <v>4449223</v>
      </c>
      <c r="AQ407" s="424">
        <f t="shared" si="8501"/>
        <v>4449223</v>
      </c>
      <c r="AR407" s="424">
        <f t="shared" si="8501"/>
        <v>4449223</v>
      </c>
      <c r="AS407" s="424">
        <f t="shared" si="8501"/>
        <v>4796453</v>
      </c>
      <c r="AT407" s="424">
        <f t="shared" si="8501"/>
        <v>4796453</v>
      </c>
      <c r="AU407" s="424">
        <f t="shared" si="8501"/>
        <v>4796453</v>
      </c>
      <c r="AV407" s="424">
        <f t="shared" si="8501"/>
        <v>4796453</v>
      </c>
      <c r="AW407" s="424">
        <f t="shared" si="8501"/>
        <v>5179375</v>
      </c>
      <c r="AX407" s="424">
        <f t="shared" si="8501"/>
        <v>5179375</v>
      </c>
      <c r="AY407" s="424">
        <f t="shared" si="8501"/>
        <v>5179375</v>
      </c>
      <c r="AZ407" s="424">
        <f t="shared" si="8501"/>
        <v>5179375</v>
      </c>
      <c r="BA407" s="424">
        <f t="shared" si="8501"/>
        <v>5595671</v>
      </c>
      <c r="BB407" s="424">
        <f t="shared" si="8501"/>
        <v>5595671</v>
      </c>
      <c r="BC407" s="424">
        <f t="shared" si="8501"/>
        <v>5595671</v>
      </c>
      <c r="BD407" s="424">
        <f t="shared" si="8501"/>
        <v>5595671</v>
      </c>
      <c r="BE407" s="424">
        <f t="shared" si="8501"/>
        <v>6048317</v>
      </c>
      <c r="BF407" s="424">
        <f t="shared" si="8501"/>
        <v>6048317</v>
      </c>
      <c r="BG407" s="424">
        <f t="shared" si="8501"/>
        <v>6048317</v>
      </c>
      <c r="BH407" s="424">
        <f t="shared" si="8501"/>
        <v>6048317</v>
      </c>
      <c r="BI407" s="424">
        <f t="shared" si="8501"/>
        <v>6540562</v>
      </c>
      <c r="BJ407" s="424">
        <f t="shared" si="8501"/>
        <v>6540562</v>
      </c>
      <c r="BK407" s="424">
        <f t="shared" si="8501"/>
        <v>6540562</v>
      </c>
      <c r="BL407" s="424">
        <f t="shared" si="8501"/>
        <v>6540562</v>
      </c>
      <c r="BM407" s="424">
        <f t="shared" si="8501"/>
        <v>7075947</v>
      </c>
      <c r="BN407" s="424">
        <f t="shared" si="8501"/>
        <v>7075947</v>
      </c>
      <c r="BO407" s="424">
        <f t="shared" si="8501"/>
        <v>7075947</v>
      </c>
      <c r="BP407" s="424">
        <f t="shared" si="8501"/>
        <v>7075947</v>
      </c>
      <c r="BQ407" s="424">
        <f t="shared" ref="BQ407:CJ407" si="8502">ROUND(BQ401*$D$407/(1+5%),0)</f>
        <v>7658332</v>
      </c>
      <c r="BR407" s="424">
        <f t="shared" si="8502"/>
        <v>7658332</v>
      </c>
      <c r="BS407" s="424">
        <f t="shared" si="8502"/>
        <v>7658332</v>
      </c>
      <c r="BT407" s="424">
        <f t="shared" si="8502"/>
        <v>7658332</v>
      </c>
      <c r="BU407" s="424">
        <f t="shared" si="8502"/>
        <v>8291931</v>
      </c>
      <c r="BV407" s="424">
        <f t="shared" si="8502"/>
        <v>8291931</v>
      </c>
      <c r="BW407" s="424">
        <f t="shared" si="8502"/>
        <v>8291931</v>
      </c>
      <c r="BX407" s="424">
        <f t="shared" si="8502"/>
        <v>8291931</v>
      </c>
      <c r="BY407" s="424">
        <f t="shared" si="8502"/>
        <v>8981338</v>
      </c>
      <c r="BZ407" s="424">
        <f t="shared" si="8502"/>
        <v>8981338</v>
      </c>
      <c r="CA407" s="424">
        <f t="shared" si="8502"/>
        <v>8981338</v>
      </c>
      <c r="CB407" s="424">
        <f t="shared" si="8502"/>
        <v>8981338</v>
      </c>
      <c r="CC407" s="424">
        <f t="shared" si="8502"/>
        <v>9731563</v>
      </c>
      <c r="CD407" s="424">
        <f t="shared" si="8502"/>
        <v>9731563</v>
      </c>
      <c r="CE407" s="424">
        <f t="shared" si="8502"/>
        <v>9731563</v>
      </c>
      <c r="CF407" s="424">
        <f t="shared" si="8502"/>
        <v>9731563</v>
      </c>
      <c r="CG407" s="424">
        <f t="shared" si="8502"/>
        <v>10548072</v>
      </c>
      <c r="CH407" s="424">
        <f t="shared" si="8502"/>
        <v>10548072</v>
      </c>
      <c r="CI407" s="424">
        <f t="shared" si="8502"/>
        <v>10548072</v>
      </c>
      <c r="CJ407" s="424">
        <f t="shared" si="8502"/>
        <v>10548072</v>
      </c>
      <c r="CK407" s="425">
        <f t="shared" si="8466"/>
        <v>454369724</v>
      </c>
    </row>
    <row r="408" spans="1:96" s="431" customFormat="1" ht="12">
      <c r="A408" s="430"/>
      <c r="B408" s="422" t="s">
        <v>1302</v>
      </c>
      <c r="C408" s="422"/>
      <c r="D408" s="396">
        <f>仓储现金流!D85</f>
        <v>0.04</v>
      </c>
      <c r="E408" s="424">
        <f t="shared" ref="E408:AJ408" si="8503">ROUND(E401*$D$408,0)</f>
        <v>1892740</v>
      </c>
      <c r="F408" s="424">
        <f t="shared" si="8503"/>
        <v>1898797</v>
      </c>
      <c r="G408" s="424">
        <f t="shared" si="8503"/>
        <v>1906781</v>
      </c>
      <c r="H408" s="424">
        <f t="shared" si="8503"/>
        <v>1914119</v>
      </c>
      <c r="I408" s="424">
        <f t="shared" si="8503"/>
        <v>1942817</v>
      </c>
      <c r="J408" s="424">
        <f t="shared" si="8503"/>
        <v>1949723</v>
      </c>
      <c r="K408" s="424">
        <f t="shared" si="8503"/>
        <v>1957301</v>
      </c>
      <c r="L408" s="424">
        <f t="shared" si="8503"/>
        <v>1961197</v>
      </c>
      <c r="M408" s="424">
        <f t="shared" si="8503"/>
        <v>2047941</v>
      </c>
      <c r="N408" s="424">
        <f t="shared" si="8503"/>
        <v>2047941</v>
      </c>
      <c r="O408" s="424">
        <f t="shared" si="8503"/>
        <v>2050323</v>
      </c>
      <c r="P408" s="424">
        <f t="shared" si="8503"/>
        <v>2050323</v>
      </c>
      <c r="Q408" s="424">
        <f t="shared" si="8503"/>
        <v>2169641</v>
      </c>
      <c r="R408" s="424">
        <f t="shared" si="8503"/>
        <v>2169952</v>
      </c>
      <c r="S408" s="424">
        <f t="shared" si="8503"/>
        <v>2169952</v>
      </c>
      <c r="T408" s="424">
        <f t="shared" si="8503"/>
        <v>2169952</v>
      </c>
      <c r="U408" s="424">
        <f t="shared" si="8503"/>
        <v>2315869</v>
      </c>
      <c r="V408" s="424">
        <f t="shared" si="8503"/>
        <v>2315869</v>
      </c>
      <c r="W408" s="424">
        <f t="shared" si="8503"/>
        <v>2317722</v>
      </c>
      <c r="X408" s="424">
        <f t="shared" si="8503"/>
        <v>2317722</v>
      </c>
      <c r="Y408" s="424">
        <f t="shared" si="8503"/>
        <v>2487562</v>
      </c>
      <c r="Z408" s="424">
        <f t="shared" si="8503"/>
        <v>2487562</v>
      </c>
      <c r="AA408" s="424">
        <f t="shared" si="8503"/>
        <v>2487562</v>
      </c>
      <c r="AB408" s="424">
        <f t="shared" si="8503"/>
        <v>2487562</v>
      </c>
      <c r="AC408" s="424">
        <f t="shared" si="8503"/>
        <v>2672972</v>
      </c>
      <c r="AD408" s="424">
        <f t="shared" si="8503"/>
        <v>2672972</v>
      </c>
      <c r="AE408" s="424">
        <f t="shared" si="8503"/>
        <v>2672972</v>
      </c>
      <c r="AF408" s="424">
        <f t="shared" si="8503"/>
        <v>2672972</v>
      </c>
      <c r="AG408" s="424">
        <f t="shared" si="8503"/>
        <v>2874537</v>
      </c>
      <c r="AH408" s="424">
        <f t="shared" si="8503"/>
        <v>2874537</v>
      </c>
      <c r="AI408" s="424">
        <f t="shared" si="8503"/>
        <v>2874537</v>
      </c>
      <c r="AJ408" s="424">
        <f t="shared" si="8503"/>
        <v>2874537</v>
      </c>
      <c r="AK408" s="424">
        <f t="shared" ref="AK408:BP408" si="8504">ROUND(AK401*$D$408,0)</f>
        <v>3094995</v>
      </c>
      <c r="AL408" s="424">
        <f t="shared" si="8504"/>
        <v>3094995</v>
      </c>
      <c r="AM408" s="424">
        <f t="shared" si="8504"/>
        <v>3094995</v>
      </c>
      <c r="AN408" s="424">
        <f t="shared" si="8504"/>
        <v>3094995</v>
      </c>
      <c r="AO408" s="424">
        <f t="shared" si="8504"/>
        <v>3336917</v>
      </c>
      <c r="AP408" s="424">
        <f t="shared" si="8504"/>
        <v>3336917</v>
      </c>
      <c r="AQ408" s="424">
        <f t="shared" si="8504"/>
        <v>3336917</v>
      </c>
      <c r="AR408" s="424">
        <f t="shared" si="8504"/>
        <v>3336917</v>
      </c>
      <c r="AS408" s="424">
        <f t="shared" si="8504"/>
        <v>3597339</v>
      </c>
      <c r="AT408" s="424">
        <f t="shared" si="8504"/>
        <v>3597339</v>
      </c>
      <c r="AU408" s="424">
        <f t="shared" si="8504"/>
        <v>3597339</v>
      </c>
      <c r="AV408" s="424">
        <f t="shared" si="8504"/>
        <v>3597339</v>
      </c>
      <c r="AW408" s="424">
        <f t="shared" si="8504"/>
        <v>3884531</v>
      </c>
      <c r="AX408" s="424">
        <f t="shared" si="8504"/>
        <v>3884531</v>
      </c>
      <c r="AY408" s="424">
        <f t="shared" si="8504"/>
        <v>3884531</v>
      </c>
      <c r="AZ408" s="424">
        <f t="shared" si="8504"/>
        <v>3884531</v>
      </c>
      <c r="BA408" s="424">
        <f t="shared" si="8504"/>
        <v>4196753</v>
      </c>
      <c r="BB408" s="424">
        <f t="shared" si="8504"/>
        <v>4196753</v>
      </c>
      <c r="BC408" s="424">
        <f t="shared" si="8504"/>
        <v>4196753</v>
      </c>
      <c r="BD408" s="424">
        <f t="shared" si="8504"/>
        <v>4196753</v>
      </c>
      <c r="BE408" s="424">
        <f t="shared" si="8504"/>
        <v>4536238</v>
      </c>
      <c r="BF408" s="424">
        <f t="shared" si="8504"/>
        <v>4536238</v>
      </c>
      <c r="BG408" s="424">
        <f t="shared" si="8504"/>
        <v>4536238</v>
      </c>
      <c r="BH408" s="424">
        <f t="shared" si="8504"/>
        <v>4536238</v>
      </c>
      <c r="BI408" s="424">
        <f t="shared" si="8504"/>
        <v>4905422</v>
      </c>
      <c r="BJ408" s="424">
        <f t="shared" si="8504"/>
        <v>4905422</v>
      </c>
      <c r="BK408" s="424">
        <f t="shared" si="8504"/>
        <v>4905422</v>
      </c>
      <c r="BL408" s="424">
        <f t="shared" si="8504"/>
        <v>4905422</v>
      </c>
      <c r="BM408" s="424">
        <f t="shared" si="8504"/>
        <v>5306960</v>
      </c>
      <c r="BN408" s="424">
        <f t="shared" si="8504"/>
        <v>5306960</v>
      </c>
      <c r="BO408" s="424">
        <f t="shared" si="8504"/>
        <v>5306960</v>
      </c>
      <c r="BP408" s="424">
        <f t="shared" si="8504"/>
        <v>5306960</v>
      </c>
      <c r="BQ408" s="424">
        <f t="shared" ref="BQ408:CJ408" si="8505">ROUND(BQ401*$D$408,0)</f>
        <v>5743749</v>
      </c>
      <c r="BR408" s="424">
        <f t="shared" si="8505"/>
        <v>5743749</v>
      </c>
      <c r="BS408" s="424">
        <f t="shared" si="8505"/>
        <v>5743749</v>
      </c>
      <c r="BT408" s="424">
        <f t="shared" si="8505"/>
        <v>5743749</v>
      </c>
      <c r="BU408" s="424">
        <f t="shared" si="8505"/>
        <v>6218948</v>
      </c>
      <c r="BV408" s="424">
        <f t="shared" si="8505"/>
        <v>6218948</v>
      </c>
      <c r="BW408" s="424">
        <f t="shared" si="8505"/>
        <v>6218948</v>
      </c>
      <c r="BX408" s="424">
        <f t="shared" si="8505"/>
        <v>6218948</v>
      </c>
      <c r="BY408" s="424">
        <f t="shared" si="8505"/>
        <v>6736003</v>
      </c>
      <c r="BZ408" s="424">
        <f t="shared" si="8505"/>
        <v>6736003</v>
      </c>
      <c r="CA408" s="424">
        <f t="shared" si="8505"/>
        <v>6736003</v>
      </c>
      <c r="CB408" s="424">
        <f t="shared" si="8505"/>
        <v>6736003</v>
      </c>
      <c r="CC408" s="424">
        <f t="shared" si="8505"/>
        <v>7298672</v>
      </c>
      <c r="CD408" s="424">
        <f t="shared" si="8505"/>
        <v>7298672</v>
      </c>
      <c r="CE408" s="424">
        <f t="shared" si="8505"/>
        <v>7298672</v>
      </c>
      <c r="CF408" s="424">
        <f t="shared" si="8505"/>
        <v>7298672</v>
      </c>
      <c r="CG408" s="424">
        <f t="shared" si="8505"/>
        <v>7911054</v>
      </c>
      <c r="CH408" s="424">
        <f t="shared" si="8505"/>
        <v>7911054</v>
      </c>
      <c r="CI408" s="424">
        <f t="shared" si="8505"/>
        <v>7911054</v>
      </c>
      <c r="CJ408" s="424">
        <f t="shared" si="8505"/>
        <v>7911054</v>
      </c>
      <c r="CK408" s="425">
        <f t="shared" si="8466"/>
        <v>340777290</v>
      </c>
    </row>
    <row r="409" spans="1:96" s="431" customFormat="1" ht="12">
      <c r="A409" s="430"/>
      <c r="B409" s="422" t="s">
        <v>1316</v>
      </c>
      <c r="C409" s="422"/>
      <c r="D409" s="396">
        <v>24</v>
      </c>
      <c r="E409" s="424">
        <f>ROUND(D409*基础资料!E41/4,0)</f>
        <v>46866</v>
      </c>
      <c r="F409" s="424">
        <f>E409</f>
        <v>46866</v>
      </c>
      <c r="G409" s="424">
        <f>F409</f>
        <v>46866</v>
      </c>
      <c r="H409" s="424">
        <f>G409</f>
        <v>46866</v>
      </c>
      <c r="I409" s="424">
        <f t="shared" ref="I409:BT409" si="8506">H409</f>
        <v>46866</v>
      </c>
      <c r="J409" s="424">
        <f t="shared" si="8506"/>
        <v>46866</v>
      </c>
      <c r="K409" s="424">
        <f t="shared" si="8506"/>
        <v>46866</v>
      </c>
      <c r="L409" s="424">
        <f t="shared" si="8506"/>
        <v>46866</v>
      </c>
      <c r="M409" s="424">
        <f t="shared" si="8506"/>
        <v>46866</v>
      </c>
      <c r="N409" s="424">
        <f t="shared" si="8506"/>
        <v>46866</v>
      </c>
      <c r="O409" s="424">
        <f>N409</f>
        <v>46866</v>
      </c>
      <c r="P409" s="424">
        <f>O409</f>
        <v>46866</v>
      </c>
      <c r="Q409" s="424">
        <f>P409</f>
        <v>46866</v>
      </c>
      <c r="R409" s="424">
        <f t="shared" si="8506"/>
        <v>46866</v>
      </c>
      <c r="S409" s="424">
        <f t="shared" si="8506"/>
        <v>46866</v>
      </c>
      <c r="T409" s="424">
        <f t="shared" si="8506"/>
        <v>46866</v>
      </c>
      <c r="U409" s="424">
        <f>T409</f>
        <v>46866</v>
      </c>
      <c r="V409" s="424">
        <f t="shared" si="8506"/>
        <v>46866</v>
      </c>
      <c r="W409" s="424">
        <f t="shared" si="8506"/>
        <v>46866</v>
      </c>
      <c r="X409" s="424">
        <f t="shared" si="8506"/>
        <v>46866</v>
      </c>
      <c r="Y409" s="424">
        <f t="shared" si="8506"/>
        <v>46866</v>
      </c>
      <c r="Z409" s="424">
        <f t="shared" si="8506"/>
        <v>46866</v>
      </c>
      <c r="AA409" s="424">
        <f t="shared" si="8506"/>
        <v>46866</v>
      </c>
      <c r="AB409" s="424">
        <f t="shared" si="8506"/>
        <v>46866</v>
      </c>
      <c r="AC409" s="424">
        <f>AB409</f>
        <v>46866</v>
      </c>
      <c r="AD409" s="424">
        <f t="shared" si="8506"/>
        <v>46866</v>
      </c>
      <c r="AE409" s="424">
        <f t="shared" si="8506"/>
        <v>46866</v>
      </c>
      <c r="AF409" s="424">
        <f t="shared" si="8506"/>
        <v>46866</v>
      </c>
      <c r="AG409" s="424">
        <f t="shared" si="8506"/>
        <v>46866</v>
      </c>
      <c r="AH409" s="424">
        <f t="shared" si="8506"/>
        <v>46866</v>
      </c>
      <c r="AI409" s="424">
        <f t="shared" si="8506"/>
        <v>46866</v>
      </c>
      <c r="AJ409" s="424">
        <f t="shared" si="8506"/>
        <v>46866</v>
      </c>
      <c r="AK409" s="424">
        <f t="shared" si="8506"/>
        <v>46866</v>
      </c>
      <c r="AL409" s="424">
        <f t="shared" si="8506"/>
        <v>46866</v>
      </c>
      <c r="AM409" s="424">
        <f t="shared" si="8506"/>
        <v>46866</v>
      </c>
      <c r="AN409" s="424">
        <f t="shared" si="8506"/>
        <v>46866</v>
      </c>
      <c r="AO409" s="424">
        <f t="shared" si="8506"/>
        <v>46866</v>
      </c>
      <c r="AP409" s="424">
        <f t="shared" si="8506"/>
        <v>46866</v>
      </c>
      <c r="AQ409" s="424">
        <f t="shared" si="8506"/>
        <v>46866</v>
      </c>
      <c r="AR409" s="424">
        <f t="shared" si="8506"/>
        <v>46866</v>
      </c>
      <c r="AS409" s="424">
        <f t="shared" si="8506"/>
        <v>46866</v>
      </c>
      <c r="AT409" s="424">
        <f t="shared" si="8506"/>
        <v>46866</v>
      </c>
      <c r="AU409" s="424">
        <f t="shared" si="8506"/>
        <v>46866</v>
      </c>
      <c r="AV409" s="424">
        <f t="shared" si="8506"/>
        <v>46866</v>
      </c>
      <c r="AW409" s="424">
        <f t="shared" si="8506"/>
        <v>46866</v>
      </c>
      <c r="AX409" s="424">
        <f t="shared" si="8506"/>
        <v>46866</v>
      </c>
      <c r="AY409" s="424">
        <f t="shared" si="8506"/>
        <v>46866</v>
      </c>
      <c r="AZ409" s="424">
        <f t="shared" si="8506"/>
        <v>46866</v>
      </c>
      <c r="BA409" s="424">
        <f t="shared" si="8506"/>
        <v>46866</v>
      </c>
      <c r="BB409" s="424">
        <f t="shared" si="8506"/>
        <v>46866</v>
      </c>
      <c r="BC409" s="424">
        <f>BB409</f>
        <v>46866</v>
      </c>
      <c r="BD409" s="424">
        <f t="shared" si="8506"/>
        <v>46866</v>
      </c>
      <c r="BE409" s="424">
        <f>BD409</f>
        <v>46866</v>
      </c>
      <c r="BF409" s="424">
        <f>BE409</f>
        <v>46866</v>
      </c>
      <c r="BG409" s="424">
        <f>BF409</f>
        <v>46866</v>
      </c>
      <c r="BH409" s="424">
        <f t="shared" si="8506"/>
        <v>46866</v>
      </c>
      <c r="BI409" s="424">
        <f t="shared" si="8506"/>
        <v>46866</v>
      </c>
      <c r="BJ409" s="424">
        <f t="shared" si="8506"/>
        <v>46866</v>
      </c>
      <c r="BK409" s="424">
        <f t="shared" si="8506"/>
        <v>46866</v>
      </c>
      <c r="BL409" s="424">
        <f t="shared" si="8506"/>
        <v>46866</v>
      </c>
      <c r="BM409" s="424">
        <f t="shared" si="8506"/>
        <v>46866</v>
      </c>
      <c r="BN409" s="424">
        <f t="shared" si="8506"/>
        <v>46866</v>
      </c>
      <c r="BO409" s="424">
        <f t="shared" si="8506"/>
        <v>46866</v>
      </c>
      <c r="BP409" s="424">
        <f t="shared" si="8506"/>
        <v>46866</v>
      </c>
      <c r="BQ409" s="424">
        <f t="shared" si="8506"/>
        <v>46866</v>
      </c>
      <c r="BR409" s="424">
        <f t="shared" si="8506"/>
        <v>46866</v>
      </c>
      <c r="BS409" s="424">
        <f t="shared" si="8506"/>
        <v>46866</v>
      </c>
      <c r="BT409" s="424">
        <f t="shared" si="8506"/>
        <v>46866</v>
      </c>
      <c r="BU409" s="424">
        <f t="shared" ref="BU409:CH409" si="8507">BT409</f>
        <v>46866</v>
      </c>
      <c r="BV409" s="424">
        <f t="shared" si="8507"/>
        <v>46866</v>
      </c>
      <c r="BW409" s="424">
        <f t="shared" si="8507"/>
        <v>46866</v>
      </c>
      <c r="BX409" s="424">
        <f t="shared" si="8507"/>
        <v>46866</v>
      </c>
      <c r="BY409" s="424">
        <f t="shared" si="8507"/>
        <v>46866</v>
      </c>
      <c r="BZ409" s="424">
        <f t="shared" si="8507"/>
        <v>46866</v>
      </c>
      <c r="CA409" s="424">
        <f t="shared" si="8507"/>
        <v>46866</v>
      </c>
      <c r="CB409" s="424">
        <f t="shared" si="8507"/>
        <v>46866</v>
      </c>
      <c r="CC409" s="424">
        <f t="shared" si="8507"/>
        <v>46866</v>
      </c>
      <c r="CD409" s="424">
        <f t="shared" si="8507"/>
        <v>46866</v>
      </c>
      <c r="CE409" s="424">
        <f t="shared" si="8507"/>
        <v>46866</v>
      </c>
      <c r="CF409" s="424">
        <f t="shared" si="8507"/>
        <v>46866</v>
      </c>
      <c r="CG409" s="424">
        <f t="shared" si="8507"/>
        <v>46866</v>
      </c>
      <c r="CH409" s="424">
        <f t="shared" si="8507"/>
        <v>46866</v>
      </c>
      <c r="CI409" s="424">
        <f>CH409</f>
        <v>46866</v>
      </c>
      <c r="CJ409" s="424">
        <f>CI409</f>
        <v>46866</v>
      </c>
      <c r="CK409" s="425">
        <f t="shared" si="8466"/>
        <v>3936744</v>
      </c>
    </row>
    <row r="410" spans="1:96" s="426" customFormat="1" ht="12">
      <c r="A410" s="421"/>
      <c r="B410" s="422" t="s">
        <v>1303</v>
      </c>
      <c r="C410" s="432"/>
      <c r="D410" s="423"/>
      <c r="E410" s="433">
        <f>E401-E405</f>
        <v>37177014</v>
      </c>
      <c r="F410" s="433">
        <f>F401-F405</f>
        <v>37296148</v>
      </c>
      <c r="G410" s="433">
        <f>G401-G405</f>
        <v>37453152</v>
      </c>
      <c r="H410" s="433">
        <f>H401-H405</f>
        <v>37597482</v>
      </c>
      <c r="I410" s="433">
        <f t="shared" ref="I410:AJ410" si="8508">I401-I405</f>
        <v>38161877</v>
      </c>
      <c r="J410" s="433">
        <f t="shared" si="8508"/>
        <v>38297678</v>
      </c>
      <c r="K410" s="433">
        <f t="shared" si="8508"/>
        <v>38446728</v>
      </c>
      <c r="L410" s="433">
        <f t="shared" si="8508"/>
        <v>38523334</v>
      </c>
      <c r="M410" s="433">
        <f t="shared" si="8508"/>
        <v>40229307</v>
      </c>
      <c r="N410" s="433">
        <f t="shared" si="8508"/>
        <v>40229307</v>
      </c>
      <c r="O410" s="433">
        <f t="shared" si="8508"/>
        <v>40276151</v>
      </c>
      <c r="P410" s="433">
        <f t="shared" si="8508"/>
        <v>40276151</v>
      </c>
      <c r="Q410" s="433">
        <f t="shared" si="8508"/>
        <v>42622731</v>
      </c>
      <c r="R410" s="433">
        <f t="shared" si="8508"/>
        <v>42628846</v>
      </c>
      <c r="S410" s="433">
        <f t="shared" si="8508"/>
        <v>42628846</v>
      </c>
      <c r="T410" s="433">
        <f t="shared" si="8508"/>
        <v>42628846</v>
      </c>
      <c r="U410" s="433">
        <f t="shared" si="8508"/>
        <v>45498551</v>
      </c>
      <c r="V410" s="433">
        <f t="shared" si="8508"/>
        <v>45498551</v>
      </c>
      <c r="W410" s="433">
        <f t="shared" si="8508"/>
        <v>45534999</v>
      </c>
      <c r="X410" s="433">
        <f t="shared" si="8508"/>
        <v>45534999</v>
      </c>
      <c r="Y410" s="433">
        <f t="shared" si="8508"/>
        <v>48875177</v>
      </c>
      <c r="Z410" s="433">
        <f t="shared" si="8508"/>
        <v>48875177</v>
      </c>
      <c r="AA410" s="433">
        <f t="shared" si="8508"/>
        <v>48875177</v>
      </c>
      <c r="AB410" s="433">
        <f t="shared" si="8508"/>
        <v>48875177</v>
      </c>
      <c r="AC410" s="433">
        <f t="shared" si="8508"/>
        <v>52521580</v>
      </c>
      <c r="AD410" s="433">
        <f t="shared" si="8508"/>
        <v>52521580</v>
      </c>
      <c r="AE410" s="433">
        <f t="shared" si="8508"/>
        <v>52521580</v>
      </c>
      <c r="AF410" s="433">
        <f t="shared" si="8508"/>
        <v>52521580</v>
      </c>
      <c r="AG410" s="433">
        <f t="shared" si="8508"/>
        <v>56485690</v>
      </c>
      <c r="AH410" s="433">
        <f t="shared" si="8508"/>
        <v>56485690</v>
      </c>
      <c r="AI410" s="433">
        <f t="shared" si="8508"/>
        <v>56485690</v>
      </c>
      <c r="AJ410" s="433">
        <f t="shared" si="8508"/>
        <v>56485690</v>
      </c>
      <c r="AK410" s="433">
        <f t="shared" ref="AK410:BP410" si="8509">AK401-AK405</f>
        <v>60821373</v>
      </c>
      <c r="AL410" s="433">
        <f t="shared" si="8509"/>
        <v>60821373</v>
      </c>
      <c r="AM410" s="433">
        <f t="shared" si="8509"/>
        <v>60821373</v>
      </c>
      <c r="AN410" s="433">
        <f t="shared" si="8509"/>
        <v>60821373</v>
      </c>
      <c r="AO410" s="433">
        <f t="shared" si="8509"/>
        <v>65579176</v>
      </c>
      <c r="AP410" s="433">
        <f t="shared" si="8509"/>
        <v>65579176</v>
      </c>
      <c r="AQ410" s="433">
        <f t="shared" si="8509"/>
        <v>65579176</v>
      </c>
      <c r="AR410" s="433">
        <f t="shared" si="8509"/>
        <v>65579176</v>
      </c>
      <c r="AS410" s="433">
        <f t="shared" si="8509"/>
        <v>70700809</v>
      </c>
      <c r="AT410" s="433">
        <f t="shared" si="8509"/>
        <v>70700809</v>
      </c>
      <c r="AU410" s="433">
        <f t="shared" si="8509"/>
        <v>70700809</v>
      </c>
      <c r="AV410" s="433">
        <f t="shared" si="8509"/>
        <v>70700809</v>
      </c>
      <c r="AW410" s="433">
        <f t="shared" si="8509"/>
        <v>76348914</v>
      </c>
      <c r="AX410" s="433">
        <f t="shared" si="8509"/>
        <v>76348914</v>
      </c>
      <c r="AY410" s="433">
        <f t="shared" si="8509"/>
        <v>76348914</v>
      </c>
      <c r="AZ410" s="433">
        <f t="shared" si="8509"/>
        <v>76348914</v>
      </c>
      <c r="BA410" s="433">
        <f t="shared" si="8509"/>
        <v>82489279</v>
      </c>
      <c r="BB410" s="433">
        <f t="shared" si="8509"/>
        <v>82489279</v>
      </c>
      <c r="BC410" s="433">
        <f t="shared" si="8509"/>
        <v>82489279</v>
      </c>
      <c r="BD410" s="433">
        <f t="shared" si="8509"/>
        <v>82489279</v>
      </c>
      <c r="BE410" s="433">
        <f t="shared" si="8509"/>
        <v>89165816</v>
      </c>
      <c r="BF410" s="433">
        <f t="shared" si="8509"/>
        <v>89165816</v>
      </c>
      <c r="BG410" s="433">
        <f t="shared" si="8509"/>
        <v>89165816</v>
      </c>
      <c r="BH410" s="433">
        <f t="shared" si="8509"/>
        <v>89165816</v>
      </c>
      <c r="BI410" s="433">
        <f t="shared" si="8509"/>
        <v>96426429</v>
      </c>
      <c r="BJ410" s="433">
        <f t="shared" si="8509"/>
        <v>96426429</v>
      </c>
      <c r="BK410" s="433">
        <f t="shared" si="8509"/>
        <v>96426429</v>
      </c>
      <c r="BL410" s="433">
        <f t="shared" si="8509"/>
        <v>96426429</v>
      </c>
      <c r="BM410" s="433">
        <f t="shared" si="8509"/>
        <v>104323347</v>
      </c>
      <c r="BN410" s="433">
        <f t="shared" si="8509"/>
        <v>104323347</v>
      </c>
      <c r="BO410" s="433">
        <f t="shared" si="8509"/>
        <v>104323347</v>
      </c>
      <c r="BP410" s="433">
        <f t="shared" si="8509"/>
        <v>104323347</v>
      </c>
      <c r="BQ410" s="433">
        <f t="shared" ref="BQ410:CJ410" si="8510">BQ401-BQ405</f>
        <v>112913539</v>
      </c>
      <c r="BR410" s="433">
        <f t="shared" si="8510"/>
        <v>112913539</v>
      </c>
      <c r="BS410" s="433">
        <f t="shared" si="8510"/>
        <v>112913539</v>
      </c>
      <c r="BT410" s="433">
        <f t="shared" si="8510"/>
        <v>112913539</v>
      </c>
      <c r="BU410" s="433">
        <f t="shared" si="8510"/>
        <v>122259117</v>
      </c>
      <c r="BV410" s="433">
        <f t="shared" si="8510"/>
        <v>122259117</v>
      </c>
      <c r="BW410" s="433">
        <f t="shared" si="8510"/>
        <v>122259117</v>
      </c>
      <c r="BX410" s="433">
        <f t="shared" si="8510"/>
        <v>122259117</v>
      </c>
      <c r="BY410" s="433">
        <f t="shared" si="8510"/>
        <v>132427866</v>
      </c>
      <c r="BZ410" s="433">
        <f t="shared" si="8510"/>
        <v>132427866</v>
      </c>
      <c r="CA410" s="433">
        <f t="shared" si="8510"/>
        <v>132427866</v>
      </c>
      <c r="CB410" s="433">
        <f t="shared" si="8510"/>
        <v>132427866</v>
      </c>
      <c r="CC410" s="433">
        <f t="shared" si="8510"/>
        <v>143493680</v>
      </c>
      <c r="CD410" s="433">
        <f t="shared" si="8510"/>
        <v>143493680</v>
      </c>
      <c r="CE410" s="433">
        <f t="shared" si="8510"/>
        <v>143493680</v>
      </c>
      <c r="CF410" s="433">
        <f t="shared" si="8510"/>
        <v>143493680</v>
      </c>
      <c r="CG410" s="433">
        <f t="shared" si="8510"/>
        <v>155537192</v>
      </c>
      <c r="CH410" s="433">
        <f t="shared" si="8510"/>
        <v>155537192</v>
      </c>
      <c r="CI410" s="433">
        <f t="shared" si="8510"/>
        <v>155537192</v>
      </c>
      <c r="CJ410" s="433">
        <f t="shared" si="8510"/>
        <v>155537192</v>
      </c>
      <c r="CK410" s="425">
        <f t="shared" si="8466"/>
        <v>6698016634</v>
      </c>
    </row>
    <row r="411" spans="1:96" s="426" customFormat="1" ht="12">
      <c r="A411" s="421"/>
      <c r="B411" s="422" t="s">
        <v>1304</v>
      </c>
      <c r="C411" s="432"/>
      <c r="D411" s="490"/>
      <c r="E411" s="700">
        <f>E410+F410+G410+H410</f>
        <v>149523796</v>
      </c>
      <c r="F411" s="701"/>
      <c r="G411" s="701"/>
      <c r="H411" s="702"/>
      <c r="I411" s="700">
        <f>I410+J410+K410+L410</f>
        <v>153429617</v>
      </c>
      <c r="J411" s="701"/>
      <c r="K411" s="701"/>
      <c r="L411" s="702"/>
      <c r="M411" s="700">
        <f>M410+N410+O410+P410</f>
        <v>161010916</v>
      </c>
      <c r="N411" s="701"/>
      <c r="O411" s="701"/>
      <c r="P411" s="702"/>
      <c r="Q411" s="700">
        <f>Q410+R410+S410+T410</f>
        <v>170509269</v>
      </c>
      <c r="R411" s="701"/>
      <c r="S411" s="701"/>
      <c r="T411" s="702"/>
      <c r="U411" s="700">
        <f>U410+V410+W410+X410</f>
        <v>182067100</v>
      </c>
      <c r="V411" s="701"/>
      <c r="W411" s="701"/>
      <c r="X411" s="702"/>
      <c r="Y411" s="700">
        <f>Y410+Z410+AA410+AB410</f>
        <v>195500708</v>
      </c>
      <c r="Z411" s="701"/>
      <c r="AA411" s="701"/>
      <c r="AB411" s="702"/>
      <c r="AC411" s="700">
        <f>AC410+AD410+AE410+AF410</f>
        <v>210086320</v>
      </c>
      <c r="AD411" s="701"/>
      <c r="AE411" s="701"/>
      <c r="AF411" s="702"/>
      <c r="AG411" s="700">
        <f>AG410+AH410+AI410+AJ410</f>
        <v>225942760</v>
      </c>
      <c r="AH411" s="701"/>
      <c r="AI411" s="701"/>
      <c r="AJ411" s="702"/>
      <c r="AK411" s="700">
        <f>AK410+AL410+AM410+AN410</f>
        <v>243285492</v>
      </c>
      <c r="AL411" s="701"/>
      <c r="AM411" s="701"/>
      <c r="AN411" s="702"/>
      <c r="AO411" s="700">
        <f>AO410+AP410+AQ410+AR410</f>
        <v>262316704</v>
      </c>
      <c r="AP411" s="701"/>
      <c r="AQ411" s="701"/>
      <c r="AR411" s="702"/>
      <c r="AS411" s="700">
        <f>AS410+AT410+AU410+AV410</f>
        <v>282803236</v>
      </c>
      <c r="AT411" s="701"/>
      <c r="AU411" s="701"/>
      <c r="AV411" s="702"/>
      <c r="AW411" s="700">
        <f>AW410+AX410+AY410+AZ410</f>
        <v>305395656</v>
      </c>
      <c r="AX411" s="701"/>
      <c r="AY411" s="701"/>
      <c r="AZ411" s="702"/>
      <c r="BA411" s="700">
        <f>BA410+BB410+BC410+BD410</f>
        <v>329957116</v>
      </c>
      <c r="BB411" s="701"/>
      <c r="BC411" s="701"/>
      <c r="BD411" s="702"/>
      <c r="BE411" s="700">
        <f>BE410+BF410+BG410+BH410</f>
        <v>356663264</v>
      </c>
      <c r="BF411" s="701"/>
      <c r="BG411" s="701"/>
      <c r="BH411" s="702"/>
      <c r="BI411" s="700">
        <f>BI410+BJ410+BK410+BL410</f>
        <v>385705716</v>
      </c>
      <c r="BJ411" s="701"/>
      <c r="BK411" s="701"/>
      <c r="BL411" s="702"/>
      <c r="BM411" s="700">
        <f>BM410+BN410+BO410+BP410</f>
        <v>417293388</v>
      </c>
      <c r="BN411" s="701"/>
      <c r="BO411" s="701"/>
      <c r="BP411" s="702"/>
      <c r="BQ411" s="700">
        <f>BQ410+BR410+BS410+BT410</f>
        <v>451654156</v>
      </c>
      <c r="BR411" s="701"/>
      <c r="BS411" s="701"/>
      <c r="BT411" s="702"/>
      <c r="BU411" s="700">
        <f>BU410+BV410+BW410+BX410</f>
        <v>489036468</v>
      </c>
      <c r="BV411" s="701"/>
      <c r="BW411" s="701"/>
      <c r="BX411" s="702"/>
      <c r="BY411" s="700">
        <f>BY410+BZ410+CA410+CB410</f>
        <v>529711464</v>
      </c>
      <c r="BZ411" s="701"/>
      <c r="CA411" s="701"/>
      <c r="CB411" s="702"/>
      <c r="CC411" s="700">
        <f>CC410+CD410+CE410+CF410</f>
        <v>573974720</v>
      </c>
      <c r="CD411" s="701"/>
      <c r="CE411" s="701"/>
      <c r="CF411" s="702"/>
      <c r="CG411" s="700">
        <f>CG410+CH410+CI410+CJ410</f>
        <v>622148768</v>
      </c>
      <c r="CH411" s="701"/>
      <c r="CI411" s="701"/>
      <c r="CJ411" s="702"/>
      <c r="CK411" s="425">
        <f t="shared" si="8466"/>
        <v>6698016634</v>
      </c>
    </row>
    <row r="412" spans="1:96" s="431" customFormat="1" ht="12">
      <c r="A412" s="430"/>
      <c r="B412" s="486"/>
      <c r="C412" s="486"/>
      <c r="D412" s="491"/>
      <c r="I412" s="697"/>
      <c r="J412" s="698"/>
      <c r="K412" s="698"/>
      <c r="L412" s="699"/>
      <c r="M412" s="697"/>
      <c r="N412" s="698"/>
      <c r="O412" s="698"/>
      <c r="P412" s="699"/>
      <c r="Q412" s="697"/>
      <c r="R412" s="698"/>
      <c r="S412" s="698"/>
      <c r="T412" s="699"/>
      <c r="U412" s="697"/>
      <c r="V412" s="698"/>
      <c r="W412" s="698"/>
      <c r="X412" s="699"/>
      <c r="Y412" s="697"/>
      <c r="Z412" s="698"/>
      <c r="AA412" s="698"/>
      <c r="AB412" s="699"/>
      <c r="AC412" s="697"/>
      <c r="AD412" s="698"/>
      <c r="AE412" s="698"/>
      <c r="AF412" s="699"/>
      <c r="AG412" s="697"/>
      <c r="AH412" s="698"/>
      <c r="AI412" s="698"/>
      <c r="AJ412" s="699"/>
      <c r="AK412" s="697"/>
      <c r="AL412" s="698"/>
      <c r="AM412" s="698"/>
      <c r="AN412" s="699"/>
      <c r="AO412" s="697"/>
      <c r="AP412" s="698"/>
      <c r="AQ412" s="698"/>
      <c r="AR412" s="699"/>
      <c r="AS412" s="697"/>
      <c r="AT412" s="698"/>
      <c r="AU412" s="698"/>
      <c r="AV412" s="699"/>
      <c r="AW412" s="697"/>
      <c r="AX412" s="698"/>
      <c r="AY412" s="698"/>
      <c r="AZ412" s="699"/>
      <c r="BA412" s="697"/>
      <c r="BB412" s="698"/>
      <c r="BC412" s="698"/>
      <c r="BD412" s="699"/>
      <c r="BE412" s="697"/>
      <c r="BF412" s="698"/>
      <c r="BG412" s="698"/>
      <c r="BH412" s="699"/>
      <c r="BI412" s="697"/>
      <c r="BJ412" s="698"/>
      <c r="BK412" s="698"/>
      <c r="BL412" s="699"/>
      <c r="BM412" s="697"/>
      <c r="BN412" s="698"/>
      <c r="BO412" s="698"/>
      <c r="BP412" s="699"/>
      <c r="BQ412" s="697"/>
      <c r="BR412" s="698"/>
      <c r="BS412" s="698"/>
      <c r="BT412" s="699"/>
      <c r="BU412" s="697"/>
      <c r="BV412" s="698"/>
      <c r="BW412" s="698"/>
      <c r="BX412" s="699"/>
      <c r="BY412" s="697"/>
      <c r="BZ412" s="698"/>
      <c r="CA412" s="698"/>
      <c r="CB412" s="699"/>
      <c r="CC412" s="697"/>
      <c r="CD412" s="698"/>
      <c r="CE412" s="698"/>
      <c r="CF412" s="699"/>
      <c r="CG412" s="697"/>
      <c r="CH412" s="698"/>
      <c r="CI412" s="698"/>
      <c r="CJ412" s="699"/>
      <c r="CK412" s="425"/>
    </row>
    <row r="413" spans="1:96" s="431" customFormat="1" ht="12">
      <c r="A413" s="430"/>
      <c r="B413" s="486"/>
      <c r="C413" s="486"/>
      <c r="D413" s="492"/>
      <c r="E413" s="486"/>
      <c r="F413" s="486"/>
      <c r="G413" s="486"/>
      <c r="H413" s="486"/>
      <c r="I413" s="486"/>
      <c r="J413" s="486"/>
      <c r="K413" s="486"/>
      <c r="L413" s="486"/>
      <c r="M413" s="486"/>
      <c r="N413" s="486"/>
      <c r="O413" s="486"/>
      <c r="P413" s="486"/>
      <c r="Q413" s="486"/>
      <c r="R413" s="486"/>
      <c r="S413" s="486"/>
      <c r="T413" s="486"/>
      <c r="U413" s="486"/>
      <c r="V413" s="486"/>
      <c r="W413" s="486"/>
      <c r="X413" s="486"/>
      <c r="Y413" s="486"/>
      <c r="Z413" s="486"/>
      <c r="AA413" s="486"/>
      <c r="AB413" s="486"/>
      <c r="AC413" s="486"/>
      <c r="AD413" s="486"/>
      <c r="AE413" s="486"/>
      <c r="AF413" s="486"/>
      <c r="AG413" s="486"/>
      <c r="AH413" s="486"/>
      <c r="AI413" s="486"/>
      <c r="AJ413" s="486"/>
      <c r="AK413" s="486"/>
      <c r="AL413" s="486"/>
      <c r="AM413" s="486"/>
      <c r="AN413" s="486"/>
      <c r="AO413" s="486"/>
      <c r="AP413" s="486"/>
      <c r="AQ413" s="486"/>
      <c r="AR413" s="486"/>
      <c r="AS413" s="486"/>
      <c r="AT413" s="486"/>
      <c r="AU413" s="486"/>
      <c r="AV413" s="486"/>
      <c r="AW413" s="486"/>
      <c r="AX413" s="486"/>
      <c r="AY413" s="493"/>
      <c r="AZ413" s="493"/>
      <c r="BA413" s="493"/>
      <c r="BB413" s="493"/>
      <c r="BC413" s="493"/>
      <c r="BD413" s="493"/>
      <c r="BE413" s="493"/>
      <c r="BF413" s="493"/>
      <c r="BG413" s="493"/>
      <c r="BH413" s="493"/>
      <c r="BI413" s="493"/>
      <c r="BJ413" s="493"/>
      <c r="BK413" s="493"/>
      <c r="BL413" s="493"/>
      <c r="BM413" s="493"/>
      <c r="BN413" s="493"/>
      <c r="BO413" s="493"/>
      <c r="BP413" s="493"/>
      <c r="BQ413" s="493"/>
      <c r="BR413" s="493"/>
      <c r="BS413" s="493"/>
      <c r="BT413" s="493"/>
      <c r="BU413" s="493"/>
      <c r="BV413" s="493"/>
      <c r="BW413" s="493"/>
      <c r="BX413" s="493"/>
      <c r="BY413" s="493"/>
      <c r="BZ413" s="493"/>
      <c r="CA413" s="493"/>
      <c r="CB413" s="493"/>
      <c r="CC413" s="493"/>
      <c r="CD413" s="493"/>
      <c r="CE413" s="493"/>
      <c r="CF413" s="493"/>
      <c r="CG413" s="493"/>
      <c r="CH413" s="493"/>
      <c r="CI413" s="493"/>
      <c r="CJ413" s="493"/>
      <c r="CK413" s="425"/>
    </row>
    <row r="414" spans="1:96" s="431" customFormat="1" ht="12">
      <c r="A414" s="430"/>
      <c r="B414" s="486"/>
      <c r="C414" s="486"/>
      <c r="D414" s="492"/>
      <c r="E414" s="697"/>
      <c r="F414" s="698"/>
      <c r="G414" s="698"/>
      <c r="H414" s="699"/>
      <c r="I414" s="697"/>
      <c r="J414" s="698"/>
      <c r="K414" s="698"/>
      <c r="L414" s="699"/>
      <c r="M414" s="697"/>
      <c r="N414" s="698"/>
      <c r="O414" s="698"/>
      <c r="P414" s="699"/>
      <c r="Q414" s="697"/>
      <c r="R414" s="698"/>
      <c r="S414" s="698"/>
      <c r="T414" s="699"/>
      <c r="U414" s="697"/>
      <c r="V414" s="698"/>
      <c r="W414" s="698"/>
      <c r="X414" s="699"/>
      <c r="Y414" s="697"/>
      <c r="Z414" s="698"/>
      <c r="AA414" s="698"/>
      <c r="AB414" s="699"/>
      <c r="AC414" s="697"/>
      <c r="AD414" s="698"/>
      <c r="AE414" s="698"/>
      <c r="AF414" s="699"/>
      <c r="AG414" s="697"/>
      <c r="AH414" s="698"/>
      <c r="AI414" s="698"/>
      <c r="AJ414" s="699"/>
      <c r="AK414" s="697"/>
      <c r="AL414" s="698"/>
      <c r="AM414" s="698"/>
      <c r="AN414" s="699"/>
      <c r="AO414" s="697"/>
      <c r="AP414" s="698"/>
      <c r="AQ414" s="698"/>
      <c r="AR414" s="699"/>
      <c r="AS414" s="697"/>
      <c r="AT414" s="698"/>
      <c r="AU414" s="698"/>
      <c r="AV414" s="699"/>
      <c r="AW414" s="697"/>
      <c r="AX414" s="698"/>
      <c r="AY414" s="698"/>
      <c r="AZ414" s="699"/>
      <c r="BA414" s="697"/>
      <c r="BB414" s="698"/>
      <c r="BC414" s="698"/>
      <c r="BD414" s="699"/>
      <c r="BE414" s="697"/>
      <c r="BF414" s="698"/>
      <c r="BG414" s="698"/>
      <c r="BH414" s="699"/>
      <c r="BI414" s="697"/>
      <c r="BJ414" s="698"/>
      <c r="BK414" s="698"/>
      <c r="BL414" s="699"/>
      <c r="BM414" s="697"/>
      <c r="BN414" s="698"/>
      <c r="BO414" s="698"/>
      <c r="BP414" s="699"/>
      <c r="BQ414" s="697"/>
      <c r="BR414" s="698"/>
      <c r="BS414" s="698"/>
      <c r="BT414" s="699"/>
      <c r="BU414" s="697"/>
      <c r="BV414" s="698"/>
      <c r="BW414" s="698"/>
      <c r="BX414" s="699"/>
      <c r="BY414" s="697"/>
      <c r="BZ414" s="698"/>
      <c r="CA414" s="698"/>
      <c r="CB414" s="699"/>
      <c r="CC414" s="697"/>
      <c r="CD414" s="698"/>
      <c r="CE414" s="698"/>
      <c r="CF414" s="699"/>
      <c r="CG414" s="697"/>
      <c r="CH414" s="698"/>
      <c r="CI414" s="698"/>
      <c r="CJ414" s="699"/>
      <c r="CK414" s="425"/>
    </row>
    <row r="415" spans="1:96" s="431" customFormat="1" ht="12">
      <c r="A415" s="430"/>
      <c r="B415" s="482"/>
      <c r="C415" s="482"/>
      <c r="D415" s="483"/>
      <c r="E415" s="635">
        <f>E402+F402+G402+H402</f>
        <v>176688488</v>
      </c>
      <c r="F415" s="635"/>
      <c r="G415" s="635"/>
      <c r="H415" s="635"/>
      <c r="I415" s="635">
        <f t="shared" ref="I415" si="8511">I402+J402+K402+L402</f>
        <v>181637922</v>
      </c>
      <c r="J415" s="635"/>
      <c r="K415" s="635"/>
      <c r="L415" s="635"/>
      <c r="M415" s="635">
        <f t="shared" ref="M415" si="8512">M402+N402+O402+P402</f>
        <v>191244908</v>
      </c>
      <c r="N415" s="635"/>
      <c r="O415" s="635"/>
      <c r="P415" s="635"/>
      <c r="Q415" s="635">
        <f t="shared" ref="Q415" si="8513">Q402+R402+S402+T402</f>
        <v>203281174</v>
      </c>
      <c r="R415" s="635"/>
      <c r="S415" s="635"/>
      <c r="T415" s="635"/>
      <c r="U415" s="635">
        <f t="shared" ref="U415" si="8514">U402+V402+W402+X402</f>
        <v>217927192</v>
      </c>
      <c r="V415" s="635"/>
      <c r="W415" s="635"/>
      <c r="X415" s="635"/>
      <c r="Y415" s="635">
        <f t="shared" ref="Y415" si="8515">Y402+Z402+AA402+AB402</f>
        <v>234950196</v>
      </c>
      <c r="Z415" s="635"/>
      <c r="AA415" s="635"/>
      <c r="AB415" s="635"/>
      <c r="AC415" s="635">
        <f t="shared" ref="AC415" si="8516">AC402+AD402+AE402+AF402</f>
        <v>253433000</v>
      </c>
      <c r="AD415" s="635"/>
      <c r="AE415" s="635"/>
      <c r="AF415" s="635"/>
      <c r="AG415" s="635">
        <f t="shared" ref="AG415" si="8517">AG402+AH402+AI402+AJ402</f>
        <v>273526200</v>
      </c>
      <c r="AH415" s="635"/>
      <c r="AI415" s="635"/>
      <c r="AJ415" s="635"/>
      <c r="AK415" s="635">
        <f t="shared" ref="AK415" si="8518">AK402+AL402+AM402+AN402</f>
        <v>295502820</v>
      </c>
      <c r="AL415" s="635"/>
      <c r="AM415" s="635"/>
      <c r="AN415" s="635"/>
      <c r="AO415" s="635">
        <f t="shared" ref="AO415" si="8519">AO402+AP402+AQ402+AR402</f>
        <v>319619068</v>
      </c>
      <c r="AP415" s="635"/>
      <c r="AQ415" s="635"/>
      <c r="AR415" s="635"/>
      <c r="AS415" s="635">
        <f t="shared" ref="AS415" si="8520">AS402+AT402+AU402+AV402</f>
        <v>345579496</v>
      </c>
      <c r="AT415" s="635"/>
      <c r="AU415" s="635"/>
      <c r="AV415" s="635"/>
      <c r="AW415" s="635">
        <f t="shared" ref="AW415" si="8521">AW402+AX402+AY402+AZ402</f>
        <v>374208492</v>
      </c>
      <c r="AX415" s="635"/>
      <c r="AY415" s="635"/>
      <c r="AZ415" s="635"/>
      <c r="BA415" s="635">
        <f>BA402+BB402+BC402+BD402</f>
        <v>405332648</v>
      </c>
      <c r="BB415" s="635"/>
      <c r="BC415" s="635"/>
      <c r="BD415" s="635"/>
      <c r="BE415" s="635">
        <f>BE402+BF402+BG402+BH402</f>
        <v>439174536</v>
      </c>
      <c r="BF415" s="635"/>
      <c r="BG415" s="635"/>
      <c r="BH415" s="635"/>
      <c r="BI415" s="635">
        <f t="shared" ref="BI415" si="8522">BI402+BJ402+BK402+BL402</f>
        <v>475976980</v>
      </c>
      <c r="BJ415" s="635"/>
      <c r="BK415" s="635"/>
      <c r="BL415" s="635"/>
      <c r="BM415" s="635">
        <f t="shared" ref="BM415" si="8523">BM402+BN402+BO402+BP402</f>
        <v>516004716</v>
      </c>
      <c r="BN415" s="635"/>
      <c r="BO415" s="635"/>
      <c r="BP415" s="635"/>
      <c r="BQ415" s="635">
        <f t="shared" ref="BQ415" si="8524">BQ402+BR402+BS402+BT402</f>
        <v>559546496</v>
      </c>
      <c r="BR415" s="635"/>
      <c r="BS415" s="635"/>
      <c r="BT415" s="635"/>
      <c r="BU415" s="635">
        <f t="shared" ref="BU415" si="8525">BU402+BV402+BW402+BX402</f>
        <v>606917172</v>
      </c>
      <c r="BV415" s="635"/>
      <c r="BW415" s="635"/>
      <c r="BX415" s="635"/>
      <c r="BY415" s="635">
        <f t="shared" ref="BY415" si="8526">BY402+BZ402+CA402+CB402</f>
        <v>658460316</v>
      </c>
      <c r="BZ415" s="635"/>
      <c r="CA415" s="635"/>
      <c r="CB415" s="635"/>
      <c r="CC415" s="635">
        <f>CC402+CD402+CE402+CF402</f>
        <v>714550484</v>
      </c>
      <c r="CD415" s="635"/>
      <c r="CE415" s="635"/>
      <c r="CF415" s="635"/>
      <c r="CG415" s="635">
        <f>CG402+CH402+CI402+CJ402</f>
        <v>775596384</v>
      </c>
      <c r="CH415" s="635"/>
      <c r="CI415" s="635"/>
      <c r="CJ415" s="635"/>
      <c r="CK415" s="421"/>
    </row>
    <row r="416" spans="1:96" s="431" customFormat="1" ht="12">
      <c r="A416" s="430"/>
      <c r="B416" s="482"/>
      <c r="C416" s="482"/>
      <c r="D416" s="483"/>
      <c r="E416" s="634">
        <f>I415/E415-1</f>
        <v>2.8012204168049726E-2</v>
      </c>
      <c r="F416" s="634"/>
      <c r="G416" s="634"/>
      <c r="H416" s="634"/>
      <c r="I416" s="634">
        <f t="shared" ref="I416" si="8527">M415/I415-1</f>
        <v>5.2890860532967432E-2</v>
      </c>
      <c r="J416" s="634"/>
      <c r="K416" s="634"/>
      <c r="L416" s="634"/>
      <c r="M416" s="634">
        <f t="shared" ref="M416" si="8528">Q415/M415-1</f>
        <v>6.293639985436883E-2</v>
      </c>
      <c r="N416" s="634"/>
      <c r="O416" s="634"/>
      <c r="P416" s="634"/>
      <c r="Q416" s="634">
        <f t="shared" ref="Q416" si="8529">U415/Q415-1</f>
        <v>7.2048078588920372E-2</v>
      </c>
      <c r="R416" s="634"/>
      <c r="S416" s="634"/>
      <c r="T416" s="634"/>
      <c r="U416" s="634">
        <f t="shared" ref="U416" si="8530">Y415/U415-1</f>
        <v>7.8113262708400244E-2</v>
      </c>
      <c r="V416" s="634"/>
      <c r="W416" s="634"/>
      <c r="X416" s="634"/>
      <c r="Y416" s="634">
        <f t="shared" ref="Y416" si="8531">AC415/Y415-1</f>
        <v>7.8666901814374413E-2</v>
      </c>
      <c r="Z416" s="634"/>
      <c r="AA416" s="634"/>
      <c r="AB416" s="634"/>
      <c r="AC416" s="634">
        <f t="shared" ref="AC416" si="8532">AG415/AC415-1</f>
        <v>7.9284071135171885E-2</v>
      </c>
      <c r="AD416" s="634"/>
      <c r="AE416" s="634"/>
      <c r="AF416" s="634"/>
      <c r="AG416" s="634">
        <f t="shared" ref="AG416" si="8533">AK415/AG415-1</f>
        <v>8.0345575670630387E-2</v>
      </c>
      <c r="AH416" s="634"/>
      <c r="AI416" s="634"/>
      <c r="AJ416" s="634"/>
      <c r="AK416" s="634">
        <f t="shared" ref="AK416" si="8534">AO415/AK415-1</f>
        <v>8.1610889533981545E-2</v>
      </c>
      <c r="AL416" s="634"/>
      <c r="AM416" s="634"/>
      <c r="AN416" s="634"/>
      <c r="AO416" s="634">
        <f t="shared" ref="AO416" si="8535">AS415/AO415-1</f>
        <v>8.1223026405921495E-2</v>
      </c>
      <c r="AP416" s="634"/>
      <c r="AQ416" s="634"/>
      <c r="AR416" s="634"/>
      <c r="AS416" s="634">
        <f t="shared" ref="AS416" si="8536">AW415/AS415-1</f>
        <v>8.2843445086799861E-2</v>
      </c>
      <c r="AT416" s="634"/>
      <c r="AU416" s="634"/>
      <c r="AV416" s="634"/>
      <c r="AW416" s="634">
        <f t="shared" ref="AW416" si="8537">BA415/AW415-1</f>
        <v>8.317330222425845E-2</v>
      </c>
      <c r="AX416" s="634"/>
      <c r="AY416" s="634"/>
      <c r="AZ416" s="634"/>
      <c r="BA416" s="634">
        <f>BE415/BA415-1</f>
        <v>8.3491641166788089E-2</v>
      </c>
      <c r="BB416" s="634"/>
      <c r="BC416" s="634"/>
      <c r="BD416" s="634"/>
      <c r="BE416" s="634">
        <f>BI415/BE415-1</f>
        <v>8.3799129920410609E-2</v>
      </c>
      <c r="BF416" s="634"/>
      <c r="BG416" s="634"/>
      <c r="BH416" s="634"/>
      <c r="BI416" s="634">
        <f t="shared" ref="BI416" si="8538">BM415/BI415-1</f>
        <v>8.4095949346121746E-2</v>
      </c>
      <c r="BJ416" s="634"/>
      <c r="BK416" s="634"/>
      <c r="BL416" s="634"/>
      <c r="BM416" s="634">
        <f t="shared" ref="BM416" si="8539">BQ415/BM415-1</f>
        <v>8.4382523356627548E-2</v>
      </c>
      <c r="BN416" s="634"/>
      <c r="BO416" s="634"/>
      <c r="BP416" s="634"/>
      <c r="BQ416" s="634">
        <f>BU415/BQ415-1</f>
        <v>8.4659052176425442E-2</v>
      </c>
      <c r="BR416" s="634"/>
      <c r="BS416" s="634"/>
      <c r="BT416" s="634"/>
      <c r="BU416" s="634">
        <f>BY415/BU415-1</f>
        <v>8.4926158589561318E-2</v>
      </c>
      <c r="BV416" s="634"/>
      <c r="BW416" s="634"/>
      <c r="BX416" s="634"/>
      <c r="BY416" s="634">
        <f t="shared" ref="BY416" si="8540">CC415/BY415-1</f>
        <v>8.5183824502492955E-2</v>
      </c>
      <c r="BZ416" s="634"/>
      <c r="CA416" s="634"/>
      <c r="CB416" s="634"/>
      <c r="CC416" s="634">
        <f>CG415/CC415-1</f>
        <v>8.5432592051816414E-2</v>
      </c>
      <c r="CD416" s="634"/>
      <c r="CE416" s="634"/>
      <c r="CF416" s="634"/>
      <c r="CG416" s="634"/>
      <c r="CH416" s="634"/>
      <c r="CI416" s="634"/>
      <c r="CJ416" s="634"/>
      <c r="CK416" s="634"/>
      <c r="CL416" s="634"/>
      <c r="CM416" s="634"/>
      <c r="CN416" s="634"/>
      <c r="CO416" s="634"/>
      <c r="CP416" s="634"/>
      <c r="CQ416" s="634"/>
      <c r="CR416" s="634"/>
    </row>
    <row r="417" spans="1:89" s="235" customFormat="1" ht="12">
      <c r="A417" s="234"/>
      <c r="B417" s="479"/>
      <c r="C417" s="479"/>
      <c r="D417" s="480"/>
      <c r="E417" s="479"/>
      <c r="F417" s="479"/>
      <c r="G417" s="479"/>
      <c r="H417" s="479"/>
      <c r="I417" s="479"/>
      <c r="J417" s="479"/>
      <c r="K417" s="479"/>
      <c r="L417" s="479"/>
      <c r="M417" s="479"/>
      <c r="N417" s="479"/>
      <c r="O417" s="479"/>
      <c r="P417" s="479"/>
      <c r="Q417" s="479"/>
      <c r="R417" s="479"/>
      <c r="S417" s="479"/>
      <c r="T417" s="479"/>
      <c r="U417" s="479"/>
      <c r="V417" s="479"/>
      <c r="W417" s="479"/>
      <c r="X417" s="479"/>
      <c r="Y417" s="479"/>
      <c r="Z417" s="479"/>
      <c r="AA417" s="479"/>
      <c r="AB417" s="479"/>
      <c r="AC417" s="479"/>
      <c r="AD417" s="479"/>
      <c r="AE417" s="479"/>
      <c r="AF417" s="479"/>
      <c r="AG417" s="479"/>
      <c r="AH417" s="479"/>
      <c r="AI417" s="479"/>
      <c r="AJ417" s="479"/>
      <c r="AK417" s="479"/>
      <c r="AL417" s="479"/>
      <c r="AM417" s="479"/>
      <c r="AN417" s="479"/>
      <c r="AO417" s="479"/>
      <c r="AP417" s="479"/>
      <c r="AQ417" s="479"/>
      <c r="AR417" s="479"/>
      <c r="AS417" s="479"/>
      <c r="AT417" s="479"/>
      <c r="AU417" s="479"/>
      <c r="AV417" s="479"/>
      <c r="AW417" s="479"/>
      <c r="AX417" s="479"/>
      <c r="AY417" s="479"/>
      <c r="AZ417" s="479"/>
      <c r="BA417" s="479"/>
      <c r="BB417" s="479"/>
      <c r="BC417" s="479"/>
      <c r="BD417" s="479"/>
      <c r="BE417" s="479"/>
      <c r="BF417" s="479"/>
      <c r="BG417" s="479"/>
      <c r="BH417" s="479"/>
      <c r="BI417" s="479"/>
      <c r="BJ417" s="479"/>
      <c r="BK417" s="479"/>
      <c r="BL417" s="479"/>
      <c r="BM417" s="479"/>
      <c r="BN417" s="479"/>
      <c r="BO417" s="479"/>
      <c r="BP417" s="479"/>
      <c r="BQ417" s="479"/>
      <c r="BR417" s="479"/>
      <c r="BS417" s="479"/>
      <c r="BT417" s="479"/>
      <c r="BU417" s="479"/>
      <c r="BV417" s="479"/>
      <c r="BW417" s="479"/>
      <c r="BX417" s="479"/>
      <c r="BY417" s="479"/>
      <c r="BZ417" s="479"/>
      <c r="CA417" s="479"/>
      <c r="CB417" s="479"/>
      <c r="CC417" s="479"/>
      <c r="CD417" s="479"/>
      <c r="CE417" s="479"/>
      <c r="CF417" s="479"/>
      <c r="CG417" s="479"/>
      <c r="CH417" s="479"/>
      <c r="CI417" s="479"/>
      <c r="CJ417" s="479"/>
      <c r="CK417" s="481"/>
    </row>
    <row r="418" spans="1:89" s="235" customFormat="1" ht="12">
      <c r="A418" s="234"/>
      <c r="B418" s="479"/>
      <c r="C418" s="479"/>
      <c r="D418" s="480"/>
      <c r="E418" s="479"/>
      <c r="F418" s="479"/>
      <c r="G418" s="479"/>
      <c r="H418" s="479"/>
      <c r="I418" s="479"/>
      <c r="J418" s="479"/>
      <c r="K418" s="479"/>
      <c r="L418" s="479"/>
      <c r="M418" s="479"/>
      <c r="N418" s="479"/>
      <c r="O418" s="479"/>
      <c r="P418" s="479"/>
      <c r="Q418" s="479"/>
      <c r="R418" s="479"/>
      <c r="S418" s="479"/>
      <c r="T418" s="479"/>
      <c r="U418" s="479"/>
      <c r="V418" s="479"/>
      <c r="W418" s="479"/>
      <c r="X418" s="479"/>
      <c r="Y418" s="479"/>
      <c r="Z418" s="479"/>
      <c r="AA418" s="479"/>
      <c r="AB418" s="479"/>
      <c r="AC418" s="479"/>
      <c r="AD418" s="479"/>
      <c r="AE418" s="479"/>
      <c r="AF418" s="479"/>
      <c r="AG418" s="479"/>
      <c r="AH418" s="479"/>
      <c r="AI418" s="479"/>
      <c r="AJ418" s="479"/>
      <c r="AK418" s="479"/>
      <c r="AL418" s="479"/>
      <c r="AM418" s="479"/>
      <c r="AN418" s="479"/>
      <c r="AO418" s="479"/>
      <c r="AP418" s="479"/>
      <c r="AQ418" s="479"/>
      <c r="AR418" s="479"/>
      <c r="AS418" s="479"/>
      <c r="AT418" s="479"/>
      <c r="AU418" s="479"/>
      <c r="AV418" s="479"/>
      <c r="AW418" s="479"/>
      <c r="AX418" s="479"/>
      <c r="AY418" s="479"/>
      <c r="AZ418" s="479"/>
      <c r="BA418" s="479"/>
      <c r="BB418" s="479"/>
      <c r="BC418" s="479"/>
      <c r="BD418" s="479"/>
      <c r="BE418" s="479"/>
      <c r="BF418" s="479"/>
      <c r="BG418" s="479"/>
      <c r="BH418" s="479"/>
      <c r="BI418" s="479"/>
      <c r="BJ418" s="479"/>
      <c r="BK418" s="479"/>
      <c r="BL418" s="479"/>
      <c r="BM418" s="479"/>
      <c r="BN418" s="479"/>
      <c r="BO418" s="479"/>
      <c r="BP418" s="479"/>
      <c r="BQ418" s="479"/>
      <c r="BR418" s="479"/>
      <c r="BS418" s="479"/>
      <c r="BT418" s="479"/>
      <c r="BU418" s="479"/>
      <c r="BV418" s="479"/>
      <c r="BW418" s="479"/>
      <c r="BX418" s="479"/>
      <c r="BY418" s="479"/>
      <c r="BZ418" s="479"/>
      <c r="CA418" s="479"/>
      <c r="CB418" s="479"/>
      <c r="CC418" s="479"/>
      <c r="CD418" s="479"/>
      <c r="CE418" s="479"/>
      <c r="CF418" s="479"/>
      <c r="CG418" s="479"/>
      <c r="CH418" s="479"/>
      <c r="CI418" s="479"/>
      <c r="CJ418" s="479"/>
      <c r="CK418" s="481"/>
    </row>
    <row r="419" spans="1:89" s="235" customFormat="1" ht="12">
      <c r="A419" s="234"/>
      <c r="B419" s="479"/>
      <c r="C419" s="479"/>
      <c r="D419" s="480"/>
      <c r="E419" s="479"/>
      <c r="F419" s="479"/>
      <c r="G419" s="479"/>
      <c r="H419" s="479"/>
      <c r="I419" s="479"/>
      <c r="J419" s="479"/>
      <c r="K419" s="479"/>
      <c r="L419" s="479"/>
      <c r="M419" s="479"/>
      <c r="N419" s="479"/>
      <c r="O419" s="479"/>
      <c r="P419" s="479"/>
      <c r="Q419" s="479"/>
      <c r="R419" s="479"/>
      <c r="S419" s="479"/>
      <c r="T419" s="479"/>
      <c r="U419" s="479"/>
      <c r="V419" s="479"/>
      <c r="W419" s="479"/>
      <c r="X419" s="479"/>
      <c r="Y419" s="479"/>
      <c r="Z419" s="479"/>
      <c r="AA419" s="479"/>
      <c r="AB419" s="479"/>
      <c r="AC419" s="479"/>
      <c r="AD419" s="479"/>
      <c r="AE419" s="479"/>
      <c r="AF419" s="479"/>
      <c r="AG419" s="479"/>
      <c r="AH419" s="479"/>
      <c r="AI419" s="479"/>
      <c r="AJ419" s="479"/>
      <c r="AK419" s="479"/>
      <c r="AL419" s="479"/>
      <c r="AM419" s="479"/>
      <c r="AN419" s="479"/>
      <c r="AO419" s="479"/>
      <c r="AP419" s="479"/>
      <c r="AQ419" s="479"/>
      <c r="AR419" s="479"/>
      <c r="AS419" s="479"/>
      <c r="AT419" s="479"/>
      <c r="AU419" s="479"/>
      <c r="AV419" s="479"/>
      <c r="AW419" s="479"/>
      <c r="AX419" s="479"/>
      <c r="AY419" s="479"/>
      <c r="AZ419" s="479"/>
      <c r="BA419" s="479"/>
      <c r="BB419" s="479"/>
      <c r="BC419" s="479"/>
      <c r="BD419" s="479"/>
      <c r="BE419" s="479"/>
      <c r="BF419" s="479"/>
      <c r="BG419" s="479"/>
      <c r="BH419" s="479"/>
      <c r="BI419" s="479"/>
      <c r="BJ419" s="479"/>
      <c r="BK419" s="479"/>
      <c r="BL419" s="479"/>
      <c r="BM419" s="479"/>
      <c r="BN419" s="479"/>
      <c r="BO419" s="479"/>
      <c r="BP419" s="479"/>
      <c r="BQ419" s="479"/>
      <c r="BR419" s="479"/>
      <c r="BS419" s="479"/>
      <c r="BT419" s="479"/>
      <c r="BU419" s="479"/>
      <c r="BV419" s="479"/>
      <c r="BW419" s="479"/>
      <c r="BX419" s="479"/>
      <c r="BY419" s="479"/>
      <c r="BZ419" s="479"/>
      <c r="CA419" s="479"/>
      <c r="CB419" s="479"/>
      <c r="CC419" s="479"/>
      <c r="CD419" s="479"/>
      <c r="CE419" s="479"/>
      <c r="CF419" s="479"/>
      <c r="CG419" s="479"/>
      <c r="CH419" s="479"/>
      <c r="CI419" s="479"/>
      <c r="CJ419" s="479"/>
      <c r="CK419" s="481"/>
    </row>
    <row r="420" spans="1:89" s="235" customFormat="1" ht="12">
      <c r="A420" s="234"/>
      <c r="B420" s="479"/>
      <c r="C420" s="479"/>
      <c r="D420" s="480"/>
      <c r="E420" s="479"/>
      <c r="F420" s="479"/>
      <c r="G420" s="479"/>
      <c r="H420" s="479"/>
      <c r="I420" s="479"/>
      <c r="J420" s="479"/>
      <c r="K420" s="479"/>
      <c r="L420" s="479"/>
      <c r="M420" s="479"/>
      <c r="N420" s="479"/>
      <c r="O420" s="479"/>
      <c r="P420" s="479"/>
      <c r="Q420" s="479"/>
      <c r="R420" s="479"/>
      <c r="S420" s="479"/>
      <c r="T420" s="479"/>
      <c r="U420" s="479"/>
      <c r="V420" s="479"/>
      <c r="W420" s="479"/>
      <c r="X420" s="479"/>
      <c r="Y420" s="479"/>
      <c r="Z420" s="479"/>
      <c r="AA420" s="479"/>
      <c r="AB420" s="479"/>
      <c r="AC420" s="479"/>
      <c r="AD420" s="479"/>
      <c r="AE420" s="479"/>
      <c r="AF420" s="479"/>
      <c r="AG420" s="479"/>
      <c r="AH420" s="479"/>
      <c r="AI420" s="479"/>
      <c r="AJ420" s="479"/>
      <c r="AK420" s="479"/>
      <c r="AL420" s="479"/>
      <c r="AM420" s="479"/>
      <c r="AN420" s="479"/>
      <c r="AO420" s="479"/>
      <c r="AP420" s="479"/>
      <c r="AQ420" s="479"/>
      <c r="AR420" s="479"/>
      <c r="AS420" s="479"/>
      <c r="AT420" s="479"/>
      <c r="AU420" s="479"/>
      <c r="AV420" s="479"/>
      <c r="AW420" s="479"/>
      <c r="AX420" s="479"/>
      <c r="AY420" s="479"/>
      <c r="AZ420" s="479"/>
      <c r="BA420" s="479"/>
      <c r="BB420" s="479"/>
      <c r="BC420" s="479"/>
      <c r="BD420" s="479"/>
      <c r="BE420" s="479"/>
      <c r="BF420" s="479"/>
      <c r="BG420" s="479"/>
      <c r="BH420" s="479"/>
      <c r="BI420" s="479"/>
      <c r="BJ420" s="479"/>
      <c r="BK420" s="479"/>
      <c r="BL420" s="479"/>
      <c r="BM420" s="479"/>
      <c r="BN420" s="479"/>
      <c r="BO420" s="479"/>
      <c r="BP420" s="479"/>
      <c r="BQ420" s="479"/>
      <c r="BR420" s="479"/>
      <c r="BS420" s="479"/>
      <c r="BT420" s="479"/>
      <c r="BU420" s="479"/>
      <c r="BV420" s="479"/>
      <c r="BW420" s="479"/>
      <c r="BX420" s="479"/>
      <c r="BY420" s="479"/>
      <c r="BZ420" s="479"/>
      <c r="CA420" s="479"/>
      <c r="CB420" s="479"/>
      <c r="CC420" s="479"/>
      <c r="CD420" s="479"/>
      <c r="CE420" s="479"/>
      <c r="CF420" s="479"/>
      <c r="CG420" s="479"/>
      <c r="CH420" s="479"/>
      <c r="CI420" s="479"/>
      <c r="CJ420" s="479"/>
      <c r="CK420" s="481"/>
    </row>
    <row r="421" spans="1:89" ht="21" customHeight="1">
      <c r="A421" s="297"/>
      <c r="B421" s="361"/>
      <c r="C421" s="362"/>
      <c r="D421" s="363"/>
      <c r="E421" s="368">
        <f>E401+F401+G401+H401</f>
        <v>190310924</v>
      </c>
      <c r="F421" s="368">
        <f>I401+J401+K401+L401</f>
        <v>195275950</v>
      </c>
      <c r="G421" s="414">
        <f>M401+N401+O401+P401</f>
        <v>204913196</v>
      </c>
      <c r="H421" s="297"/>
      <c r="I421" s="375"/>
    </row>
    <row r="422" spans="1:89" ht="21" customHeight="1">
      <c r="A422" s="297"/>
      <c r="B422" s="361"/>
      <c r="C422" s="362"/>
      <c r="D422" s="363">
        <f>基础资料!H27</f>
        <v>43141.43</v>
      </c>
      <c r="E422" s="369">
        <f>ROUND(E421/D422/365,2)</f>
        <v>12.09</v>
      </c>
      <c r="F422" s="368">
        <f>ROUND(F421/D422/365,2)</f>
        <v>12.4</v>
      </c>
      <c r="G422" s="368">
        <f>ROUND(G421/D422/365,2)</f>
        <v>13.01</v>
      </c>
      <c r="H422" s="297"/>
      <c r="I422" s="375"/>
    </row>
    <row r="423" spans="1:89" s="419" customFormat="1" ht="21" customHeight="1">
      <c r="A423" s="414"/>
      <c r="B423" s="415"/>
      <c r="C423" s="416"/>
      <c r="D423" s="417"/>
      <c r="E423" s="420">
        <f>ROUND(F422/E422-1,3)</f>
        <v>2.5999999999999999E-2</v>
      </c>
      <c r="F423" s="420">
        <f>ROUND(G422/F422-1,3)</f>
        <v>4.9000000000000002E-2</v>
      </c>
      <c r="G423" s="414"/>
      <c r="H423" s="414"/>
      <c r="I423" s="368"/>
      <c r="J423" s="418"/>
    </row>
    <row r="424" spans="1:89" s="419" customFormat="1" ht="21" customHeight="1">
      <c r="A424" s="414"/>
      <c r="B424" s="415"/>
      <c r="C424" s="416"/>
      <c r="D424" s="417"/>
      <c r="E424" s="420">
        <f>ROUND((F422-E422)/E422,3)</f>
        <v>2.5999999999999999E-2</v>
      </c>
      <c r="F424" s="420">
        <f>ROUND((G422-F422)/F422,3)</f>
        <v>4.9000000000000002E-2</v>
      </c>
      <c r="G424" s="436"/>
      <c r="H424" s="436"/>
      <c r="I424" s="436"/>
      <c r="J424" s="418"/>
    </row>
    <row r="425" spans="1:89" ht="21" customHeight="1">
      <c r="A425" s="297"/>
      <c r="B425" s="361"/>
      <c r="C425" s="362"/>
      <c r="D425" s="363"/>
      <c r="E425" s="364"/>
      <c r="F425" s="375"/>
      <c r="G425" s="365"/>
      <c r="H425" s="297"/>
      <c r="I425" s="375"/>
    </row>
    <row r="426" spans="1:89" ht="21" customHeight="1">
      <c r="A426" s="297"/>
      <c r="B426" s="361"/>
      <c r="C426" s="362"/>
      <c r="D426" s="363"/>
      <c r="E426" s="364"/>
      <c r="F426" s="375"/>
      <c r="G426" s="365"/>
      <c r="H426" s="297"/>
      <c r="I426" s="375"/>
    </row>
    <row r="427" spans="1:89" ht="21" customHeight="1">
      <c r="A427" s="297"/>
      <c r="B427" s="361"/>
      <c r="C427" s="362"/>
      <c r="D427" s="363"/>
      <c r="E427" s="364"/>
      <c r="F427" s="375"/>
      <c r="G427" s="365"/>
      <c r="H427" s="297"/>
      <c r="I427" s="375"/>
    </row>
    <row r="428" spans="1:89" ht="21" customHeight="1">
      <c r="A428" s="297"/>
      <c r="B428" s="361"/>
      <c r="C428" s="362"/>
      <c r="D428" s="363"/>
      <c r="E428" s="364"/>
      <c r="F428" s="375"/>
      <c r="G428" s="365"/>
      <c r="H428" s="297"/>
      <c r="I428" s="375"/>
    </row>
    <row r="429" spans="1:89" ht="21" customHeight="1">
      <c r="A429" s="297"/>
      <c r="B429" s="361"/>
      <c r="C429" s="362"/>
      <c r="D429" s="363"/>
      <c r="E429" s="364"/>
      <c r="F429" s="375"/>
      <c r="G429" s="365"/>
      <c r="H429" s="297"/>
      <c r="I429" s="375"/>
    </row>
    <row r="430" spans="1:89" ht="21" customHeight="1">
      <c r="A430" s="297"/>
      <c r="B430" s="361"/>
      <c r="C430" s="362"/>
      <c r="D430" s="363"/>
      <c r="E430" s="364"/>
      <c r="F430" s="375"/>
      <c r="G430" s="365"/>
      <c r="H430" s="297"/>
      <c r="I430" s="375"/>
    </row>
    <row r="431" spans="1:89" ht="21" customHeight="1">
      <c r="A431" s="297"/>
      <c r="B431" s="361"/>
      <c r="C431" s="362"/>
      <c r="D431" s="363"/>
      <c r="E431" s="364"/>
      <c r="F431" s="375"/>
      <c r="G431" s="365"/>
      <c r="H431" s="297"/>
      <c r="I431" s="375"/>
    </row>
    <row r="432" spans="1:89" ht="21" customHeight="1">
      <c r="A432" s="297"/>
      <c r="B432" s="361"/>
      <c r="C432" s="362"/>
      <c r="D432" s="363"/>
      <c r="E432" s="364"/>
      <c r="F432" s="375"/>
      <c r="G432" s="365"/>
      <c r="H432" s="297"/>
      <c r="I432" s="375"/>
    </row>
    <row r="433" spans="1:9" ht="21" customHeight="1">
      <c r="A433" s="297"/>
      <c r="B433" s="361"/>
      <c r="C433" s="362"/>
      <c r="D433" s="363"/>
      <c r="E433" s="364"/>
      <c r="F433" s="375"/>
      <c r="G433" s="365"/>
      <c r="H433" s="297"/>
      <c r="I433" s="375"/>
    </row>
    <row r="434" spans="1:9" ht="21" customHeight="1">
      <c r="A434" s="297"/>
      <c r="B434" s="361"/>
      <c r="C434" s="362"/>
      <c r="D434" s="363"/>
      <c r="E434" s="364"/>
      <c r="F434" s="375"/>
      <c r="G434" s="365"/>
      <c r="H434" s="297"/>
      <c r="I434" s="375"/>
    </row>
    <row r="435" spans="1:9" ht="21" customHeight="1">
      <c r="A435" s="297"/>
      <c r="B435" s="361"/>
      <c r="C435" s="362"/>
      <c r="D435" s="363"/>
      <c r="E435" s="364"/>
      <c r="F435" s="375"/>
      <c r="G435" s="365"/>
      <c r="H435" s="297"/>
      <c r="I435" s="375"/>
    </row>
    <row r="436" spans="1:9" ht="21" customHeight="1">
      <c r="A436" s="297"/>
      <c r="B436" s="361"/>
      <c r="C436" s="362"/>
      <c r="D436" s="363"/>
      <c r="E436" s="364"/>
      <c r="F436" s="375"/>
      <c r="G436" s="365"/>
      <c r="H436" s="297"/>
      <c r="I436" s="375"/>
    </row>
    <row r="437" spans="1:9" ht="21" customHeight="1">
      <c r="A437" s="297"/>
      <c r="B437" s="384"/>
      <c r="C437" s="385"/>
      <c r="D437" s="370"/>
      <c r="E437" s="364"/>
      <c r="F437" s="375"/>
      <c r="G437" s="365"/>
      <c r="H437" s="297"/>
      <c r="I437" s="375"/>
    </row>
    <row r="438" spans="1:9" ht="21" customHeight="1">
      <c r="A438" s="297"/>
      <c r="B438" s="384"/>
      <c r="C438" s="385"/>
      <c r="D438" s="370"/>
      <c r="E438" s="364"/>
      <c r="F438" s="375"/>
      <c r="G438" s="365"/>
      <c r="H438" s="297"/>
      <c r="I438" s="375"/>
    </row>
    <row r="439" spans="1:9" ht="21" customHeight="1">
      <c r="A439" s="297"/>
      <c r="B439" s="384"/>
      <c r="C439" s="385"/>
      <c r="D439" s="370"/>
      <c r="E439" s="364"/>
      <c r="F439" s="375"/>
      <c r="G439" s="365"/>
      <c r="H439" s="297"/>
      <c r="I439" s="375"/>
    </row>
    <row r="440" spans="1:9" ht="21" customHeight="1">
      <c r="A440" s="297"/>
      <c r="B440" s="384"/>
      <c r="C440" s="385"/>
      <c r="D440" s="370"/>
      <c r="E440" s="364"/>
      <c r="F440" s="375"/>
      <c r="G440" s="365"/>
      <c r="H440" s="297"/>
      <c r="I440" s="375"/>
    </row>
    <row r="441" spans="1:9" ht="21" customHeight="1">
      <c r="A441" s="297"/>
      <c r="B441" s="384"/>
      <c r="C441" s="385"/>
      <c r="D441" s="370"/>
      <c r="E441" s="364"/>
      <c r="F441" s="375"/>
      <c r="G441" s="365"/>
      <c r="H441" s="297"/>
      <c r="I441" s="375"/>
    </row>
    <row r="442" spans="1:9" ht="21" customHeight="1">
      <c r="A442" s="297"/>
      <c r="B442" s="384"/>
      <c r="C442" s="385"/>
      <c r="D442" s="370"/>
      <c r="E442" s="364"/>
      <c r="F442" s="375"/>
      <c r="G442" s="365"/>
      <c r="H442" s="297"/>
      <c r="I442" s="375"/>
    </row>
    <row r="443" spans="1:9" ht="21" customHeight="1">
      <c r="A443" s="297"/>
      <c r="B443" s="384"/>
      <c r="C443" s="385"/>
      <c r="D443" s="370"/>
      <c r="E443" s="364"/>
      <c r="F443" s="375"/>
      <c r="G443" s="365"/>
      <c r="H443" s="297"/>
      <c r="I443" s="375"/>
    </row>
    <row r="444" spans="1:9" ht="21" customHeight="1">
      <c r="A444" s="297"/>
      <c r="B444" s="384"/>
      <c r="C444" s="385"/>
      <c r="D444" s="370"/>
      <c r="E444" s="364"/>
      <c r="F444" s="375"/>
      <c r="G444" s="365"/>
      <c r="H444" s="297"/>
      <c r="I444" s="375"/>
    </row>
    <row r="445" spans="1:9" ht="21" customHeight="1">
      <c r="A445" s="297"/>
      <c r="B445" s="384"/>
      <c r="C445" s="385"/>
      <c r="D445" s="370"/>
      <c r="E445" s="364"/>
      <c r="F445" s="375"/>
      <c r="G445" s="365"/>
      <c r="H445" s="297"/>
      <c r="I445" s="375"/>
    </row>
    <row r="446" spans="1:9" ht="21" customHeight="1">
      <c r="A446" s="297"/>
      <c r="B446" s="384"/>
      <c r="C446" s="385"/>
      <c r="D446" s="370"/>
      <c r="E446" s="364"/>
      <c r="F446" s="375"/>
      <c r="G446" s="365"/>
      <c r="H446" s="297"/>
      <c r="I446" s="375"/>
    </row>
    <row r="447" spans="1:9" ht="21" customHeight="1">
      <c r="A447" s="297"/>
      <c r="B447" s="384"/>
      <c r="C447" s="385"/>
      <c r="D447" s="370"/>
      <c r="E447" s="364"/>
      <c r="F447" s="375"/>
      <c r="G447" s="365"/>
      <c r="H447" s="297"/>
      <c r="I447" s="375"/>
    </row>
    <row r="448" spans="1:9" ht="21" customHeight="1">
      <c r="A448" s="297"/>
      <c r="B448" s="384"/>
      <c r="C448" s="385"/>
      <c r="D448" s="370"/>
      <c r="E448" s="364"/>
      <c r="F448" s="375"/>
      <c r="G448" s="365"/>
      <c r="H448" s="297"/>
      <c r="I448" s="375"/>
    </row>
    <row r="449" spans="1:9" ht="21" customHeight="1">
      <c r="A449" s="297"/>
      <c r="B449" s="384"/>
      <c r="C449" s="385"/>
      <c r="D449" s="370"/>
      <c r="E449" s="364"/>
      <c r="F449" s="375"/>
      <c r="G449" s="365"/>
      <c r="H449" s="297"/>
      <c r="I449" s="375"/>
    </row>
    <row r="450" spans="1:9" ht="21" customHeight="1">
      <c r="A450" s="297"/>
      <c r="B450" s="384"/>
      <c r="C450" s="385"/>
      <c r="D450" s="370"/>
      <c r="E450" s="364"/>
      <c r="F450" s="375"/>
      <c r="G450" s="365"/>
      <c r="H450" s="297"/>
      <c r="I450" s="375"/>
    </row>
    <row r="451" spans="1:9" ht="21" customHeight="1">
      <c r="A451" s="297"/>
      <c r="B451" s="384"/>
      <c r="C451" s="385"/>
      <c r="D451" s="370"/>
      <c r="E451" s="364"/>
      <c r="F451" s="375"/>
      <c r="G451" s="365"/>
      <c r="H451" s="297"/>
      <c r="I451" s="375"/>
    </row>
    <row r="452" spans="1:9" ht="21" customHeight="1">
      <c r="A452" s="297"/>
      <c r="B452" s="384"/>
      <c r="C452" s="385"/>
      <c r="D452" s="370"/>
      <c r="E452" s="364"/>
      <c r="F452" s="375"/>
      <c r="G452" s="365"/>
      <c r="H452" s="297"/>
      <c r="I452" s="375"/>
    </row>
    <row r="453" spans="1:9" ht="21" customHeight="1">
      <c r="A453" s="297"/>
      <c r="B453" s="384"/>
      <c r="C453" s="385"/>
      <c r="D453" s="370"/>
      <c r="E453" s="364"/>
      <c r="F453" s="375"/>
      <c r="G453" s="365"/>
      <c r="H453" s="297"/>
      <c r="I453" s="375"/>
    </row>
    <row r="454" spans="1:9" ht="21" customHeight="1">
      <c r="A454" s="297"/>
      <c r="B454" s="384"/>
      <c r="C454" s="385"/>
      <c r="D454" s="370"/>
      <c r="E454" s="364"/>
      <c r="F454" s="375"/>
      <c r="G454" s="365"/>
      <c r="H454" s="297"/>
      <c r="I454" s="375"/>
    </row>
    <row r="455" spans="1:9" ht="21" customHeight="1">
      <c r="A455" s="297"/>
      <c r="B455" s="384"/>
      <c r="C455" s="385"/>
      <c r="D455" s="370"/>
      <c r="E455" s="364"/>
      <c r="F455" s="375"/>
      <c r="G455" s="365"/>
      <c r="H455" s="297"/>
      <c r="I455" s="375"/>
    </row>
    <row r="456" spans="1:9" ht="21" customHeight="1">
      <c r="A456" s="297"/>
      <c r="B456" s="384"/>
      <c r="C456" s="385"/>
      <c r="D456" s="370"/>
      <c r="E456" s="364"/>
      <c r="F456" s="375"/>
      <c r="G456" s="365"/>
      <c r="H456" s="297"/>
      <c r="I456" s="375"/>
    </row>
    <row r="457" spans="1:9" ht="21" customHeight="1">
      <c r="A457" s="297"/>
      <c r="B457" s="384"/>
      <c r="C457" s="385"/>
      <c r="D457" s="370"/>
      <c r="E457" s="364"/>
      <c r="F457" s="375"/>
      <c r="G457" s="365"/>
      <c r="H457" s="297"/>
      <c r="I457" s="375"/>
    </row>
    <row r="458" spans="1:9" ht="21" customHeight="1">
      <c r="A458" s="297"/>
      <c r="B458" s="384"/>
      <c r="C458" s="385"/>
      <c r="D458" s="370"/>
      <c r="E458" s="364"/>
      <c r="F458" s="375"/>
      <c r="G458" s="365"/>
      <c r="H458" s="297"/>
      <c r="I458" s="375"/>
    </row>
    <row r="459" spans="1:9" ht="21" customHeight="1">
      <c r="A459" s="297"/>
      <c r="B459" s="384"/>
      <c r="C459" s="385"/>
      <c r="D459" s="370"/>
      <c r="E459" s="364"/>
      <c r="F459" s="375"/>
      <c r="G459" s="365"/>
      <c r="H459" s="297"/>
      <c r="I459" s="375"/>
    </row>
    <row r="460" spans="1:9" ht="21" customHeight="1">
      <c r="A460" s="297"/>
      <c r="B460" s="384"/>
      <c r="C460" s="385"/>
      <c r="D460" s="370"/>
      <c r="E460" s="364"/>
      <c r="F460" s="375"/>
      <c r="G460" s="365"/>
      <c r="H460" s="297"/>
      <c r="I460" s="375"/>
    </row>
    <row r="461" spans="1:9" ht="21" customHeight="1">
      <c r="A461" s="297"/>
      <c r="B461" s="384"/>
      <c r="C461" s="385"/>
      <c r="D461" s="370"/>
      <c r="E461" s="364"/>
      <c r="F461" s="375"/>
      <c r="G461" s="365"/>
      <c r="H461" s="297"/>
      <c r="I461" s="375"/>
    </row>
    <row r="462" spans="1:9" ht="21" customHeight="1">
      <c r="A462" s="297"/>
      <c r="B462" s="384"/>
      <c r="C462" s="385"/>
      <c r="D462" s="370"/>
      <c r="E462" s="364"/>
      <c r="F462" s="375"/>
      <c r="G462" s="365"/>
      <c r="H462" s="297"/>
      <c r="I462" s="375"/>
    </row>
    <row r="463" spans="1:9" ht="21" customHeight="1">
      <c r="A463" s="297"/>
      <c r="B463" s="384"/>
      <c r="C463" s="385"/>
      <c r="D463" s="370"/>
      <c r="E463" s="364"/>
      <c r="F463" s="375"/>
      <c r="G463" s="365"/>
      <c r="H463" s="297"/>
      <c r="I463" s="375"/>
    </row>
    <row r="464" spans="1:9" ht="21" customHeight="1">
      <c r="A464" s="297"/>
      <c r="B464" s="384"/>
      <c r="C464" s="385"/>
      <c r="D464" s="370"/>
      <c r="E464" s="364"/>
      <c r="F464" s="375"/>
      <c r="G464" s="365"/>
      <c r="H464" s="297"/>
      <c r="I464" s="375"/>
    </row>
    <row r="465" spans="1:9">
      <c r="A465" s="297"/>
      <c r="B465" s="384"/>
      <c r="C465" s="385"/>
      <c r="D465" s="370"/>
      <c r="E465" s="364"/>
      <c r="F465" s="375"/>
      <c r="G465" s="365"/>
      <c r="H465" s="297"/>
      <c r="I465" s="375"/>
    </row>
    <row r="466" spans="1:9">
      <c r="A466" s="297"/>
      <c r="B466" s="384"/>
      <c r="C466" s="385"/>
      <c r="D466" s="370"/>
      <c r="E466" s="364"/>
      <c r="F466" s="375"/>
      <c r="G466" s="365"/>
      <c r="H466" s="297"/>
      <c r="I466" s="375"/>
    </row>
    <row r="467" spans="1:9">
      <c r="A467" s="297"/>
      <c r="B467" s="384"/>
      <c r="C467" s="385"/>
      <c r="D467" s="370"/>
      <c r="E467" s="364"/>
      <c r="F467" s="375"/>
      <c r="G467" s="365"/>
      <c r="H467" s="297"/>
      <c r="I467" s="375"/>
    </row>
    <row r="468" spans="1:9">
      <c r="A468" s="297"/>
      <c r="B468" s="384"/>
      <c r="C468" s="385"/>
      <c r="D468" s="370"/>
      <c r="E468" s="364"/>
      <c r="F468" s="375"/>
      <c r="G468" s="365"/>
      <c r="H468" s="297"/>
      <c r="I468" s="375"/>
    </row>
    <row r="469" spans="1:9">
      <c r="A469" s="297"/>
      <c r="B469" s="384"/>
      <c r="C469" s="385"/>
      <c r="D469" s="370"/>
      <c r="E469" s="364"/>
      <c r="F469" s="375"/>
      <c r="G469" s="365"/>
      <c r="H469" s="297"/>
      <c r="I469" s="375"/>
    </row>
    <row r="470" spans="1:9">
      <c r="A470" s="297"/>
      <c r="B470" s="384"/>
      <c r="C470" s="385"/>
      <c r="D470" s="370"/>
      <c r="E470" s="364"/>
      <c r="F470" s="375"/>
      <c r="G470" s="365"/>
      <c r="H470" s="297"/>
      <c r="I470" s="375"/>
    </row>
    <row r="471" spans="1:9">
      <c r="A471" s="297"/>
      <c r="B471" s="384"/>
      <c r="C471" s="385"/>
      <c r="D471" s="370"/>
      <c r="E471" s="364"/>
      <c r="F471" s="375"/>
      <c r="G471" s="365"/>
      <c r="H471" s="297"/>
      <c r="I471" s="375"/>
    </row>
    <row r="472" spans="1:9">
      <c r="A472" s="297"/>
      <c r="B472" s="384"/>
      <c r="C472" s="385"/>
      <c r="D472" s="370"/>
      <c r="E472" s="364"/>
      <c r="F472" s="375"/>
      <c r="G472" s="365"/>
      <c r="H472" s="297"/>
      <c r="I472" s="375"/>
    </row>
    <row r="473" spans="1:9">
      <c r="A473" s="297"/>
      <c r="B473" s="384"/>
      <c r="C473" s="385"/>
      <c r="D473" s="370"/>
      <c r="E473" s="364"/>
      <c r="F473" s="375"/>
      <c r="G473" s="365"/>
      <c r="H473" s="297"/>
      <c r="I473" s="375"/>
    </row>
    <row r="474" spans="1:9">
      <c r="A474" s="297"/>
      <c r="B474" s="384"/>
      <c r="C474" s="385"/>
      <c r="D474" s="370"/>
      <c r="E474" s="364"/>
      <c r="F474" s="375"/>
      <c r="G474" s="365"/>
      <c r="H474" s="297"/>
      <c r="I474" s="375"/>
    </row>
    <row r="475" spans="1:9">
      <c r="A475" s="297"/>
      <c r="B475" s="384"/>
      <c r="C475" s="385"/>
      <c r="D475" s="370"/>
      <c r="E475" s="364"/>
      <c r="F475" s="375"/>
      <c r="G475" s="365"/>
      <c r="H475" s="297"/>
      <c r="I475" s="375"/>
    </row>
    <row r="476" spans="1:9">
      <c r="A476" s="297"/>
      <c r="B476" s="384"/>
      <c r="C476" s="385"/>
      <c r="D476" s="370"/>
      <c r="E476" s="364"/>
      <c r="F476" s="375"/>
      <c r="G476" s="365"/>
      <c r="H476" s="297"/>
      <c r="I476" s="375"/>
    </row>
    <row r="477" spans="1:9">
      <c r="A477" s="297"/>
      <c r="B477" s="384"/>
      <c r="C477" s="385"/>
      <c r="D477" s="370"/>
      <c r="E477" s="364"/>
      <c r="F477" s="375"/>
      <c r="G477" s="365"/>
      <c r="H477" s="297"/>
      <c r="I477" s="375"/>
    </row>
    <row r="478" spans="1:9">
      <c r="A478" s="297"/>
      <c r="B478" s="384"/>
      <c r="C478" s="385"/>
      <c r="D478" s="370"/>
      <c r="E478" s="364"/>
      <c r="F478" s="375"/>
      <c r="G478" s="365"/>
      <c r="H478" s="297"/>
      <c r="I478" s="375"/>
    </row>
    <row r="479" spans="1:9">
      <c r="A479" s="297"/>
      <c r="B479" s="384"/>
      <c r="C479" s="385"/>
      <c r="D479" s="370"/>
      <c r="E479" s="364"/>
      <c r="F479" s="375"/>
      <c r="G479" s="365"/>
      <c r="H479" s="297"/>
      <c r="I479" s="375"/>
    </row>
    <row r="480" spans="1:9">
      <c r="A480" s="297"/>
      <c r="B480" s="384"/>
      <c r="C480" s="385"/>
      <c r="D480" s="370"/>
      <c r="E480" s="364"/>
      <c r="F480" s="375"/>
      <c r="G480" s="365"/>
      <c r="H480" s="297"/>
      <c r="I480" s="375"/>
    </row>
    <row r="481" spans="1:9">
      <c r="A481" s="297"/>
      <c r="B481" s="384"/>
      <c r="C481" s="385"/>
      <c r="D481" s="370"/>
      <c r="E481" s="364"/>
      <c r="F481" s="375"/>
      <c r="G481" s="365"/>
      <c r="H481" s="297"/>
      <c r="I481" s="375"/>
    </row>
    <row r="482" spans="1:9">
      <c r="A482" s="297"/>
      <c r="B482" s="384"/>
      <c r="C482" s="385"/>
      <c r="D482" s="370"/>
      <c r="E482" s="364"/>
      <c r="F482" s="375"/>
      <c r="G482" s="365"/>
      <c r="H482" s="297"/>
      <c r="I482" s="375"/>
    </row>
    <row r="483" spans="1:9">
      <c r="A483" s="297"/>
      <c r="B483" s="384"/>
      <c r="C483" s="385"/>
      <c r="D483" s="370"/>
      <c r="E483" s="364"/>
      <c r="F483" s="375"/>
      <c r="G483" s="365"/>
      <c r="H483" s="297"/>
      <c r="I483" s="375"/>
    </row>
    <row r="484" spans="1:9">
      <c r="A484" s="297"/>
      <c r="B484" s="384"/>
      <c r="C484" s="385"/>
      <c r="D484" s="370"/>
      <c r="E484" s="364"/>
      <c r="F484" s="375"/>
      <c r="G484" s="365"/>
      <c r="H484" s="297"/>
      <c r="I484" s="375"/>
    </row>
    <row r="485" spans="1:9">
      <c r="A485" s="297"/>
      <c r="B485" s="384"/>
      <c r="C485" s="385"/>
      <c r="D485" s="370"/>
      <c r="E485" s="364"/>
      <c r="F485" s="375"/>
      <c r="G485" s="365"/>
      <c r="H485" s="297"/>
      <c r="I485" s="375"/>
    </row>
    <row r="486" spans="1:9">
      <c r="A486" s="297"/>
      <c r="B486" s="384"/>
      <c r="C486" s="385"/>
      <c r="D486" s="370"/>
      <c r="E486" s="364"/>
      <c r="F486" s="375"/>
      <c r="G486" s="365"/>
      <c r="H486" s="297"/>
      <c r="I486" s="375"/>
    </row>
    <row r="487" spans="1:9">
      <c r="A487" s="297"/>
      <c r="B487" s="384"/>
      <c r="C487" s="385"/>
      <c r="D487" s="370"/>
      <c r="E487" s="364"/>
      <c r="F487" s="375"/>
      <c r="G487" s="365"/>
      <c r="H487" s="297"/>
      <c r="I487" s="375"/>
    </row>
    <row r="488" spans="1:9">
      <c r="A488" s="297"/>
      <c r="B488" s="384"/>
      <c r="C488" s="385"/>
      <c r="D488" s="370"/>
      <c r="E488" s="364"/>
      <c r="F488" s="375"/>
      <c r="G488" s="365"/>
      <c r="H488" s="297"/>
      <c r="I488" s="375"/>
    </row>
    <row r="489" spans="1:9">
      <c r="A489" s="297"/>
      <c r="B489" s="384"/>
      <c r="C489" s="385"/>
      <c r="D489" s="370"/>
      <c r="E489" s="364"/>
      <c r="F489" s="375"/>
      <c r="G489" s="365"/>
      <c r="H489" s="297"/>
      <c r="I489" s="375"/>
    </row>
    <row r="490" spans="1:9">
      <c r="A490" s="297"/>
      <c r="B490" s="384"/>
      <c r="C490" s="385"/>
      <c r="D490" s="370"/>
      <c r="E490" s="364"/>
      <c r="F490" s="375"/>
      <c r="G490" s="365"/>
      <c r="H490" s="297"/>
      <c r="I490" s="375"/>
    </row>
    <row r="491" spans="1:9">
      <c r="A491" s="297"/>
      <c r="B491" s="384"/>
      <c r="C491" s="385"/>
      <c r="D491" s="370"/>
      <c r="E491" s="364"/>
      <c r="F491" s="375"/>
      <c r="G491" s="365"/>
      <c r="H491" s="297"/>
      <c r="I491" s="375"/>
    </row>
    <row r="492" spans="1:9">
      <c r="A492" s="297"/>
      <c r="B492" s="384"/>
      <c r="C492" s="385"/>
      <c r="D492" s="370"/>
      <c r="E492" s="364"/>
      <c r="F492" s="375"/>
      <c r="G492" s="365"/>
      <c r="H492" s="297"/>
      <c r="I492" s="375"/>
    </row>
    <row r="493" spans="1:9">
      <c r="A493" s="297"/>
      <c r="B493" s="384"/>
      <c r="C493" s="385"/>
      <c r="D493" s="370"/>
      <c r="E493" s="364"/>
      <c r="F493" s="375"/>
      <c r="G493" s="365"/>
      <c r="H493" s="297"/>
      <c r="I493" s="375"/>
    </row>
    <row r="494" spans="1:9">
      <c r="A494" s="297"/>
      <c r="B494" s="384"/>
      <c r="C494" s="385"/>
      <c r="D494" s="370"/>
      <c r="E494" s="364"/>
      <c r="F494" s="375"/>
      <c r="G494" s="365"/>
      <c r="H494" s="297"/>
      <c r="I494" s="375"/>
    </row>
    <row r="495" spans="1:9">
      <c r="A495" s="297"/>
      <c r="B495" s="384"/>
      <c r="C495" s="385"/>
      <c r="D495" s="370"/>
      <c r="E495" s="364"/>
      <c r="F495" s="375"/>
      <c r="G495" s="365"/>
      <c r="H495" s="297"/>
      <c r="I495" s="375"/>
    </row>
    <row r="496" spans="1:9">
      <c r="A496" s="297"/>
      <c r="B496" s="384"/>
      <c r="C496" s="385"/>
      <c r="D496" s="370"/>
      <c r="E496" s="364"/>
      <c r="F496" s="375"/>
      <c r="G496" s="365"/>
      <c r="H496" s="297"/>
      <c r="I496" s="375"/>
    </row>
    <row r="497" spans="1:9">
      <c r="A497" s="297"/>
      <c r="B497" s="384"/>
      <c r="C497" s="385"/>
      <c r="D497" s="370"/>
      <c r="E497" s="364"/>
      <c r="F497" s="375"/>
      <c r="G497" s="365"/>
      <c r="H497" s="297"/>
      <c r="I497" s="375"/>
    </row>
    <row r="498" spans="1:9">
      <c r="A498" s="297"/>
      <c r="B498" s="384"/>
      <c r="C498" s="385"/>
      <c r="D498" s="370"/>
      <c r="E498" s="364"/>
      <c r="F498" s="375"/>
      <c r="G498" s="365"/>
      <c r="H498" s="297"/>
      <c r="I498" s="375"/>
    </row>
    <row r="499" spans="1:9">
      <c r="A499" s="297"/>
      <c r="B499" s="384"/>
      <c r="C499" s="385"/>
      <c r="D499" s="370"/>
      <c r="E499" s="364"/>
      <c r="F499" s="375"/>
      <c r="G499" s="365"/>
      <c r="H499" s="297"/>
      <c r="I499" s="375"/>
    </row>
    <row r="500" spans="1:9">
      <c r="A500" s="297"/>
      <c r="B500" s="384"/>
      <c r="C500" s="385"/>
      <c r="D500" s="370"/>
      <c r="E500" s="364"/>
      <c r="F500" s="375"/>
      <c r="G500" s="365"/>
      <c r="H500" s="297"/>
      <c r="I500" s="375"/>
    </row>
    <row r="501" spans="1:9">
      <c r="A501" s="297"/>
      <c r="B501" s="384"/>
      <c r="C501" s="385"/>
      <c r="D501" s="370"/>
      <c r="E501" s="364"/>
      <c r="F501" s="375"/>
      <c r="G501" s="365"/>
      <c r="H501" s="297"/>
      <c r="I501" s="375"/>
    </row>
    <row r="502" spans="1:9">
      <c r="A502" s="297"/>
      <c r="B502" s="384"/>
      <c r="C502" s="385"/>
      <c r="D502" s="370"/>
      <c r="E502" s="364"/>
      <c r="F502" s="375"/>
      <c r="G502" s="365"/>
      <c r="H502" s="297"/>
      <c r="I502" s="375"/>
    </row>
    <row r="503" spans="1:9">
      <c r="A503" s="297"/>
      <c r="B503" s="384"/>
      <c r="C503" s="385"/>
      <c r="D503" s="370"/>
      <c r="E503" s="364"/>
      <c r="F503" s="375"/>
      <c r="G503" s="365"/>
      <c r="H503" s="297"/>
      <c r="I503" s="375"/>
    </row>
    <row r="504" spans="1:9">
      <c r="A504" s="297"/>
      <c r="B504" s="384"/>
      <c r="C504" s="385"/>
      <c r="D504" s="370"/>
      <c r="E504" s="364"/>
      <c r="F504" s="375"/>
      <c r="G504" s="365"/>
      <c r="H504" s="297"/>
      <c r="I504" s="375"/>
    </row>
    <row r="505" spans="1:9">
      <c r="A505" s="297"/>
      <c r="B505" s="384"/>
      <c r="C505" s="385"/>
      <c r="D505" s="370"/>
      <c r="E505" s="364"/>
      <c r="F505" s="375"/>
      <c r="G505" s="365"/>
      <c r="H505" s="297"/>
      <c r="I505" s="375"/>
    </row>
    <row r="506" spans="1:9">
      <c r="A506" s="297"/>
      <c r="B506" s="384"/>
      <c r="C506" s="385"/>
      <c r="D506" s="370"/>
      <c r="E506" s="364"/>
      <c r="F506" s="375"/>
      <c r="G506" s="365"/>
      <c r="H506" s="297"/>
      <c r="I506" s="375"/>
    </row>
    <row r="507" spans="1:9">
      <c r="A507" s="297"/>
      <c r="B507" s="384"/>
      <c r="C507" s="385"/>
      <c r="D507" s="370"/>
      <c r="E507" s="364"/>
      <c r="F507" s="375"/>
      <c r="G507" s="365"/>
      <c r="H507" s="297"/>
      <c r="I507" s="375"/>
    </row>
    <row r="508" spans="1:9">
      <c r="A508" s="297"/>
      <c r="B508" s="384"/>
      <c r="C508" s="385"/>
      <c r="D508" s="370"/>
      <c r="E508" s="364"/>
      <c r="F508" s="375"/>
      <c r="G508" s="365"/>
      <c r="H508" s="297"/>
      <c r="I508" s="375"/>
    </row>
    <row r="509" spans="1:9">
      <c r="A509" s="297"/>
      <c r="B509" s="384"/>
      <c r="C509" s="385"/>
      <c r="D509" s="370"/>
      <c r="E509" s="364"/>
      <c r="F509" s="375"/>
      <c r="G509" s="365"/>
      <c r="H509" s="297"/>
      <c r="I509" s="375"/>
    </row>
    <row r="510" spans="1:9">
      <c r="A510" s="297"/>
      <c r="B510" s="384"/>
      <c r="C510" s="385"/>
      <c r="D510" s="370"/>
      <c r="E510" s="364"/>
      <c r="F510" s="375"/>
      <c r="G510" s="365"/>
      <c r="H510" s="297"/>
      <c r="I510" s="375"/>
    </row>
    <row r="511" spans="1:9">
      <c r="A511" s="297"/>
      <c r="B511" s="384"/>
      <c r="C511" s="385"/>
      <c r="D511" s="370"/>
      <c r="E511" s="364"/>
      <c r="F511" s="375"/>
      <c r="G511" s="365"/>
      <c r="H511" s="297"/>
      <c r="I511" s="375"/>
    </row>
    <row r="512" spans="1:9">
      <c r="A512" s="297"/>
      <c r="B512" s="384"/>
      <c r="C512" s="385"/>
      <c r="D512" s="370"/>
      <c r="E512" s="364"/>
      <c r="F512" s="375"/>
      <c r="G512" s="365"/>
      <c r="H512" s="297"/>
      <c r="I512" s="375"/>
    </row>
    <row r="513" spans="1:9">
      <c r="A513" s="297"/>
      <c r="B513" s="384"/>
      <c r="C513" s="385"/>
      <c r="D513" s="370"/>
      <c r="E513" s="364"/>
      <c r="F513" s="375"/>
      <c r="G513" s="365"/>
      <c r="H513" s="297"/>
      <c r="I513" s="375"/>
    </row>
    <row r="514" spans="1:9">
      <c r="A514" s="297"/>
      <c r="B514" s="384"/>
      <c r="C514" s="385"/>
      <c r="D514" s="370"/>
      <c r="E514" s="364"/>
      <c r="F514" s="375"/>
      <c r="G514" s="365"/>
      <c r="H514" s="297"/>
      <c r="I514" s="375"/>
    </row>
    <row r="515" spans="1:9">
      <c r="A515" s="297"/>
      <c r="B515" s="384"/>
      <c r="C515" s="385"/>
      <c r="D515" s="370"/>
      <c r="E515" s="364"/>
      <c r="F515" s="375"/>
      <c r="G515" s="365"/>
      <c r="H515" s="297"/>
      <c r="I515" s="375"/>
    </row>
    <row r="516" spans="1:9">
      <c r="A516" s="297"/>
      <c r="B516" s="384"/>
      <c r="C516" s="385"/>
      <c r="D516" s="370"/>
      <c r="E516" s="364"/>
      <c r="F516" s="375"/>
      <c r="G516" s="365"/>
      <c r="H516" s="297"/>
      <c r="I516" s="375"/>
    </row>
    <row r="517" spans="1:9">
      <c r="A517" s="297"/>
      <c r="B517" s="384"/>
      <c r="C517" s="385"/>
      <c r="D517" s="370"/>
      <c r="E517" s="364"/>
      <c r="F517" s="375"/>
      <c r="G517" s="365"/>
      <c r="H517" s="297"/>
      <c r="I517" s="375"/>
    </row>
    <row r="518" spans="1:9">
      <c r="A518" s="297"/>
      <c r="B518" s="384"/>
      <c r="C518" s="385"/>
      <c r="D518" s="370"/>
      <c r="E518" s="364"/>
      <c r="F518" s="375"/>
      <c r="G518" s="365"/>
      <c r="H518" s="297"/>
      <c r="I518" s="375"/>
    </row>
    <row r="519" spans="1:9">
      <c r="A519" s="297"/>
      <c r="B519" s="384"/>
      <c r="C519" s="385"/>
      <c r="D519" s="370"/>
      <c r="E519" s="364"/>
      <c r="F519" s="375"/>
      <c r="G519" s="365"/>
      <c r="H519" s="297"/>
      <c r="I519" s="375"/>
    </row>
    <row r="520" spans="1:9">
      <c r="A520" s="297"/>
      <c r="B520" s="384"/>
      <c r="C520" s="385"/>
      <c r="D520" s="370"/>
      <c r="E520" s="364"/>
      <c r="F520" s="375"/>
      <c r="G520" s="365"/>
      <c r="H520" s="297"/>
      <c r="I520" s="375"/>
    </row>
    <row r="521" spans="1:9">
      <c r="A521" s="297"/>
      <c r="B521" s="384"/>
      <c r="C521" s="385"/>
      <c r="D521" s="370"/>
      <c r="E521" s="364"/>
      <c r="F521" s="375"/>
      <c r="G521" s="365"/>
      <c r="H521" s="297"/>
      <c r="I521" s="375"/>
    </row>
    <row r="522" spans="1:9">
      <c r="A522" s="297"/>
      <c r="B522" s="384"/>
      <c r="C522" s="385"/>
      <c r="D522" s="370"/>
      <c r="E522" s="364"/>
      <c r="F522" s="375"/>
      <c r="G522" s="365"/>
      <c r="H522" s="297"/>
      <c r="I522" s="375"/>
    </row>
    <row r="523" spans="1:9">
      <c r="A523" s="297"/>
      <c r="B523" s="384"/>
      <c r="C523" s="385"/>
      <c r="D523" s="370"/>
      <c r="E523" s="364"/>
      <c r="F523" s="375"/>
      <c r="G523" s="365"/>
      <c r="H523" s="297"/>
      <c r="I523" s="375"/>
    </row>
    <row r="524" spans="1:9">
      <c r="A524" s="297"/>
      <c r="B524" s="384"/>
      <c r="C524" s="385"/>
      <c r="D524" s="370"/>
      <c r="E524" s="364"/>
      <c r="F524" s="375"/>
      <c r="G524" s="365"/>
      <c r="H524" s="297"/>
      <c r="I524" s="375"/>
    </row>
    <row r="525" spans="1:9">
      <c r="A525" s="297"/>
      <c r="B525" s="384"/>
      <c r="C525" s="385"/>
      <c r="D525" s="370"/>
      <c r="E525" s="364"/>
      <c r="F525" s="375"/>
      <c r="G525" s="365"/>
      <c r="H525" s="297"/>
      <c r="I525" s="375"/>
    </row>
    <row r="526" spans="1:9">
      <c r="A526" s="297"/>
      <c r="B526" s="384"/>
      <c r="C526" s="385"/>
      <c r="D526" s="370"/>
      <c r="E526" s="364"/>
      <c r="F526" s="375"/>
      <c r="G526" s="365"/>
      <c r="H526" s="297"/>
      <c r="I526" s="375"/>
    </row>
    <row r="527" spans="1:9">
      <c r="A527" s="297"/>
      <c r="B527" s="384"/>
      <c r="C527" s="385"/>
      <c r="D527" s="370"/>
      <c r="E527" s="364"/>
      <c r="F527" s="375"/>
      <c r="G527" s="365"/>
      <c r="H527" s="297"/>
      <c r="I527" s="375"/>
    </row>
    <row r="528" spans="1:9">
      <c r="A528" s="297"/>
      <c r="B528" s="384"/>
      <c r="C528" s="385"/>
      <c r="D528" s="370"/>
      <c r="E528" s="364"/>
      <c r="F528" s="375"/>
      <c r="G528" s="365"/>
      <c r="H528" s="297"/>
      <c r="I528" s="375"/>
    </row>
    <row r="529" spans="1:9">
      <c r="A529" s="297"/>
      <c r="B529" s="384"/>
      <c r="C529" s="385"/>
      <c r="D529" s="370"/>
      <c r="E529" s="364"/>
      <c r="F529" s="375"/>
      <c r="G529" s="365"/>
      <c r="H529" s="297"/>
      <c r="I529" s="375"/>
    </row>
    <row r="530" spans="1:9">
      <c r="A530" s="297"/>
      <c r="B530" s="384"/>
      <c r="C530" s="385"/>
      <c r="D530" s="370"/>
      <c r="E530" s="364"/>
      <c r="F530" s="375"/>
      <c r="G530" s="365"/>
      <c r="H530" s="297"/>
      <c r="I530" s="375"/>
    </row>
    <row r="531" spans="1:9">
      <c r="A531" s="297"/>
      <c r="B531" s="384"/>
      <c r="C531" s="385"/>
      <c r="D531" s="370"/>
      <c r="E531" s="364"/>
      <c r="F531" s="375"/>
      <c r="G531" s="365"/>
      <c r="H531" s="297"/>
      <c r="I531" s="375"/>
    </row>
    <row r="532" spans="1:9">
      <c r="A532" s="297"/>
      <c r="B532" s="384"/>
      <c r="C532" s="385"/>
      <c r="D532" s="370"/>
      <c r="E532" s="364"/>
      <c r="F532" s="375"/>
      <c r="G532" s="365"/>
      <c r="H532" s="297"/>
      <c r="I532" s="375"/>
    </row>
    <row r="533" spans="1:9">
      <c r="A533" s="297"/>
      <c r="B533" s="384"/>
      <c r="C533" s="385"/>
      <c r="D533" s="370"/>
      <c r="E533" s="364"/>
      <c r="F533" s="375"/>
      <c r="G533" s="365"/>
      <c r="H533" s="297"/>
      <c r="I533" s="375"/>
    </row>
    <row r="534" spans="1:9">
      <c r="A534" s="297"/>
      <c r="B534" s="384"/>
      <c r="C534" s="385"/>
      <c r="D534" s="370"/>
      <c r="E534" s="364"/>
      <c r="F534" s="375"/>
      <c r="G534" s="365"/>
      <c r="H534" s="297"/>
      <c r="I534" s="375"/>
    </row>
    <row r="535" spans="1:9">
      <c r="A535" s="297"/>
      <c r="B535" s="384"/>
      <c r="C535" s="385"/>
      <c r="D535" s="370"/>
      <c r="E535" s="364"/>
      <c r="F535" s="375"/>
      <c r="G535" s="365"/>
      <c r="H535" s="297"/>
      <c r="I535" s="375"/>
    </row>
    <row r="536" spans="1:9">
      <c r="A536" s="297"/>
      <c r="B536" s="384"/>
      <c r="C536" s="385"/>
      <c r="D536" s="370"/>
      <c r="E536" s="364"/>
      <c r="F536" s="375"/>
      <c r="G536" s="365"/>
      <c r="H536" s="297"/>
      <c r="I536" s="375"/>
    </row>
    <row r="537" spans="1:9">
      <c r="A537" s="297"/>
      <c r="B537" s="384"/>
      <c r="C537" s="385"/>
      <c r="D537" s="370"/>
      <c r="E537" s="364"/>
      <c r="F537" s="375"/>
      <c r="G537" s="365"/>
      <c r="H537" s="297"/>
      <c r="I537" s="375"/>
    </row>
    <row r="538" spans="1:9">
      <c r="A538" s="297"/>
      <c r="B538" s="384"/>
      <c r="C538" s="385"/>
      <c r="D538" s="370"/>
      <c r="E538" s="364"/>
      <c r="F538" s="375"/>
      <c r="G538" s="365"/>
      <c r="H538" s="297"/>
      <c r="I538" s="375"/>
    </row>
    <row r="539" spans="1:9">
      <c r="A539" s="297"/>
      <c r="B539" s="384"/>
      <c r="C539" s="385"/>
      <c r="D539" s="370"/>
      <c r="E539" s="364"/>
      <c r="F539" s="375"/>
      <c r="G539" s="365"/>
      <c r="H539" s="297"/>
      <c r="I539" s="375"/>
    </row>
    <row r="540" spans="1:9">
      <c r="A540" s="297"/>
      <c r="B540" s="384"/>
      <c r="C540" s="385"/>
      <c r="D540" s="370"/>
      <c r="E540" s="364"/>
      <c r="F540" s="375"/>
      <c r="G540" s="365"/>
      <c r="H540" s="297"/>
      <c r="I540" s="375"/>
    </row>
    <row r="541" spans="1:9">
      <c r="A541" s="297"/>
      <c r="B541" s="384"/>
      <c r="C541" s="385"/>
      <c r="D541" s="370"/>
      <c r="E541" s="364"/>
      <c r="F541" s="375"/>
      <c r="G541" s="365"/>
      <c r="H541" s="297"/>
      <c r="I541" s="375"/>
    </row>
    <row r="542" spans="1:9">
      <c r="A542" s="297"/>
      <c r="B542" s="384"/>
      <c r="C542" s="385"/>
      <c r="D542" s="370"/>
      <c r="E542" s="364"/>
      <c r="F542" s="375"/>
      <c r="G542" s="365"/>
      <c r="H542" s="297"/>
      <c r="I542" s="375"/>
    </row>
    <row r="543" spans="1:9">
      <c r="A543" s="297"/>
      <c r="B543" s="384"/>
      <c r="C543" s="385"/>
      <c r="D543" s="370"/>
      <c r="E543" s="364"/>
      <c r="F543" s="375"/>
      <c r="G543" s="365"/>
      <c r="H543" s="297"/>
      <c r="I543" s="375"/>
    </row>
    <row r="544" spans="1:9">
      <c r="A544" s="297"/>
      <c r="B544" s="384"/>
      <c r="C544" s="385"/>
      <c r="D544" s="370"/>
      <c r="E544" s="364"/>
      <c r="F544" s="375"/>
      <c r="G544" s="365"/>
      <c r="H544" s="297"/>
      <c r="I544" s="375"/>
    </row>
    <row r="545" spans="1:9">
      <c r="A545" s="297"/>
      <c r="B545" s="384"/>
      <c r="C545" s="385"/>
      <c r="D545" s="370"/>
      <c r="E545" s="364"/>
      <c r="F545" s="375"/>
      <c r="G545" s="365"/>
      <c r="H545" s="297"/>
      <c r="I545" s="375"/>
    </row>
    <row r="546" spans="1:9">
      <c r="A546" s="297"/>
      <c r="B546" s="384"/>
      <c r="C546" s="385"/>
      <c r="D546" s="370"/>
      <c r="E546" s="364"/>
      <c r="F546" s="375"/>
      <c r="G546" s="365"/>
      <c r="H546" s="297"/>
      <c r="I546" s="375"/>
    </row>
    <row r="547" spans="1:9">
      <c r="A547" s="297"/>
      <c r="B547" s="384"/>
      <c r="C547" s="385"/>
      <c r="D547" s="370"/>
      <c r="E547" s="364"/>
      <c r="F547" s="375"/>
      <c r="G547" s="365"/>
      <c r="H547" s="297"/>
      <c r="I547" s="375"/>
    </row>
    <row r="548" spans="1:9">
      <c r="A548" s="297"/>
      <c r="B548" s="384"/>
      <c r="C548" s="385"/>
      <c r="D548" s="370"/>
      <c r="E548" s="364"/>
      <c r="F548" s="375"/>
      <c r="G548" s="365"/>
      <c r="H548" s="297"/>
      <c r="I548" s="375"/>
    </row>
    <row r="549" spans="1:9">
      <c r="A549" s="297"/>
      <c r="B549" s="384"/>
      <c r="C549" s="385"/>
      <c r="D549" s="370"/>
      <c r="E549" s="364"/>
      <c r="F549" s="375"/>
      <c r="G549" s="365"/>
      <c r="H549" s="297"/>
      <c r="I549" s="375"/>
    </row>
    <row r="550" spans="1:9">
      <c r="A550" s="297"/>
      <c r="B550" s="384"/>
      <c r="C550" s="385"/>
      <c r="D550" s="370"/>
      <c r="E550" s="364"/>
      <c r="F550" s="375"/>
      <c r="G550" s="365"/>
      <c r="H550" s="297"/>
      <c r="I550" s="375"/>
    </row>
    <row r="551" spans="1:9">
      <c r="A551" s="297"/>
      <c r="B551" s="384"/>
      <c r="C551" s="385"/>
      <c r="D551" s="370"/>
      <c r="E551" s="364"/>
      <c r="F551" s="375"/>
      <c r="G551" s="365"/>
      <c r="H551" s="297"/>
      <c r="I551" s="375"/>
    </row>
    <row r="552" spans="1:9">
      <c r="A552" s="297"/>
      <c r="B552" s="384"/>
      <c r="C552" s="385"/>
      <c r="D552" s="370"/>
      <c r="E552" s="364"/>
      <c r="F552" s="375"/>
      <c r="G552" s="365"/>
      <c r="H552" s="297"/>
      <c r="I552" s="375"/>
    </row>
    <row r="553" spans="1:9">
      <c r="A553" s="297"/>
      <c r="B553" s="384"/>
      <c r="C553" s="385"/>
      <c r="D553" s="370"/>
      <c r="E553" s="364"/>
      <c r="F553" s="375"/>
      <c r="G553" s="365"/>
      <c r="H553" s="297"/>
      <c r="I553" s="375"/>
    </row>
    <row r="554" spans="1:9">
      <c r="A554" s="297"/>
      <c r="B554" s="384"/>
      <c r="C554" s="385"/>
      <c r="D554" s="370"/>
      <c r="E554" s="364"/>
      <c r="F554" s="375"/>
      <c r="G554" s="365"/>
      <c r="H554" s="297"/>
      <c r="I554" s="375"/>
    </row>
    <row r="555" spans="1:9">
      <c r="A555" s="297"/>
      <c r="B555" s="384"/>
      <c r="C555" s="385"/>
      <c r="D555" s="370"/>
      <c r="E555" s="364"/>
      <c r="F555" s="375"/>
      <c r="G555" s="365"/>
      <c r="H555" s="297"/>
      <c r="I555" s="375"/>
    </row>
    <row r="556" spans="1:9">
      <c r="A556" s="297"/>
      <c r="B556" s="384"/>
      <c r="C556" s="385"/>
      <c r="D556" s="370"/>
      <c r="E556" s="364"/>
      <c r="F556" s="375"/>
      <c r="G556" s="365"/>
      <c r="H556" s="297"/>
      <c r="I556" s="375"/>
    </row>
    <row r="557" spans="1:9">
      <c r="A557" s="297"/>
      <c r="B557" s="384"/>
      <c r="C557" s="385"/>
      <c r="D557" s="370"/>
      <c r="E557" s="364"/>
      <c r="F557" s="375"/>
      <c r="G557" s="365"/>
      <c r="H557" s="297"/>
      <c r="I557" s="375"/>
    </row>
    <row r="558" spans="1:9">
      <c r="A558" s="297"/>
      <c r="B558" s="384"/>
      <c r="C558" s="385"/>
      <c r="D558" s="370"/>
      <c r="E558" s="364"/>
      <c r="F558" s="375"/>
      <c r="G558" s="365"/>
      <c r="H558" s="297"/>
      <c r="I558" s="375"/>
    </row>
    <row r="559" spans="1:9">
      <c r="A559" s="297"/>
      <c r="B559" s="384"/>
      <c r="C559" s="385"/>
      <c r="D559" s="370"/>
      <c r="E559" s="364"/>
      <c r="F559" s="375"/>
      <c r="G559" s="365"/>
      <c r="H559" s="297"/>
      <c r="I559" s="375"/>
    </row>
    <row r="560" spans="1:9">
      <c r="A560" s="297"/>
      <c r="B560" s="384"/>
      <c r="C560" s="385"/>
      <c r="D560" s="370"/>
      <c r="E560" s="364"/>
      <c r="F560" s="375"/>
      <c r="G560" s="365"/>
      <c r="H560" s="297"/>
      <c r="I560" s="375"/>
    </row>
    <row r="561" spans="1:9">
      <c r="A561" s="297"/>
      <c r="B561" s="384"/>
      <c r="C561" s="385"/>
      <c r="D561" s="370"/>
      <c r="E561" s="364"/>
      <c r="F561" s="375"/>
      <c r="G561" s="365"/>
      <c r="H561" s="297"/>
      <c r="I561" s="375"/>
    </row>
    <row r="562" spans="1:9">
      <c r="A562" s="297"/>
      <c r="B562" s="384"/>
      <c r="C562" s="385"/>
      <c r="D562" s="370"/>
      <c r="E562" s="364"/>
      <c r="F562" s="375"/>
      <c r="G562" s="365"/>
      <c r="H562" s="297"/>
      <c r="I562" s="375"/>
    </row>
    <row r="563" spans="1:9">
      <c r="A563" s="297"/>
      <c r="B563" s="384"/>
      <c r="C563" s="385"/>
      <c r="D563" s="370"/>
      <c r="E563" s="364"/>
      <c r="F563" s="375"/>
      <c r="G563" s="365"/>
      <c r="H563" s="297"/>
      <c r="I563" s="375"/>
    </row>
    <row r="564" spans="1:9">
      <c r="A564" s="297"/>
      <c r="B564" s="384"/>
      <c r="C564" s="385"/>
      <c r="D564" s="370"/>
      <c r="E564" s="364"/>
      <c r="F564" s="375"/>
      <c r="G564" s="365"/>
      <c r="H564" s="297"/>
      <c r="I564" s="375"/>
    </row>
    <row r="565" spans="1:9">
      <c r="A565" s="297"/>
      <c r="B565" s="384"/>
      <c r="C565" s="385"/>
      <c r="D565" s="370"/>
      <c r="E565" s="364"/>
      <c r="F565" s="375"/>
      <c r="G565" s="365"/>
      <c r="H565" s="297"/>
      <c r="I565" s="375"/>
    </row>
    <row r="566" spans="1:9">
      <c r="A566" s="297"/>
      <c r="B566" s="384"/>
      <c r="C566" s="385"/>
      <c r="D566" s="370"/>
      <c r="E566" s="364"/>
      <c r="F566" s="375"/>
      <c r="G566" s="365"/>
      <c r="H566" s="297"/>
      <c r="I566" s="375"/>
    </row>
    <row r="567" spans="1:9">
      <c r="A567" s="297"/>
      <c r="B567" s="384"/>
      <c r="C567" s="385"/>
      <c r="D567" s="370"/>
      <c r="E567" s="364"/>
      <c r="F567" s="375"/>
      <c r="G567" s="365"/>
      <c r="H567" s="297"/>
      <c r="I567" s="375"/>
    </row>
    <row r="568" spans="1:9">
      <c r="A568" s="297"/>
      <c r="B568" s="384"/>
      <c r="C568" s="385"/>
      <c r="D568" s="370"/>
      <c r="E568" s="364"/>
      <c r="F568" s="375"/>
      <c r="G568" s="365"/>
      <c r="H568" s="297"/>
      <c r="I568" s="375"/>
    </row>
    <row r="569" spans="1:9">
      <c r="A569" s="297"/>
      <c r="B569" s="384"/>
      <c r="C569" s="385"/>
      <c r="D569" s="370"/>
      <c r="E569" s="364"/>
      <c r="F569" s="375"/>
      <c r="G569" s="365"/>
      <c r="H569" s="297"/>
      <c r="I569" s="375"/>
    </row>
    <row r="570" spans="1:9">
      <c r="A570" s="297"/>
      <c r="B570" s="384"/>
      <c r="C570" s="385"/>
      <c r="D570" s="370"/>
      <c r="E570" s="364"/>
      <c r="F570" s="375"/>
      <c r="G570" s="365"/>
      <c r="H570" s="297"/>
      <c r="I570" s="375"/>
    </row>
    <row r="571" spans="1:9">
      <c r="A571" s="297"/>
      <c r="B571" s="384"/>
      <c r="C571" s="385"/>
      <c r="D571" s="370"/>
      <c r="E571" s="364"/>
      <c r="F571" s="375"/>
      <c r="G571" s="365"/>
      <c r="H571" s="297"/>
      <c r="I571" s="375"/>
    </row>
    <row r="572" spans="1:9">
      <c r="A572" s="297"/>
      <c r="B572" s="384"/>
      <c r="C572" s="385"/>
      <c r="D572" s="370"/>
      <c r="E572" s="364"/>
      <c r="F572" s="375"/>
      <c r="G572" s="365"/>
      <c r="H572" s="297"/>
      <c r="I572" s="375"/>
    </row>
    <row r="573" spans="1:9">
      <c r="A573" s="297"/>
      <c r="B573" s="384"/>
      <c r="C573" s="385"/>
      <c r="D573" s="370"/>
      <c r="E573" s="364"/>
      <c r="F573" s="375"/>
      <c r="G573" s="365"/>
      <c r="H573" s="297"/>
      <c r="I573" s="375"/>
    </row>
    <row r="574" spans="1:9">
      <c r="A574" s="297"/>
      <c r="B574" s="384"/>
      <c r="C574" s="385"/>
      <c r="D574" s="370"/>
      <c r="E574" s="364"/>
      <c r="F574" s="375"/>
      <c r="G574" s="365"/>
      <c r="H574" s="297"/>
      <c r="I574" s="375"/>
    </row>
    <row r="575" spans="1:9">
      <c r="A575" s="297"/>
      <c r="B575" s="384"/>
      <c r="C575" s="385"/>
      <c r="D575" s="370"/>
      <c r="E575" s="364"/>
      <c r="F575" s="375"/>
      <c r="G575" s="365"/>
      <c r="H575" s="297"/>
      <c r="I575" s="375"/>
    </row>
    <row r="576" spans="1:9">
      <c r="A576" s="297"/>
      <c r="B576" s="384"/>
      <c r="C576" s="385"/>
      <c r="D576" s="370"/>
      <c r="E576" s="364"/>
      <c r="F576" s="375"/>
      <c r="G576" s="365"/>
      <c r="H576" s="297"/>
      <c r="I576" s="375"/>
    </row>
    <row r="577" spans="1:9">
      <c r="A577" s="297"/>
      <c r="B577" s="384"/>
      <c r="C577" s="385"/>
      <c r="D577" s="370"/>
      <c r="E577" s="364"/>
      <c r="F577" s="375"/>
      <c r="G577" s="365"/>
      <c r="H577" s="297"/>
      <c r="I577" s="375"/>
    </row>
    <row r="578" spans="1:9">
      <c r="A578" s="297"/>
      <c r="B578" s="384"/>
      <c r="C578" s="385"/>
      <c r="D578" s="370"/>
      <c r="E578" s="364"/>
      <c r="F578" s="375"/>
      <c r="G578" s="365"/>
      <c r="H578" s="297"/>
      <c r="I578" s="375"/>
    </row>
    <row r="579" spans="1:9">
      <c r="A579" s="297"/>
      <c r="B579" s="384"/>
      <c r="C579" s="385"/>
      <c r="D579" s="370"/>
      <c r="E579" s="364"/>
      <c r="F579" s="375"/>
      <c r="G579" s="365"/>
      <c r="H579" s="297"/>
      <c r="I579" s="375"/>
    </row>
    <row r="580" spans="1:9">
      <c r="A580" s="297"/>
      <c r="B580" s="384"/>
      <c r="C580" s="385"/>
      <c r="D580" s="370"/>
      <c r="E580" s="364"/>
      <c r="F580" s="375"/>
      <c r="G580" s="365"/>
      <c r="H580" s="297"/>
      <c r="I580" s="375"/>
    </row>
    <row r="581" spans="1:9">
      <c r="A581" s="297"/>
      <c r="B581" s="384"/>
      <c r="C581" s="385"/>
      <c r="D581" s="370"/>
      <c r="E581" s="364"/>
      <c r="F581" s="375"/>
      <c r="G581" s="365"/>
      <c r="H581" s="297"/>
      <c r="I581" s="375"/>
    </row>
    <row r="582" spans="1:9">
      <c r="A582" s="297"/>
      <c r="B582" s="384"/>
      <c r="C582" s="385"/>
      <c r="D582" s="370"/>
      <c r="E582" s="364"/>
      <c r="F582" s="375"/>
      <c r="G582" s="365"/>
      <c r="H582" s="297"/>
      <c r="I582" s="375"/>
    </row>
    <row r="583" spans="1:9">
      <c r="A583" s="297"/>
      <c r="B583" s="384"/>
      <c r="C583" s="385"/>
      <c r="D583" s="370"/>
      <c r="E583" s="364"/>
      <c r="F583" s="375"/>
      <c r="G583" s="365"/>
      <c r="H583" s="297"/>
      <c r="I583" s="375"/>
    </row>
    <row r="584" spans="1:9">
      <c r="A584" s="297"/>
      <c r="B584" s="384"/>
      <c r="C584" s="385"/>
      <c r="D584" s="370"/>
      <c r="E584" s="364"/>
      <c r="F584" s="375"/>
      <c r="G584" s="365"/>
      <c r="H584" s="297"/>
      <c r="I584" s="375"/>
    </row>
    <row r="585" spans="1:9">
      <c r="A585" s="297"/>
      <c r="B585" s="384"/>
      <c r="C585" s="385"/>
      <c r="D585" s="370"/>
      <c r="E585" s="364"/>
      <c r="F585" s="375"/>
      <c r="G585" s="365"/>
      <c r="H585" s="297"/>
      <c r="I585" s="375"/>
    </row>
    <row r="586" spans="1:9">
      <c r="A586" s="297"/>
      <c r="B586" s="384"/>
      <c r="C586" s="385"/>
      <c r="D586" s="370"/>
      <c r="E586" s="364"/>
      <c r="F586" s="375"/>
      <c r="G586" s="365"/>
      <c r="H586" s="297"/>
      <c r="I586" s="375"/>
    </row>
    <row r="587" spans="1:9">
      <c r="A587" s="297"/>
      <c r="B587" s="384"/>
      <c r="C587" s="385"/>
      <c r="D587" s="370"/>
      <c r="E587" s="364"/>
      <c r="F587" s="375"/>
      <c r="G587" s="365"/>
      <c r="H587" s="297"/>
      <c r="I587" s="375"/>
    </row>
    <row r="588" spans="1:9">
      <c r="A588" s="297"/>
      <c r="B588" s="384"/>
      <c r="C588" s="385"/>
      <c r="D588" s="370"/>
      <c r="E588" s="364"/>
      <c r="F588" s="375"/>
      <c r="G588" s="365"/>
      <c r="H588" s="297"/>
      <c r="I588" s="375"/>
    </row>
    <row r="589" spans="1:9">
      <c r="A589" s="297"/>
      <c r="B589" s="384"/>
      <c r="C589" s="385"/>
      <c r="D589" s="370"/>
      <c r="E589" s="364"/>
      <c r="F589" s="375"/>
      <c r="G589" s="365"/>
      <c r="H589" s="297"/>
      <c r="I589" s="375"/>
    </row>
    <row r="590" spans="1:9">
      <c r="A590" s="297"/>
      <c r="B590" s="384"/>
      <c r="C590" s="385"/>
      <c r="D590" s="370"/>
      <c r="E590" s="364"/>
      <c r="F590" s="375"/>
      <c r="G590" s="365"/>
      <c r="H590" s="297"/>
      <c r="I590" s="375"/>
    </row>
    <row r="591" spans="1:9">
      <c r="A591" s="297"/>
      <c r="B591" s="384"/>
      <c r="C591" s="385"/>
      <c r="D591" s="370"/>
      <c r="E591" s="364"/>
      <c r="F591" s="375"/>
      <c r="G591" s="365"/>
      <c r="H591" s="297"/>
      <c r="I591" s="375"/>
    </row>
    <row r="592" spans="1:9">
      <c r="A592" s="297"/>
      <c r="B592" s="384"/>
      <c r="C592" s="385"/>
      <c r="D592" s="370"/>
      <c r="E592" s="364"/>
      <c r="F592" s="375"/>
      <c r="G592" s="365"/>
      <c r="H592" s="297"/>
      <c r="I592" s="375"/>
    </row>
    <row r="593" spans="1:9">
      <c r="A593" s="297"/>
      <c r="B593" s="384"/>
      <c r="C593" s="385"/>
      <c r="D593" s="370"/>
      <c r="E593" s="364"/>
      <c r="F593" s="375"/>
      <c r="G593" s="365"/>
      <c r="H593" s="297"/>
      <c r="I593" s="375"/>
    </row>
    <row r="594" spans="1:9">
      <c r="A594" s="297"/>
      <c r="B594" s="384"/>
      <c r="C594" s="385"/>
      <c r="D594" s="370"/>
      <c r="E594" s="364"/>
      <c r="F594" s="375"/>
      <c r="G594" s="365"/>
      <c r="H594" s="297"/>
      <c r="I594" s="375"/>
    </row>
    <row r="595" spans="1:9">
      <c r="A595" s="297"/>
      <c r="B595" s="384"/>
      <c r="C595" s="385"/>
      <c r="D595" s="370"/>
      <c r="E595" s="364"/>
      <c r="F595" s="375"/>
      <c r="G595" s="365"/>
      <c r="H595" s="297"/>
      <c r="I595" s="375"/>
    </row>
    <row r="596" spans="1:9">
      <c r="A596" s="297"/>
      <c r="B596" s="384"/>
      <c r="C596" s="385"/>
      <c r="D596" s="370"/>
      <c r="E596" s="364"/>
      <c r="F596" s="375"/>
      <c r="G596" s="365"/>
      <c r="H596" s="297"/>
      <c r="I596" s="375"/>
    </row>
    <row r="597" spans="1:9">
      <c r="A597" s="297"/>
      <c r="B597" s="384"/>
      <c r="C597" s="385"/>
      <c r="D597" s="370"/>
      <c r="E597" s="364"/>
      <c r="F597" s="375"/>
      <c r="G597" s="365"/>
      <c r="H597" s="297"/>
      <c r="I597" s="375"/>
    </row>
    <row r="598" spans="1:9">
      <c r="A598" s="297"/>
      <c r="B598" s="384"/>
      <c r="C598" s="385"/>
      <c r="D598" s="370"/>
      <c r="E598" s="364"/>
      <c r="F598" s="375"/>
      <c r="G598" s="365"/>
      <c r="H598" s="297"/>
      <c r="I598" s="375"/>
    </row>
    <row r="599" spans="1:9">
      <c r="A599" s="297"/>
      <c r="B599" s="384"/>
      <c r="C599" s="385"/>
      <c r="D599" s="370"/>
      <c r="E599" s="364"/>
      <c r="F599" s="375"/>
      <c r="G599" s="365"/>
      <c r="H599" s="297"/>
      <c r="I599" s="375"/>
    </row>
    <row r="600" spans="1:9">
      <c r="A600" s="297"/>
      <c r="B600" s="384"/>
      <c r="C600" s="385"/>
      <c r="D600" s="370"/>
      <c r="E600" s="364"/>
      <c r="F600" s="375"/>
      <c r="G600" s="365"/>
      <c r="H600" s="297"/>
      <c r="I600" s="375"/>
    </row>
    <row r="601" spans="1:9">
      <c r="A601" s="297"/>
      <c r="B601" s="384"/>
      <c r="C601" s="385"/>
      <c r="D601" s="370"/>
      <c r="E601" s="364"/>
      <c r="F601" s="375"/>
      <c r="G601" s="365"/>
      <c r="H601" s="297"/>
      <c r="I601" s="375"/>
    </row>
    <row r="602" spans="1:9">
      <c r="A602" s="297"/>
      <c r="B602" s="384"/>
      <c r="C602" s="385"/>
      <c r="D602" s="370"/>
      <c r="E602" s="364"/>
      <c r="F602" s="375"/>
      <c r="G602" s="365"/>
      <c r="H602" s="297"/>
      <c r="I602" s="375"/>
    </row>
    <row r="603" spans="1:9">
      <c r="A603" s="297"/>
      <c r="B603" s="384"/>
      <c r="C603" s="385"/>
      <c r="D603" s="370"/>
      <c r="E603" s="364"/>
      <c r="F603" s="375"/>
      <c r="G603" s="365"/>
      <c r="H603" s="297"/>
      <c r="I603" s="375"/>
    </row>
    <row r="604" spans="1:9">
      <c r="A604" s="297"/>
      <c r="B604" s="384"/>
      <c r="C604" s="385"/>
      <c r="D604" s="370"/>
      <c r="E604" s="364"/>
      <c r="F604" s="375"/>
      <c r="G604" s="365"/>
      <c r="H604" s="297"/>
      <c r="I604" s="375"/>
    </row>
    <row r="605" spans="1:9">
      <c r="A605" s="297"/>
      <c r="B605" s="384"/>
      <c r="C605" s="385"/>
      <c r="D605" s="370"/>
      <c r="E605" s="364"/>
      <c r="F605" s="375"/>
      <c r="G605" s="365"/>
      <c r="H605" s="297"/>
      <c r="I605" s="375"/>
    </row>
    <row r="606" spans="1:9">
      <c r="A606" s="297"/>
      <c r="B606" s="384"/>
      <c r="C606" s="385"/>
      <c r="D606" s="370"/>
      <c r="E606" s="364"/>
      <c r="F606" s="375"/>
      <c r="G606" s="365"/>
      <c r="H606" s="297"/>
      <c r="I606" s="375"/>
    </row>
    <row r="607" spans="1:9">
      <c r="A607" s="297"/>
      <c r="B607" s="384"/>
      <c r="C607" s="385"/>
      <c r="D607" s="370"/>
      <c r="E607" s="364"/>
      <c r="F607" s="375"/>
      <c r="G607" s="365"/>
      <c r="H607" s="297"/>
      <c r="I607" s="375"/>
    </row>
    <row r="608" spans="1:9">
      <c r="A608" s="297"/>
      <c r="B608" s="384"/>
      <c r="C608" s="385"/>
      <c r="D608" s="370"/>
      <c r="E608" s="364"/>
      <c r="F608" s="375"/>
      <c r="G608" s="365"/>
      <c r="H608" s="297"/>
      <c r="I608" s="375"/>
    </row>
    <row r="609" spans="1:9">
      <c r="A609" s="297"/>
      <c r="B609" s="384"/>
      <c r="C609" s="385"/>
      <c r="D609" s="370"/>
      <c r="E609" s="364"/>
      <c r="F609" s="375"/>
      <c r="G609" s="365"/>
      <c r="H609" s="297"/>
      <c r="I609" s="375"/>
    </row>
    <row r="610" spans="1:9">
      <c r="A610" s="297"/>
      <c r="B610" s="384"/>
      <c r="C610" s="385"/>
      <c r="D610" s="370"/>
      <c r="E610" s="364"/>
      <c r="F610" s="375"/>
      <c r="G610" s="365"/>
      <c r="H610" s="297"/>
      <c r="I610" s="375"/>
    </row>
    <row r="611" spans="1:9">
      <c r="A611" s="297"/>
      <c r="B611" s="384"/>
      <c r="C611" s="385"/>
      <c r="D611" s="370"/>
      <c r="E611" s="364"/>
      <c r="F611" s="375"/>
      <c r="G611" s="365"/>
      <c r="H611" s="297"/>
      <c r="I611" s="375"/>
    </row>
    <row r="612" spans="1:9">
      <c r="A612" s="297"/>
      <c r="B612" s="384"/>
      <c r="C612" s="385"/>
      <c r="D612" s="370"/>
      <c r="E612" s="364"/>
      <c r="F612" s="375"/>
      <c r="G612" s="365"/>
      <c r="H612" s="297"/>
      <c r="I612" s="375"/>
    </row>
    <row r="613" spans="1:9">
      <c r="A613" s="297"/>
      <c r="B613" s="384"/>
      <c r="C613" s="385"/>
      <c r="D613" s="370"/>
      <c r="E613" s="364"/>
      <c r="F613" s="375"/>
      <c r="G613" s="365"/>
      <c r="H613" s="297"/>
      <c r="I613" s="375"/>
    </row>
    <row r="614" spans="1:9">
      <c r="A614" s="297"/>
      <c r="B614" s="384"/>
      <c r="C614" s="385"/>
      <c r="D614" s="370"/>
      <c r="E614" s="364"/>
      <c r="F614" s="375"/>
      <c r="G614" s="365"/>
      <c r="H614" s="297"/>
      <c r="I614" s="375"/>
    </row>
    <row r="615" spans="1:9">
      <c r="A615" s="297"/>
      <c r="B615" s="384"/>
      <c r="C615" s="385"/>
      <c r="D615" s="370"/>
      <c r="E615" s="364"/>
      <c r="F615" s="375"/>
      <c r="G615" s="365"/>
      <c r="H615" s="297"/>
      <c r="I615" s="375"/>
    </row>
    <row r="616" spans="1:9">
      <c r="A616" s="297"/>
      <c r="B616" s="384"/>
      <c r="C616" s="385"/>
      <c r="D616" s="370"/>
      <c r="E616" s="364"/>
      <c r="F616" s="375"/>
      <c r="G616" s="365"/>
      <c r="H616" s="297"/>
      <c r="I616" s="375"/>
    </row>
    <row r="617" spans="1:9">
      <c r="A617" s="297"/>
      <c r="B617" s="384"/>
      <c r="C617" s="385"/>
      <c r="D617" s="370"/>
      <c r="E617" s="364"/>
      <c r="F617" s="375"/>
      <c r="G617" s="365"/>
      <c r="H617" s="297"/>
      <c r="I617" s="375"/>
    </row>
    <row r="618" spans="1:9">
      <c r="A618" s="297"/>
      <c r="B618" s="384"/>
      <c r="C618" s="385"/>
      <c r="D618" s="370"/>
      <c r="E618" s="364"/>
      <c r="F618" s="375"/>
      <c r="G618" s="365"/>
      <c r="H618" s="297"/>
      <c r="I618" s="375"/>
    </row>
    <row r="619" spans="1:9">
      <c r="A619" s="297"/>
      <c r="B619" s="384"/>
      <c r="C619" s="385"/>
      <c r="D619" s="370"/>
      <c r="E619" s="364"/>
      <c r="F619" s="375"/>
      <c r="G619" s="365"/>
      <c r="H619" s="297"/>
      <c r="I619" s="375"/>
    </row>
    <row r="620" spans="1:9">
      <c r="A620" s="297"/>
      <c r="B620" s="384"/>
      <c r="C620" s="385"/>
      <c r="D620" s="370"/>
      <c r="E620" s="364"/>
      <c r="F620" s="375"/>
      <c r="G620" s="365"/>
      <c r="H620" s="297"/>
      <c r="I620" s="375"/>
    </row>
    <row r="621" spans="1:9">
      <c r="A621" s="297"/>
      <c r="B621" s="384"/>
      <c r="C621" s="385"/>
      <c r="D621" s="370"/>
      <c r="E621" s="364"/>
      <c r="F621" s="375"/>
      <c r="G621" s="365"/>
      <c r="H621" s="297"/>
      <c r="I621" s="375"/>
    </row>
    <row r="622" spans="1:9">
      <c r="A622" s="297"/>
      <c r="B622" s="384"/>
      <c r="C622" s="385"/>
      <c r="D622" s="370"/>
      <c r="E622" s="364"/>
      <c r="F622" s="375"/>
      <c r="G622" s="365"/>
      <c r="H622" s="297"/>
      <c r="I622" s="375"/>
    </row>
    <row r="623" spans="1:9">
      <c r="A623" s="297"/>
      <c r="B623" s="384"/>
      <c r="C623" s="385"/>
      <c r="D623" s="370"/>
      <c r="E623" s="364"/>
      <c r="F623" s="375"/>
      <c r="G623" s="365"/>
      <c r="H623" s="297"/>
      <c r="I623" s="375"/>
    </row>
    <row r="624" spans="1:9">
      <c r="A624" s="297"/>
      <c r="B624" s="384"/>
      <c r="C624" s="385"/>
      <c r="D624" s="370"/>
      <c r="E624" s="364"/>
      <c r="F624" s="375"/>
      <c r="G624" s="365"/>
      <c r="H624" s="297"/>
      <c r="I624" s="375"/>
    </row>
    <row r="625" spans="1:9">
      <c r="A625" s="297"/>
      <c r="B625" s="384"/>
      <c r="C625" s="385"/>
      <c r="D625" s="370"/>
      <c r="E625" s="364"/>
      <c r="F625" s="375"/>
      <c r="G625" s="365"/>
      <c r="H625" s="297"/>
      <c r="I625" s="375"/>
    </row>
    <row r="626" spans="1:9">
      <c r="A626" s="297"/>
      <c r="B626" s="384"/>
      <c r="C626" s="385"/>
      <c r="D626" s="370"/>
      <c r="E626" s="364"/>
      <c r="F626" s="375"/>
      <c r="G626" s="365"/>
      <c r="H626" s="297"/>
      <c r="I626" s="375"/>
    </row>
    <row r="627" spans="1:9">
      <c r="A627" s="297"/>
      <c r="B627" s="384"/>
      <c r="C627" s="385"/>
      <c r="D627" s="370"/>
      <c r="E627" s="364"/>
      <c r="F627" s="375"/>
      <c r="G627" s="365"/>
      <c r="H627" s="297"/>
      <c r="I627" s="375"/>
    </row>
    <row r="628" spans="1:9">
      <c r="A628" s="297"/>
      <c r="B628" s="384"/>
      <c r="C628" s="385"/>
      <c r="D628" s="370"/>
      <c r="E628" s="364"/>
      <c r="F628" s="375"/>
      <c r="G628" s="365"/>
      <c r="H628" s="297"/>
      <c r="I628" s="375"/>
    </row>
    <row r="629" spans="1:9">
      <c r="A629" s="297"/>
      <c r="B629" s="384"/>
      <c r="C629" s="385"/>
      <c r="D629" s="370"/>
      <c r="E629" s="364"/>
      <c r="F629" s="375"/>
      <c r="G629" s="365"/>
      <c r="H629" s="297"/>
      <c r="I629" s="375"/>
    </row>
    <row r="630" spans="1:9">
      <c r="A630" s="297"/>
      <c r="B630" s="384"/>
      <c r="C630" s="385"/>
      <c r="D630" s="370"/>
      <c r="E630" s="364"/>
      <c r="F630" s="375"/>
      <c r="G630" s="365"/>
      <c r="H630" s="297"/>
      <c r="I630" s="375"/>
    </row>
    <row r="631" spans="1:9">
      <c r="A631" s="297"/>
      <c r="B631" s="384"/>
      <c r="C631" s="385"/>
      <c r="D631" s="370"/>
      <c r="E631" s="364"/>
      <c r="F631" s="375"/>
      <c r="G631" s="365"/>
      <c r="H631" s="297"/>
      <c r="I631" s="375"/>
    </row>
    <row r="632" spans="1:9">
      <c r="A632" s="297"/>
      <c r="B632" s="384"/>
      <c r="C632" s="385"/>
      <c r="D632" s="370"/>
      <c r="E632" s="364"/>
      <c r="F632" s="375"/>
      <c r="G632" s="365"/>
      <c r="H632" s="297"/>
      <c r="I632" s="375"/>
    </row>
    <row r="633" spans="1:9">
      <c r="A633" s="297"/>
      <c r="B633" s="384"/>
      <c r="C633" s="385"/>
      <c r="D633" s="370"/>
      <c r="E633" s="364"/>
      <c r="F633" s="375"/>
      <c r="G633" s="365"/>
      <c r="H633" s="297"/>
      <c r="I633" s="375"/>
    </row>
    <row r="634" spans="1:9">
      <c r="A634" s="297"/>
      <c r="B634" s="384"/>
      <c r="C634" s="385"/>
      <c r="D634" s="370"/>
      <c r="E634" s="364"/>
      <c r="F634" s="375"/>
      <c r="G634" s="365"/>
      <c r="H634" s="297"/>
      <c r="I634" s="375"/>
    </row>
    <row r="635" spans="1:9">
      <c r="A635" s="297"/>
      <c r="B635" s="384"/>
      <c r="C635" s="385"/>
      <c r="D635" s="370"/>
      <c r="E635" s="364"/>
      <c r="F635" s="375"/>
      <c r="G635" s="365"/>
      <c r="H635" s="297"/>
      <c r="I635" s="375"/>
    </row>
    <row r="636" spans="1:9">
      <c r="A636" s="297"/>
      <c r="B636" s="384"/>
      <c r="C636" s="385"/>
      <c r="D636" s="370"/>
      <c r="E636" s="364"/>
      <c r="F636" s="375"/>
      <c r="G636" s="365"/>
      <c r="H636" s="297"/>
      <c r="I636" s="375"/>
    </row>
    <row r="637" spans="1:9">
      <c r="A637" s="297"/>
      <c r="B637" s="384"/>
      <c r="C637" s="385"/>
      <c r="D637" s="370"/>
      <c r="E637" s="364"/>
      <c r="F637" s="375"/>
      <c r="G637" s="365"/>
      <c r="H637" s="297"/>
      <c r="I637" s="375"/>
    </row>
    <row r="638" spans="1:9">
      <c r="A638" s="297"/>
      <c r="B638" s="384"/>
      <c r="C638" s="385"/>
      <c r="D638" s="370"/>
      <c r="E638" s="364"/>
      <c r="F638" s="375"/>
      <c r="G638" s="365"/>
      <c r="H638" s="297"/>
      <c r="I638" s="375"/>
    </row>
    <row r="639" spans="1:9">
      <c r="A639" s="297"/>
      <c r="B639" s="384"/>
      <c r="C639" s="385"/>
      <c r="D639" s="370"/>
      <c r="E639" s="364"/>
      <c r="F639" s="375"/>
      <c r="G639" s="365"/>
      <c r="H639" s="297"/>
      <c r="I639" s="375"/>
    </row>
    <row r="640" spans="1:9">
      <c r="A640" s="297"/>
      <c r="B640" s="384"/>
      <c r="C640" s="385"/>
      <c r="D640" s="370"/>
      <c r="E640" s="364"/>
      <c r="F640" s="375"/>
      <c r="G640" s="365"/>
      <c r="H640" s="297"/>
      <c r="I640" s="375"/>
    </row>
    <row r="641" spans="1:9">
      <c r="A641" s="297"/>
      <c r="B641" s="384"/>
      <c r="C641" s="385"/>
      <c r="D641" s="370"/>
      <c r="E641" s="364"/>
      <c r="F641" s="375"/>
      <c r="G641" s="365"/>
      <c r="H641" s="297"/>
      <c r="I641" s="375"/>
    </row>
    <row r="642" spans="1:9">
      <c r="A642" s="297"/>
      <c r="B642" s="384"/>
      <c r="C642" s="385"/>
      <c r="D642" s="370"/>
      <c r="E642" s="364"/>
      <c r="F642" s="375"/>
      <c r="G642" s="365"/>
      <c r="H642" s="297"/>
      <c r="I642" s="375"/>
    </row>
    <row r="643" spans="1:9">
      <c r="A643" s="297"/>
      <c r="B643" s="384"/>
      <c r="C643" s="385"/>
      <c r="D643" s="370"/>
      <c r="E643" s="364"/>
      <c r="F643" s="375"/>
      <c r="G643" s="365"/>
      <c r="H643" s="297"/>
      <c r="I643" s="375"/>
    </row>
    <row r="644" spans="1:9">
      <c r="A644" s="297"/>
      <c r="B644" s="384"/>
      <c r="C644" s="385"/>
      <c r="D644" s="370"/>
      <c r="E644" s="364"/>
      <c r="F644" s="375"/>
      <c r="G644" s="365"/>
      <c r="H644" s="297"/>
      <c r="I644" s="375"/>
    </row>
    <row r="645" spans="1:9">
      <c r="A645" s="297"/>
      <c r="B645" s="384"/>
      <c r="C645" s="385"/>
      <c r="D645" s="370"/>
      <c r="E645" s="364"/>
      <c r="F645" s="375"/>
      <c r="G645" s="365"/>
      <c r="H645" s="297"/>
      <c r="I645" s="375"/>
    </row>
    <row r="646" spans="1:9">
      <c r="A646" s="297"/>
      <c r="B646" s="384"/>
      <c r="C646" s="385"/>
      <c r="D646" s="370"/>
      <c r="E646" s="364"/>
      <c r="F646" s="375"/>
      <c r="G646" s="365"/>
      <c r="H646" s="297"/>
      <c r="I646" s="375"/>
    </row>
    <row r="647" spans="1:9">
      <c r="A647" s="297"/>
      <c r="B647" s="384"/>
      <c r="C647" s="385"/>
      <c r="D647" s="370"/>
      <c r="E647" s="364"/>
      <c r="F647" s="375"/>
      <c r="G647" s="365"/>
      <c r="H647" s="297"/>
      <c r="I647" s="375"/>
    </row>
    <row r="648" spans="1:9">
      <c r="A648" s="297"/>
      <c r="B648" s="384"/>
      <c r="C648" s="385"/>
      <c r="D648" s="370"/>
      <c r="E648" s="364"/>
      <c r="F648" s="375"/>
      <c r="G648" s="365"/>
      <c r="H648" s="297"/>
      <c r="I648" s="375"/>
    </row>
    <row r="649" spans="1:9">
      <c r="A649" s="297"/>
      <c r="B649" s="384"/>
      <c r="C649" s="385"/>
      <c r="D649" s="370"/>
      <c r="E649" s="364"/>
      <c r="F649" s="375"/>
      <c r="G649" s="365"/>
      <c r="H649" s="297"/>
      <c r="I649" s="375"/>
    </row>
    <row r="650" spans="1:9">
      <c r="A650" s="297"/>
      <c r="B650" s="384"/>
      <c r="C650" s="385"/>
      <c r="D650" s="370"/>
      <c r="E650" s="364"/>
      <c r="F650" s="375"/>
      <c r="G650" s="365"/>
      <c r="H650" s="297"/>
      <c r="I650" s="375"/>
    </row>
    <row r="651" spans="1:9">
      <c r="A651" s="297"/>
      <c r="B651" s="384"/>
      <c r="C651" s="385"/>
      <c r="D651" s="370"/>
      <c r="E651" s="364"/>
      <c r="F651" s="375"/>
      <c r="G651" s="365"/>
      <c r="H651" s="297"/>
      <c r="I651" s="375"/>
    </row>
    <row r="652" spans="1:9">
      <c r="A652" s="297"/>
      <c r="B652" s="384"/>
      <c r="C652" s="385"/>
      <c r="D652" s="370"/>
      <c r="E652" s="364"/>
      <c r="F652" s="375"/>
      <c r="G652" s="365"/>
      <c r="H652" s="297"/>
      <c r="I652" s="375"/>
    </row>
    <row r="653" spans="1:9">
      <c r="A653" s="297"/>
      <c r="B653" s="384"/>
      <c r="C653" s="385"/>
      <c r="D653" s="370"/>
      <c r="E653" s="364"/>
      <c r="F653" s="375"/>
      <c r="G653" s="365"/>
      <c r="H653" s="297"/>
      <c r="I653" s="375"/>
    </row>
    <row r="654" spans="1:9">
      <c r="A654" s="297"/>
      <c r="B654" s="384"/>
      <c r="C654" s="385"/>
      <c r="D654" s="370"/>
      <c r="E654" s="364"/>
      <c r="F654" s="375"/>
      <c r="G654" s="365"/>
      <c r="H654" s="297"/>
      <c r="I654" s="375"/>
    </row>
    <row r="655" spans="1:9">
      <c r="A655" s="297"/>
      <c r="B655" s="384"/>
      <c r="C655" s="385"/>
      <c r="D655" s="370"/>
      <c r="E655" s="364"/>
      <c r="F655" s="375"/>
      <c r="G655" s="365"/>
      <c r="H655" s="297"/>
      <c r="I655" s="375"/>
    </row>
    <row r="656" spans="1:9">
      <c r="A656" s="297"/>
      <c r="B656" s="384"/>
      <c r="C656" s="385"/>
      <c r="D656" s="370"/>
      <c r="E656" s="364"/>
      <c r="F656" s="375"/>
      <c r="G656" s="365"/>
      <c r="H656" s="297"/>
      <c r="I656" s="375"/>
    </row>
    <row r="657" spans="1:9">
      <c r="A657" s="297"/>
      <c r="B657" s="384"/>
      <c r="C657" s="385"/>
      <c r="D657" s="370"/>
      <c r="E657" s="364"/>
      <c r="F657" s="375"/>
      <c r="G657" s="365"/>
      <c r="H657" s="297"/>
      <c r="I657" s="375"/>
    </row>
    <row r="658" spans="1:9">
      <c r="A658" s="297"/>
      <c r="B658" s="384"/>
      <c r="C658" s="385"/>
      <c r="D658" s="370"/>
      <c r="E658" s="364"/>
      <c r="F658" s="375"/>
      <c r="G658" s="365"/>
      <c r="H658" s="297"/>
      <c r="I658" s="375"/>
    </row>
    <row r="659" spans="1:9">
      <c r="A659" s="297"/>
      <c r="B659" s="384"/>
      <c r="C659" s="385"/>
      <c r="D659" s="370"/>
      <c r="E659" s="364"/>
      <c r="F659" s="375"/>
      <c r="G659" s="365"/>
      <c r="H659" s="297"/>
      <c r="I659" s="375"/>
    </row>
    <row r="660" spans="1:9">
      <c r="A660" s="297"/>
      <c r="B660" s="384"/>
      <c r="C660" s="385"/>
      <c r="D660" s="370"/>
      <c r="E660" s="364"/>
      <c r="F660" s="375"/>
      <c r="G660" s="365"/>
      <c r="H660" s="297"/>
      <c r="I660" s="375"/>
    </row>
    <row r="661" spans="1:9">
      <c r="A661" s="297"/>
      <c r="B661" s="384"/>
      <c r="C661" s="385"/>
      <c r="D661" s="370"/>
      <c r="E661" s="364"/>
      <c r="F661" s="375"/>
      <c r="G661" s="365"/>
      <c r="H661" s="297"/>
      <c r="I661" s="375"/>
    </row>
    <row r="662" spans="1:9">
      <c r="A662" s="297"/>
      <c r="B662" s="384"/>
      <c r="C662" s="385"/>
      <c r="D662" s="370"/>
      <c r="E662" s="364"/>
      <c r="F662" s="375"/>
      <c r="G662" s="365"/>
      <c r="H662" s="297"/>
      <c r="I662" s="375"/>
    </row>
    <row r="663" spans="1:9">
      <c r="A663" s="297"/>
      <c r="B663" s="384"/>
      <c r="C663" s="385"/>
      <c r="D663" s="370"/>
      <c r="E663" s="364"/>
      <c r="F663" s="375"/>
      <c r="G663" s="365"/>
      <c r="H663" s="297"/>
      <c r="I663" s="375"/>
    </row>
    <row r="664" spans="1:9">
      <c r="A664" s="297"/>
      <c r="B664" s="384"/>
      <c r="C664" s="385"/>
      <c r="D664" s="370"/>
      <c r="E664" s="364"/>
      <c r="F664" s="375"/>
      <c r="G664" s="365"/>
      <c r="H664" s="297"/>
      <c r="I664" s="375"/>
    </row>
    <row r="665" spans="1:9">
      <c r="A665" s="297"/>
      <c r="B665" s="384"/>
      <c r="C665" s="385"/>
      <c r="D665" s="370"/>
      <c r="E665" s="364"/>
      <c r="F665" s="375"/>
      <c r="G665" s="365"/>
      <c r="H665" s="297"/>
      <c r="I665" s="375"/>
    </row>
    <row r="666" spans="1:9">
      <c r="A666" s="297"/>
      <c r="B666" s="384"/>
      <c r="C666" s="385"/>
      <c r="D666" s="370"/>
      <c r="E666" s="364"/>
      <c r="F666" s="375"/>
      <c r="G666" s="365"/>
      <c r="H666" s="297"/>
      <c r="I666" s="375"/>
    </row>
    <row r="667" spans="1:9">
      <c r="A667" s="297"/>
      <c r="B667" s="384"/>
      <c r="C667" s="385"/>
      <c r="D667" s="370"/>
      <c r="E667" s="364"/>
      <c r="F667" s="375"/>
      <c r="G667" s="365"/>
      <c r="H667" s="297"/>
      <c r="I667" s="375"/>
    </row>
    <row r="668" spans="1:9">
      <c r="A668" s="297"/>
      <c r="B668" s="384"/>
      <c r="C668" s="385"/>
      <c r="D668" s="370"/>
      <c r="E668" s="364"/>
      <c r="F668" s="375"/>
      <c r="G668" s="365"/>
      <c r="H668" s="297"/>
      <c r="I668" s="375"/>
    </row>
    <row r="669" spans="1:9">
      <c r="A669" s="297"/>
      <c r="B669" s="384"/>
      <c r="C669" s="385"/>
      <c r="D669" s="370"/>
      <c r="E669" s="364"/>
      <c r="F669" s="375"/>
      <c r="G669" s="365"/>
      <c r="H669" s="297"/>
      <c r="I669" s="375"/>
    </row>
    <row r="670" spans="1:9">
      <c r="A670" s="297"/>
      <c r="B670" s="384"/>
      <c r="C670" s="385"/>
      <c r="D670" s="370"/>
      <c r="E670" s="364"/>
      <c r="F670" s="375"/>
      <c r="G670" s="365"/>
      <c r="H670" s="297"/>
      <c r="I670" s="375"/>
    </row>
    <row r="671" spans="1:9">
      <c r="A671" s="297"/>
      <c r="B671" s="384"/>
      <c r="C671" s="385"/>
      <c r="D671" s="370"/>
      <c r="E671" s="364"/>
      <c r="F671" s="375"/>
      <c r="G671" s="365"/>
      <c r="H671" s="297"/>
      <c r="I671" s="375"/>
    </row>
    <row r="672" spans="1:9">
      <c r="A672" s="297"/>
      <c r="B672" s="384"/>
      <c r="C672" s="385"/>
      <c r="D672" s="370"/>
      <c r="E672" s="364"/>
      <c r="F672" s="375"/>
      <c r="G672" s="365"/>
      <c r="H672" s="297"/>
      <c r="I672" s="375"/>
    </row>
    <row r="673" spans="1:9">
      <c r="A673" s="297"/>
      <c r="B673" s="384"/>
      <c r="C673" s="385"/>
      <c r="D673" s="370"/>
      <c r="E673" s="364"/>
      <c r="F673" s="375"/>
      <c r="G673" s="365"/>
      <c r="H673" s="297"/>
      <c r="I673" s="375"/>
    </row>
    <row r="674" spans="1:9">
      <c r="A674" s="297"/>
      <c r="B674" s="384"/>
      <c r="C674" s="385"/>
      <c r="D674" s="370"/>
      <c r="E674" s="364"/>
      <c r="F674" s="375"/>
      <c r="G674" s="365"/>
      <c r="H674" s="297"/>
      <c r="I674" s="375"/>
    </row>
    <row r="675" spans="1:9">
      <c r="A675" s="297"/>
      <c r="B675" s="384"/>
      <c r="C675" s="385"/>
      <c r="D675" s="370"/>
      <c r="E675" s="364"/>
      <c r="F675" s="375"/>
      <c r="G675" s="365"/>
      <c r="H675" s="297"/>
      <c r="I675" s="375"/>
    </row>
    <row r="676" spans="1:9">
      <c r="A676" s="297"/>
      <c r="B676" s="384"/>
      <c r="C676" s="385"/>
      <c r="D676" s="370"/>
      <c r="E676" s="364"/>
      <c r="F676" s="375"/>
      <c r="G676" s="365"/>
      <c r="H676" s="297"/>
      <c r="I676" s="375"/>
    </row>
    <row r="677" spans="1:9">
      <c r="A677" s="297"/>
      <c r="B677" s="384"/>
      <c r="C677" s="385"/>
      <c r="D677" s="370"/>
      <c r="E677" s="364"/>
      <c r="F677" s="375"/>
      <c r="G677" s="365"/>
      <c r="H677" s="297"/>
      <c r="I677" s="375"/>
    </row>
    <row r="678" spans="1:9">
      <c r="A678" s="297"/>
      <c r="B678" s="384"/>
      <c r="C678" s="385"/>
      <c r="D678" s="370"/>
      <c r="E678" s="364"/>
      <c r="F678" s="375"/>
      <c r="G678" s="365"/>
      <c r="H678" s="297"/>
      <c r="I678" s="375"/>
    </row>
    <row r="679" spans="1:9">
      <c r="A679" s="297"/>
      <c r="B679" s="384"/>
      <c r="C679" s="385"/>
      <c r="D679" s="370"/>
      <c r="E679" s="364"/>
      <c r="F679" s="375"/>
      <c r="G679" s="365"/>
      <c r="H679" s="297"/>
      <c r="I679" s="375"/>
    </row>
    <row r="680" spans="1:9">
      <c r="A680" s="297"/>
      <c r="B680" s="384"/>
      <c r="C680" s="385"/>
      <c r="D680" s="370"/>
      <c r="E680" s="364"/>
      <c r="F680" s="375"/>
      <c r="G680" s="365"/>
      <c r="H680" s="297"/>
      <c r="I680" s="375"/>
    </row>
    <row r="681" spans="1:9">
      <c r="A681" s="297"/>
      <c r="B681" s="384"/>
      <c r="C681" s="385"/>
      <c r="D681" s="370"/>
      <c r="E681" s="364"/>
      <c r="F681" s="375"/>
      <c r="G681" s="365"/>
      <c r="H681" s="297"/>
      <c r="I681" s="375"/>
    </row>
    <row r="682" spans="1:9">
      <c r="A682" s="297"/>
      <c r="B682" s="384"/>
      <c r="C682" s="385"/>
      <c r="D682" s="370"/>
      <c r="E682" s="364"/>
      <c r="F682" s="375"/>
      <c r="G682" s="365"/>
      <c r="H682" s="297"/>
      <c r="I682" s="375"/>
    </row>
    <row r="683" spans="1:9">
      <c r="A683" s="297"/>
      <c r="B683" s="384"/>
      <c r="C683" s="385"/>
      <c r="D683" s="370"/>
      <c r="E683" s="364"/>
      <c r="F683" s="375"/>
      <c r="G683" s="365"/>
      <c r="H683" s="297"/>
      <c r="I683" s="375"/>
    </row>
    <row r="684" spans="1:9">
      <c r="A684" s="297"/>
      <c r="B684" s="384"/>
      <c r="C684" s="385"/>
      <c r="D684" s="370"/>
      <c r="E684" s="364"/>
      <c r="F684" s="375"/>
      <c r="G684" s="365"/>
      <c r="H684" s="297"/>
      <c r="I684" s="375"/>
    </row>
    <row r="685" spans="1:9">
      <c r="A685" s="297"/>
      <c r="B685" s="384"/>
      <c r="C685" s="385"/>
      <c r="D685" s="370"/>
      <c r="E685" s="364"/>
      <c r="F685" s="375"/>
      <c r="G685" s="365"/>
      <c r="H685" s="297"/>
      <c r="I685" s="375"/>
    </row>
    <row r="686" spans="1:9">
      <c r="A686" s="297"/>
      <c r="B686" s="384"/>
      <c r="C686" s="385"/>
      <c r="D686" s="370"/>
      <c r="E686" s="364"/>
      <c r="F686" s="375"/>
      <c r="G686" s="365"/>
      <c r="H686" s="297"/>
      <c r="I686" s="375"/>
    </row>
    <row r="687" spans="1:9">
      <c r="A687" s="297"/>
      <c r="B687" s="384"/>
      <c r="C687" s="385"/>
      <c r="D687" s="370"/>
      <c r="E687" s="364"/>
      <c r="F687" s="375"/>
      <c r="G687" s="365"/>
      <c r="H687" s="297"/>
      <c r="I687" s="375"/>
    </row>
    <row r="688" spans="1:9">
      <c r="A688" s="297"/>
      <c r="B688" s="384"/>
      <c r="C688" s="385"/>
      <c r="D688" s="370"/>
      <c r="E688" s="364"/>
      <c r="F688" s="375"/>
      <c r="G688" s="365"/>
      <c r="H688" s="297"/>
      <c r="I688" s="375"/>
    </row>
    <row r="689" spans="1:9">
      <c r="A689" s="297"/>
      <c r="B689" s="384"/>
      <c r="C689" s="385"/>
      <c r="D689" s="370"/>
      <c r="E689" s="364"/>
      <c r="F689" s="375"/>
      <c r="G689" s="365"/>
      <c r="H689" s="297"/>
      <c r="I689" s="375"/>
    </row>
    <row r="690" spans="1:9">
      <c r="A690" s="297"/>
      <c r="B690" s="384"/>
      <c r="C690" s="385"/>
      <c r="D690" s="370"/>
      <c r="E690" s="364"/>
      <c r="F690" s="375"/>
      <c r="G690" s="365"/>
      <c r="H690" s="297"/>
      <c r="I690" s="375"/>
    </row>
    <row r="691" spans="1:9">
      <c r="A691" s="297"/>
      <c r="B691" s="384"/>
      <c r="C691" s="385"/>
      <c r="D691" s="370"/>
      <c r="E691" s="364"/>
      <c r="F691" s="375"/>
      <c r="G691" s="365"/>
      <c r="H691" s="297"/>
      <c r="I691" s="375"/>
    </row>
    <row r="692" spans="1:9">
      <c r="A692" s="297"/>
      <c r="B692" s="384"/>
      <c r="C692" s="385"/>
      <c r="D692" s="370"/>
      <c r="E692" s="364"/>
      <c r="F692" s="375"/>
      <c r="G692" s="365"/>
      <c r="H692" s="297"/>
      <c r="I692" s="375"/>
    </row>
    <row r="693" spans="1:9">
      <c r="A693" s="297"/>
      <c r="B693" s="384"/>
      <c r="C693" s="385"/>
      <c r="D693" s="370"/>
      <c r="E693" s="364"/>
      <c r="F693" s="375"/>
      <c r="G693" s="365"/>
      <c r="H693" s="297"/>
      <c r="I693" s="375"/>
    </row>
    <row r="694" spans="1:9">
      <c r="A694" s="297"/>
      <c r="B694" s="384"/>
      <c r="C694" s="385"/>
      <c r="D694" s="370"/>
      <c r="E694" s="364"/>
      <c r="F694" s="375"/>
      <c r="G694" s="365"/>
      <c r="H694" s="297"/>
      <c r="I694" s="375"/>
    </row>
    <row r="695" spans="1:9">
      <c r="A695" s="297"/>
      <c r="B695" s="384"/>
      <c r="C695" s="385"/>
      <c r="D695" s="370"/>
      <c r="E695" s="364"/>
      <c r="F695" s="375"/>
      <c r="G695" s="365"/>
      <c r="H695" s="297"/>
      <c r="I695" s="375"/>
    </row>
    <row r="696" spans="1:9">
      <c r="A696" s="297"/>
      <c r="B696" s="384"/>
      <c r="C696" s="385"/>
      <c r="D696" s="370"/>
      <c r="E696" s="364"/>
      <c r="F696" s="375"/>
      <c r="G696" s="365"/>
      <c r="H696" s="297"/>
      <c r="I696" s="375"/>
    </row>
    <row r="697" spans="1:9">
      <c r="A697" s="297"/>
      <c r="B697" s="384"/>
      <c r="C697" s="385"/>
      <c r="D697" s="370"/>
      <c r="E697" s="364"/>
      <c r="F697" s="375"/>
      <c r="G697" s="365"/>
      <c r="H697" s="297"/>
      <c r="I697" s="375"/>
    </row>
    <row r="698" spans="1:9">
      <c r="A698" s="297"/>
      <c r="B698" s="384"/>
      <c r="C698" s="385"/>
      <c r="D698" s="370"/>
      <c r="E698" s="364"/>
      <c r="F698" s="375"/>
      <c r="G698" s="365"/>
      <c r="H698" s="297"/>
      <c r="I698" s="375"/>
    </row>
    <row r="699" spans="1:9">
      <c r="A699" s="297"/>
      <c r="B699" s="384"/>
      <c r="C699" s="385"/>
      <c r="D699" s="370"/>
      <c r="E699" s="364"/>
      <c r="F699" s="375"/>
      <c r="G699" s="365"/>
      <c r="H699" s="297"/>
      <c r="I699" s="375"/>
    </row>
    <row r="700" spans="1:9">
      <c r="A700" s="297"/>
      <c r="B700" s="384"/>
      <c r="C700" s="385"/>
      <c r="D700" s="370"/>
      <c r="E700" s="364"/>
      <c r="F700" s="375"/>
      <c r="G700" s="365"/>
      <c r="H700" s="297"/>
      <c r="I700" s="375"/>
    </row>
    <row r="701" spans="1:9">
      <c r="A701" s="297"/>
      <c r="B701" s="384"/>
      <c r="C701" s="385"/>
      <c r="D701" s="370"/>
      <c r="E701" s="364"/>
      <c r="F701" s="375"/>
      <c r="G701" s="365"/>
      <c r="H701" s="297"/>
      <c r="I701" s="375"/>
    </row>
    <row r="702" spans="1:9">
      <c r="A702" s="297"/>
      <c r="B702" s="384"/>
      <c r="C702" s="385"/>
      <c r="D702" s="370"/>
      <c r="E702" s="364"/>
      <c r="F702" s="375"/>
      <c r="G702" s="365"/>
      <c r="H702" s="297"/>
      <c r="I702" s="375"/>
    </row>
    <row r="703" spans="1:9">
      <c r="A703" s="297"/>
      <c r="B703" s="384"/>
      <c r="C703" s="385"/>
      <c r="D703" s="370"/>
      <c r="E703" s="364"/>
      <c r="F703" s="375"/>
      <c r="G703" s="365"/>
      <c r="H703" s="297"/>
      <c r="I703" s="375"/>
    </row>
    <row r="704" spans="1:9">
      <c r="A704" s="297"/>
      <c r="B704" s="384"/>
      <c r="C704" s="385"/>
      <c r="D704" s="370"/>
      <c r="E704" s="364"/>
      <c r="F704" s="375"/>
      <c r="G704" s="365"/>
      <c r="H704" s="297"/>
      <c r="I704" s="375"/>
    </row>
    <row r="705" spans="1:9">
      <c r="A705" s="297"/>
      <c r="B705" s="384"/>
      <c r="C705" s="385"/>
      <c r="D705" s="370"/>
      <c r="E705" s="364"/>
      <c r="F705" s="375"/>
      <c r="G705" s="365"/>
      <c r="H705" s="297"/>
      <c r="I705" s="375"/>
    </row>
    <row r="706" spans="1:9">
      <c r="A706" s="297"/>
      <c r="B706" s="384"/>
      <c r="C706" s="385"/>
      <c r="D706" s="370"/>
      <c r="E706" s="364"/>
      <c r="F706" s="375"/>
      <c r="G706" s="365"/>
      <c r="H706" s="297"/>
      <c r="I706" s="375"/>
    </row>
    <row r="707" spans="1:9">
      <c r="A707" s="297"/>
      <c r="B707" s="384"/>
      <c r="C707" s="385"/>
      <c r="D707" s="370"/>
      <c r="E707" s="364"/>
      <c r="F707" s="375"/>
      <c r="G707" s="365"/>
      <c r="H707" s="297"/>
      <c r="I707" s="375"/>
    </row>
    <row r="708" spans="1:9">
      <c r="A708" s="297"/>
      <c r="B708" s="384"/>
      <c r="C708" s="385"/>
      <c r="D708" s="370"/>
      <c r="E708" s="364"/>
      <c r="F708" s="375"/>
      <c r="G708" s="365"/>
      <c r="H708" s="297"/>
      <c r="I708" s="375"/>
    </row>
    <row r="709" spans="1:9">
      <c r="A709" s="297"/>
      <c r="B709" s="384"/>
      <c r="C709" s="385"/>
      <c r="D709" s="370"/>
      <c r="E709" s="364"/>
      <c r="F709" s="375"/>
      <c r="G709" s="365"/>
      <c r="H709" s="297"/>
      <c r="I709" s="375"/>
    </row>
    <row r="710" spans="1:9">
      <c r="A710" s="297"/>
      <c r="B710" s="384"/>
      <c r="C710" s="385"/>
      <c r="D710" s="370"/>
      <c r="E710" s="364"/>
      <c r="F710" s="375"/>
      <c r="G710" s="365"/>
      <c r="H710" s="297"/>
      <c r="I710" s="375"/>
    </row>
    <row r="711" spans="1:9">
      <c r="A711" s="297"/>
      <c r="B711" s="384"/>
      <c r="C711" s="385"/>
      <c r="D711" s="370"/>
      <c r="E711" s="364"/>
      <c r="F711" s="375"/>
      <c r="G711" s="365"/>
      <c r="H711" s="297"/>
      <c r="I711" s="375"/>
    </row>
    <row r="712" spans="1:9">
      <c r="A712" s="297"/>
      <c r="B712" s="384"/>
      <c r="C712" s="385"/>
      <c r="D712" s="370"/>
      <c r="E712" s="364"/>
      <c r="F712" s="375"/>
      <c r="G712" s="365"/>
      <c r="H712" s="297"/>
      <c r="I712" s="375"/>
    </row>
    <row r="713" spans="1:9">
      <c r="A713" s="297"/>
      <c r="B713" s="384"/>
      <c r="C713" s="385"/>
      <c r="D713" s="370"/>
      <c r="E713" s="364"/>
      <c r="F713" s="375"/>
      <c r="G713" s="365"/>
      <c r="H713" s="297"/>
      <c r="I713" s="375"/>
    </row>
    <row r="714" spans="1:9">
      <c r="A714" s="297"/>
      <c r="B714" s="384"/>
      <c r="C714" s="385"/>
      <c r="D714" s="370"/>
      <c r="E714" s="364"/>
      <c r="F714" s="375"/>
      <c r="G714" s="365"/>
      <c r="H714" s="297"/>
      <c r="I714" s="375"/>
    </row>
    <row r="715" spans="1:9">
      <c r="A715" s="297"/>
      <c r="B715" s="384"/>
      <c r="C715" s="385"/>
      <c r="D715" s="370"/>
      <c r="E715" s="364"/>
      <c r="F715" s="375"/>
      <c r="G715" s="365"/>
      <c r="H715" s="297"/>
      <c r="I715" s="375"/>
    </row>
    <row r="716" spans="1:9">
      <c r="A716" s="297"/>
      <c r="B716" s="384"/>
      <c r="C716" s="385"/>
      <c r="D716" s="370"/>
      <c r="E716" s="364"/>
      <c r="F716" s="375"/>
      <c r="G716" s="365"/>
      <c r="H716" s="297"/>
      <c r="I716" s="375"/>
    </row>
    <row r="717" spans="1:9">
      <c r="A717" s="297"/>
      <c r="B717" s="384"/>
      <c r="C717" s="385"/>
      <c r="D717" s="370"/>
      <c r="E717" s="364"/>
      <c r="F717" s="375"/>
      <c r="G717" s="365"/>
      <c r="H717" s="297"/>
      <c r="I717" s="375"/>
    </row>
    <row r="718" spans="1:9">
      <c r="A718" s="297"/>
      <c r="B718" s="384"/>
      <c r="C718" s="385"/>
      <c r="D718" s="370"/>
      <c r="E718" s="364"/>
      <c r="F718" s="375"/>
      <c r="G718" s="365"/>
      <c r="H718" s="297"/>
      <c r="I718" s="375"/>
    </row>
    <row r="719" spans="1:9">
      <c r="A719" s="297"/>
      <c r="B719" s="384"/>
      <c r="C719" s="385"/>
      <c r="D719" s="370"/>
      <c r="E719" s="364"/>
      <c r="F719" s="375"/>
      <c r="G719" s="365"/>
      <c r="H719" s="297"/>
      <c r="I719" s="375"/>
    </row>
    <row r="720" spans="1:9">
      <c r="A720" s="297"/>
      <c r="B720" s="384"/>
      <c r="C720" s="385"/>
      <c r="D720" s="370"/>
      <c r="E720" s="364"/>
      <c r="F720" s="375"/>
      <c r="G720" s="365"/>
      <c r="H720" s="297"/>
      <c r="I720" s="375"/>
    </row>
    <row r="721" spans="1:9">
      <c r="A721" s="297"/>
      <c r="B721" s="384"/>
      <c r="C721" s="385"/>
      <c r="D721" s="370"/>
      <c r="E721" s="364"/>
      <c r="F721" s="375"/>
      <c r="G721" s="365"/>
      <c r="H721" s="297"/>
      <c r="I721" s="375"/>
    </row>
    <row r="722" spans="1:9">
      <c r="A722" s="297"/>
      <c r="B722" s="384"/>
      <c r="C722" s="385"/>
      <c r="D722" s="370"/>
      <c r="E722" s="364"/>
      <c r="F722" s="375"/>
      <c r="G722" s="365"/>
      <c r="H722" s="297"/>
      <c r="I722" s="375"/>
    </row>
    <row r="723" spans="1:9">
      <c r="A723" s="297"/>
      <c r="B723" s="384"/>
      <c r="C723" s="385"/>
      <c r="D723" s="370"/>
      <c r="E723" s="364"/>
      <c r="F723" s="375"/>
      <c r="G723" s="365"/>
      <c r="H723" s="297"/>
      <c r="I723" s="375"/>
    </row>
    <row r="724" spans="1:9">
      <c r="A724" s="297"/>
      <c r="B724" s="384"/>
      <c r="C724" s="385"/>
      <c r="D724" s="370"/>
      <c r="E724" s="364"/>
      <c r="F724" s="375"/>
      <c r="G724" s="365"/>
      <c r="H724" s="297"/>
      <c r="I724" s="375"/>
    </row>
    <row r="725" spans="1:9">
      <c r="A725" s="297"/>
      <c r="B725" s="384"/>
      <c r="C725" s="385"/>
      <c r="D725" s="370"/>
      <c r="E725" s="364"/>
      <c r="F725" s="375"/>
      <c r="G725" s="365"/>
      <c r="H725" s="297"/>
      <c r="I725" s="375"/>
    </row>
    <row r="726" spans="1:9">
      <c r="A726" s="297"/>
      <c r="B726" s="384"/>
      <c r="C726" s="385"/>
      <c r="D726" s="370"/>
      <c r="E726" s="364"/>
      <c r="F726" s="375"/>
      <c r="G726" s="365"/>
      <c r="H726" s="297"/>
      <c r="I726" s="375"/>
    </row>
    <row r="727" spans="1:9">
      <c r="A727" s="297"/>
      <c r="B727" s="384"/>
      <c r="C727" s="385"/>
      <c r="D727" s="370"/>
      <c r="E727" s="364"/>
      <c r="F727" s="375"/>
      <c r="G727" s="365"/>
      <c r="H727" s="297"/>
      <c r="I727" s="375"/>
    </row>
    <row r="728" spans="1:9">
      <c r="A728" s="297"/>
      <c r="B728" s="384"/>
      <c r="C728" s="385"/>
      <c r="D728" s="370"/>
      <c r="E728" s="364"/>
      <c r="F728" s="375"/>
      <c r="G728" s="365"/>
      <c r="H728" s="297"/>
      <c r="I728" s="375"/>
    </row>
    <row r="729" spans="1:9">
      <c r="A729" s="297"/>
      <c r="B729" s="384"/>
      <c r="C729" s="385"/>
      <c r="D729" s="370"/>
      <c r="E729" s="364"/>
      <c r="F729" s="375"/>
      <c r="G729" s="365"/>
      <c r="H729" s="297"/>
      <c r="I729" s="375"/>
    </row>
    <row r="730" spans="1:9">
      <c r="A730" s="297"/>
      <c r="B730" s="384"/>
      <c r="C730" s="385"/>
      <c r="D730" s="370"/>
      <c r="E730" s="364"/>
      <c r="F730" s="375"/>
      <c r="G730" s="365"/>
      <c r="H730" s="297"/>
      <c r="I730" s="375"/>
    </row>
    <row r="731" spans="1:9">
      <c r="A731" s="297"/>
      <c r="B731" s="384"/>
      <c r="C731" s="385"/>
      <c r="D731" s="370"/>
      <c r="E731" s="364"/>
      <c r="F731" s="375"/>
      <c r="G731" s="365"/>
      <c r="H731" s="297"/>
      <c r="I731" s="375"/>
    </row>
    <row r="732" spans="1:9">
      <c r="A732" s="297"/>
      <c r="B732" s="384"/>
      <c r="C732" s="385"/>
      <c r="D732" s="370"/>
      <c r="E732" s="364"/>
      <c r="F732" s="375"/>
      <c r="G732" s="365"/>
      <c r="H732" s="297"/>
      <c r="I732" s="375"/>
    </row>
    <row r="733" spans="1:9">
      <c r="A733" s="297"/>
      <c r="B733" s="384"/>
      <c r="C733" s="385"/>
      <c r="D733" s="370"/>
      <c r="E733" s="364"/>
      <c r="F733" s="375"/>
      <c r="G733" s="365"/>
      <c r="H733" s="297"/>
      <c r="I733" s="375"/>
    </row>
    <row r="734" spans="1:9">
      <c r="A734" s="297"/>
      <c r="B734" s="384"/>
      <c r="C734" s="385"/>
      <c r="D734" s="370"/>
      <c r="E734" s="364"/>
      <c r="F734" s="375"/>
      <c r="G734" s="365"/>
      <c r="H734" s="297"/>
      <c r="I734" s="375"/>
    </row>
    <row r="735" spans="1:9">
      <c r="A735" s="297"/>
      <c r="B735" s="384"/>
      <c r="C735" s="385"/>
      <c r="D735" s="370"/>
      <c r="E735" s="364"/>
      <c r="F735" s="375"/>
      <c r="G735" s="365"/>
      <c r="H735" s="297"/>
      <c r="I735" s="375"/>
    </row>
    <row r="736" spans="1:9">
      <c r="A736" s="297"/>
      <c r="B736" s="384"/>
      <c r="C736" s="385"/>
      <c r="D736" s="370"/>
      <c r="E736" s="364"/>
      <c r="F736" s="375"/>
      <c r="G736" s="365"/>
      <c r="H736" s="297"/>
      <c r="I736" s="375"/>
    </row>
    <row r="737" spans="1:9">
      <c r="A737" s="297"/>
      <c r="B737" s="384"/>
      <c r="C737" s="385"/>
      <c r="D737" s="370"/>
      <c r="E737" s="364"/>
      <c r="F737" s="375"/>
      <c r="G737" s="365"/>
      <c r="H737" s="297"/>
      <c r="I737" s="375"/>
    </row>
    <row r="738" spans="1:9">
      <c r="A738" s="297"/>
      <c r="B738" s="384"/>
      <c r="C738" s="385"/>
      <c r="D738" s="370"/>
      <c r="E738" s="364"/>
      <c r="F738" s="375"/>
      <c r="G738" s="365"/>
      <c r="H738" s="297"/>
      <c r="I738" s="375"/>
    </row>
    <row r="739" spans="1:9">
      <c r="A739" s="297"/>
      <c r="B739" s="384"/>
      <c r="C739" s="385"/>
      <c r="D739" s="370"/>
      <c r="E739" s="364"/>
      <c r="F739" s="375"/>
      <c r="G739" s="365"/>
      <c r="H739" s="297"/>
      <c r="I739" s="375"/>
    </row>
    <row r="740" spans="1:9">
      <c r="A740" s="297"/>
      <c r="B740" s="384"/>
      <c r="C740" s="385"/>
      <c r="D740" s="370"/>
      <c r="E740" s="364"/>
      <c r="F740" s="375"/>
      <c r="G740" s="365"/>
      <c r="H740" s="297"/>
      <c r="I740" s="375"/>
    </row>
    <row r="741" spans="1:9">
      <c r="A741" s="297"/>
      <c r="B741" s="384"/>
      <c r="C741" s="385"/>
      <c r="D741" s="370"/>
      <c r="E741" s="364"/>
      <c r="F741" s="375"/>
      <c r="G741" s="365"/>
      <c r="H741" s="297"/>
      <c r="I741" s="375"/>
    </row>
    <row r="742" spans="1:9">
      <c r="A742" s="297"/>
      <c r="B742" s="384"/>
      <c r="C742" s="385"/>
      <c r="D742" s="370"/>
      <c r="E742" s="364"/>
      <c r="F742" s="375"/>
      <c r="G742" s="365"/>
      <c r="H742" s="297"/>
      <c r="I742" s="375"/>
    </row>
    <row r="743" spans="1:9">
      <c r="A743" s="297"/>
      <c r="B743" s="384"/>
      <c r="C743" s="385"/>
      <c r="D743" s="370"/>
      <c r="E743" s="364"/>
      <c r="F743" s="375"/>
      <c r="G743" s="365"/>
      <c r="H743" s="297"/>
      <c r="I743" s="375"/>
    </row>
    <row r="744" spans="1:9">
      <c r="A744" s="297"/>
      <c r="B744" s="384"/>
      <c r="C744" s="385"/>
      <c r="D744" s="370"/>
      <c r="E744" s="364"/>
      <c r="F744" s="375"/>
      <c r="G744" s="365"/>
      <c r="H744" s="297"/>
      <c r="I744" s="375"/>
    </row>
    <row r="745" spans="1:9">
      <c r="A745" s="297"/>
      <c r="B745" s="384"/>
      <c r="C745" s="385"/>
      <c r="D745" s="370"/>
      <c r="E745" s="364"/>
      <c r="F745" s="375"/>
      <c r="G745" s="365"/>
      <c r="H745" s="297"/>
      <c r="I745" s="375"/>
    </row>
    <row r="746" spans="1:9">
      <c r="A746" s="297"/>
      <c r="B746" s="384"/>
      <c r="C746" s="385"/>
      <c r="D746" s="370"/>
      <c r="E746" s="364"/>
      <c r="F746" s="375"/>
      <c r="G746" s="365"/>
      <c r="H746" s="297"/>
      <c r="I746" s="375"/>
    </row>
    <row r="747" spans="1:9">
      <c r="A747" s="297"/>
      <c r="B747" s="384"/>
      <c r="C747" s="385"/>
      <c r="D747" s="370"/>
      <c r="E747" s="364"/>
      <c r="F747" s="375"/>
      <c r="G747" s="365"/>
      <c r="H747" s="297"/>
      <c r="I747" s="375"/>
    </row>
    <row r="748" spans="1:9">
      <c r="A748" s="297"/>
      <c r="B748" s="384"/>
      <c r="C748" s="385"/>
      <c r="D748" s="370"/>
      <c r="E748" s="364"/>
      <c r="F748" s="375"/>
      <c r="G748" s="365"/>
      <c r="H748" s="297"/>
      <c r="I748" s="375"/>
    </row>
    <row r="749" spans="1:9">
      <c r="A749" s="297"/>
      <c r="B749" s="384"/>
      <c r="C749" s="385"/>
      <c r="D749" s="370"/>
      <c r="E749" s="364"/>
      <c r="F749" s="375"/>
      <c r="G749" s="365"/>
      <c r="H749" s="297"/>
      <c r="I749" s="375"/>
    </row>
    <row r="750" spans="1:9">
      <c r="A750" s="297"/>
      <c r="B750" s="384"/>
      <c r="C750" s="385"/>
      <c r="D750" s="370"/>
      <c r="E750" s="364"/>
      <c r="F750" s="375"/>
      <c r="G750" s="365"/>
      <c r="H750" s="297"/>
      <c r="I750" s="375"/>
    </row>
    <row r="751" spans="1:9">
      <c r="A751" s="297"/>
      <c r="B751" s="384"/>
      <c r="C751" s="385"/>
      <c r="D751" s="370"/>
      <c r="E751" s="364"/>
      <c r="F751" s="375"/>
      <c r="G751" s="365"/>
      <c r="H751" s="297"/>
      <c r="I751" s="375"/>
    </row>
    <row r="752" spans="1:9">
      <c r="A752" s="297"/>
      <c r="B752" s="384"/>
      <c r="C752" s="385"/>
      <c r="D752" s="370"/>
      <c r="E752" s="364"/>
      <c r="F752" s="375"/>
      <c r="G752" s="365"/>
      <c r="H752" s="297"/>
      <c r="I752" s="375"/>
    </row>
    <row r="753" spans="1:9">
      <c r="A753" s="297"/>
      <c r="B753" s="384"/>
      <c r="C753" s="385"/>
      <c r="D753" s="370"/>
      <c r="E753" s="364"/>
      <c r="F753" s="375"/>
      <c r="G753" s="365"/>
      <c r="H753" s="297"/>
      <c r="I753" s="375"/>
    </row>
    <row r="754" spans="1:9">
      <c r="A754" s="297"/>
      <c r="B754" s="384"/>
      <c r="C754" s="385"/>
      <c r="D754" s="370"/>
      <c r="E754" s="364"/>
      <c r="F754" s="375"/>
      <c r="G754" s="365"/>
      <c r="H754" s="297"/>
      <c r="I754" s="375"/>
    </row>
    <row r="755" spans="1:9">
      <c r="A755" s="297"/>
      <c r="B755" s="384"/>
      <c r="C755" s="385"/>
      <c r="D755" s="370"/>
      <c r="E755" s="364"/>
      <c r="F755" s="375"/>
      <c r="G755" s="365"/>
      <c r="H755" s="297"/>
      <c r="I755" s="375"/>
    </row>
    <row r="756" spans="1:9">
      <c r="A756" s="297"/>
      <c r="B756" s="384"/>
      <c r="C756" s="385"/>
      <c r="D756" s="370"/>
      <c r="E756" s="364"/>
      <c r="F756" s="375"/>
      <c r="G756" s="365"/>
      <c r="H756" s="297"/>
      <c r="I756" s="375"/>
    </row>
    <row r="757" spans="1:9">
      <c r="A757" s="297"/>
      <c r="B757" s="384"/>
      <c r="C757" s="385"/>
      <c r="D757" s="370"/>
      <c r="E757" s="364"/>
      <c r="F757" s="375"/>
      <c r="G757" s="365"/>
      <c r="H757" s="297"/>
      <c r="I757" s="375"/>
    </row>
    <row r="758" spans="1:9">
      <c r="A758" s="297"/>
      <c r="B758" s="384"/>
      <c r="C758" s="385"/>
      <c r="D758" s="370"/>
      <c r="E758" s="364"/>
      <c r="F758" s="375"/>
      <c r="G758" s="365"/>
      <c r="H758" s="297"/>
      <c r="I758" s="375"/>
    </row>
    <row r="759" spans="1:9">
      <c r="A759" s="297"/>
      <c r="B759" s="384"/>
      <c r="C759" s="385"/>
      <c r="D759" s="370"/>
      <c r="E759" s="364"/>
      <c r="F759" s="375"/>
      <c r="G759" s="365"/>
      <c r="H759" s="297"/>
      <c r="I759" s="375"/>
    </row>
    <row r="760" spans="1:9">
      <c r="A760" s="297"/>
      <c r="B760" s="384"/>
      <c r="C760" s="385"/>
      <c r="D760" s="370"/>
      <c r="E760" s="364"/>
      <c r="F760" s="375"/>
      <c r="G760" s="365"/>
      <c r="H760" s="297"/>
      <c r="I760" s="375"/>
    </row>
    <row r="761" spans="1:9">
      <c r="A761" s="297"/>
      <c r="B761" s="384"/>
      <c r="C761" s="385"/>
      <c r="D761" s="370"/>
      <c r="E761" s="364"/>
      <c r="F761" s="375"/>
      <c r="G761" s="365"/>
      <c r="H761" s="297"/>
      <c r="I761" s="375"/>
    </row>
    <row r="762" spans="1:9">
      <c r="A762" s="297"/>
      <c r="B762" s="384"/>
      <c r="C762" s="385"/>
      <c r="D762" s="370"/>
      <c r="E762" s="364"/>
      <c r="F762" s="375"/>
      <c r="G762" s="365"/>
      <c r="H762" s="297"/>
      <c r="I762" s="375"/>
    </row>
    <row r="763" spans="1:9">
      <c r="A763" s="297"/>
      <c r="B763" s="384"/>
      <c r="C763" s="385"/>
      <c r="D763" s="370"/>
      <c r="E763" s="364"/>
      <c r="F763" s="375"/>
      <c r="G763" s="365"/>
      <c r="H763" s="297"/>
      <c r="I763" s="375"/>
    </row>
    <row r="764" spans="1:9">
      <c r="A764" s="297"/>
      <c r="B764" s="384"/>
      <c r="C764" s="385"/>
      <c r="D764" s="370"/>
      <c r="E764" s="364"/>
      <c r="F764" s="375"/>
      <c r="G764" s="365"/>
      <c r="H764" s="297"/>
      <c r="I764" s="375"/>
    </row>
    <row r="765" spans="1:9">
      <c r="A765" s="297"/>
      <c r="B765" s="384"/>
      <c r="C765" s="385"/>
      <c r="D765" s="370"/>
      <c r="E765" s="364"/>
      <c r="F765" s="375"/>
      <c r="G765" s="365"/>
      <c r="H765" s="297"/>
      <c r="I765" s="375"/>
    </row>
    <row r="766" spans="1:9">
      <c r="A766" s="297"/>
      <c r="B766" s="384"/>
      <c r="C766" s="385"/>
      <c r="D766" s="370"/>
      <c r="E766" s="364"/>
      <c r="F766" s="375"/>
      <c r="G766" s="365"/>
      <c r="H766" s="297"/>
      <c r="I766" s="375"/>
    </row>
    <row r="767" spans="1:9">
      <c r="A767" s="297"/>
      <c r="B767" s="384"/>
      <c r="C767" s="385"/>
      <c r="D767" s="370"/>
      <c r="E767" s="364"/>
      <c r="F767" s="375"/>
      <c r="G767" s="365"/>
      <c r="H767" s="297"/>
      <c r="I767" s="375"/>
    </row>
    <row r="768" spans="1:9">
      <c r="A768" s="297"/>
      <c r="B768" s="384"/>
      <c r="C768" s="385"/>
      <c r="D768" s="370"/>
      <c r="E768" s="364"/>
      <c r="F768" s="375"/>
      <c r="G768" s="365"/>
      <c r="H768" s="297"/>
      <c r="I768" s="375"/>
    </row>
    <row r="769" spans="1:9">
      <c r="A769" s="297"/>
      <c r="B769" s="384"/>
      <c r="C769" s="385"/>
      <c r="D769" s="370"/>
      <c r="E769" s="364"/>
      <c r="F769" s="375"/>
      <c r="G769" s="365"/>
      <c r="H769" s="297"/>
      <c r="I769" s="375"/>
    </row>
    <row r="770" spans="1:9">
      <c r="A770" s="297"/>
      <c r="B770" s="384"/>
      <c r="C770" s="385"/>
      <c r="D770" s="370"/>
      <c r="E770" s="364"/>
      <c r="F770" s="375"/>
      <c r="G770" s="365"/>
      <c r="H770" s="297"/>
      <c r="I770" s="375"/>
    </row>
    <row r="771" spans="1:9">
      <c r="A771" s="297"/>
      <c r="B771" s="384"/>
      <c r="C771" s="385"/>
      <c r="D771" s="370"/>
      <c r="E771" s="364"/>
      <c r="F771" s="375"/>
      <c r="G771" s="365"/>
      <c r="H771" s="297"/>
      <c r="I771" s="375"/>
    </row>
    <row r="772" spans="1:9">
      <c r="A772" s="297"/>
      <c r="B772" s="384"/>
      <c r="C772" s="385"/>
      <c r="D772" s="370"/>
      <c r="E772" s="364"/>
      <c r="F772" s="375"/>
      <c r="G772" s="365"/>
      <c r="H772" s="297"/>
      <c r="I772" s="375"/>
    </row>
    <row r="773" spans="1:9">
      <c r="A773" s="297"/>
      <c r="B773" s="384"/>
      <c r="C773" s="385"/>
      <c r="D773" s="370"/>
      <c r="E773" s="364"/>
      <c r="F773" s="375"/>
      <c r="G773" s="365"/>
      <c r="H773" s="297"/>
      <c r="I773" s="375"/>
    </row>
    <row r="774" spans="1:9">
      <c r="A774" s="297"/>
      <c r="B774" s="384"/>
      <c r="C774" s="385"/>
      <c r="D774" s="370"/>
      <c r="E774" s="364"/>
      <c r="F774" s="375"/>
      <c r="G774" s="365"/>
      <c r="H774" s="297"/>
      <c r="I774" s="375"/>
    </row>
    <row r="775" spans="1:9">
      <c r="A775" s="297"/>
      <c r="B775" s="384"/>
      <c r="C775" s="385"/>
      <c r="D775" s="370"/>
      <c r="E775" s="364"/>
      <c r="F775" s="375"/>
      <c r="G775" s="365"/>
      <c r="H775" s="297"/>
      <c r="I775" s="375"/>
    </row>
    <row r="776" spans="1:9">
      <c r="A776" s="297"/>
      <c r="B776" s="384"/>
      <c r="C776" s="385"/>
      <c r="D776" s="370"/>
      <c r="E776" s="364"/>
      <c r="F776" s="375"/>
      <c r="G776" s="365"/>
      <c r="H776" s="297"/>
      <c r="I776" s="375"/>
    </row>
    <row r="777" spans="1:9">
      <c r="A777" s="297"/>
      <c r="B777" s="384"/>
      <c r="C777" s="385"/>
      <c r="D777" s="370"/>
      <c r="E777" s="364"/>
      <c r="F777" s="375"/>
      <c r="G777" s="365"/>
      <c r="H777" s="297"/>
      <c r="I777" s="375"/>
    </row>
    <row r="778" spans="1:9">
      <c r="A778" s="297"/>
      <c r="B778" s="384"/>
      <c r="C778" s="385"/>
      <c r="D778" s="370"/>
      <c r="E778" s="364"/>
      <c r="F778" s="375"/>
      <c r="G778" s="365"/>
      <c r="H778" s="297"/>
      <c r="I778" s="375"/>
    </row>
    <row r="779" spans="1:9">
      <c r="A779" s="297"/>
      <c r="B779" s="384"/>
      <c r="C779" s="385"/>
      <c r="D779" s="370"/>
      <c r="E779" s="364"/>
      <c r="F779" s="375"/>
      <c r="G779" s="365"/>
      <c r="H779" s="297"/>
      <c r="I779" s="375"/>
    </row>
    <row r="780" spans="1:9">
      <c r="A780" s="297"/>
      <c r="B780" s="384"/>
      <c r="C780" s="385"/>
      <c r="D780" s="370"/>
      <c r="E780" s="364"/>
      <c r="F780" s="375"/>
      <c r="G780" s="365"/>
      <c r="H780" s="297"/>
      <c r="I780" s="375"/>
    </row>
    <row r="781" spans="1:9">
      <c r="A781" s="297"/>
      <c r="B781" s="384"/>
      <c r="C781" s="385"/>
      <c r="D781" s="370"/>
      <c r="E781" s="364"/>
      <c r="F781" s="375"/>
      <c r="G781" s="365"/>
      <c r="H781" s="297"/>
      <c r="I781" s="375"/>
    </row>
    <row r="782" spans="1:9">
      <c r="A782" s="297"/>
      <c r="B782" s="384"/>
      <c r="C782" s="385"/>
      <c r="D782" s="370"/>
      <c r="E782" s="364"/>
      <c r="F782" s="375"/>
      <c r="G782" s="365"/>
      <c r="H782" s="297"/>
      <c r="I782" s="375"/>
    </row>
    <row r="783" spans="1:9">
      <c r="A783" s="297"/>
      <c r="B783" s="384"/>
      <c r="C783" s="385"/>
      <c r="D783" s="370"/>
      <c r="E783" s="364"/>
      <c r="F783" s="375"/>
      <c r="G783" s="365"/>
      <c r="H783" s="297"/>
      <c r="I783" s="375"/>
    </row>
    <row r="784" spans="1:9">
      <c r="A784" s="297"/>
      <c r="B784" s="384"/>
      <c r="C784" s="385"/>
      <c r="D784" s="370"/>
      <c r="E784" s="364"/>
      <c r="F784" s="375"/>
      <c r="G784" s="365"/>
      <c r="H784" s="297"/>
      <c r="I784" s="375"/>
    </row>
    <row r="785" spans="1:9">
      <c r="A785" s="297"/>
      <c r="B785" s="384"/>
      <c r="C785" s="385"/>
      <c r="D785" s="370"/>
      <c r="E785" s="364"/>
      <c r="F785" s="375"/>
      <c r="G785" s="365"/>
      <c r="H785" s="297"/>
      <c r="I785" s="375"/>
    </row>
    <row r="786" spans="1:9">
      <c r="A786" s="297"/>
      <c r="B786" s="384"/>
      <c r="C786" s="385"/>
      <c r="D786" s="370"/>
      <c r="E786" s="364"/>
      <c r="F786" s="375"/>
      <c r="G786" s="365"/>
      <c r="H786" s="297"/>
      <c r="I786" s="375"/>
    </row>
    <row r="787" spans="1:9">
      <c r="A787" s="297"/>
      <c r="B787" s="384"/>
      <c r="C787" s="385"/>
      <c r="D787" s="370"/>
      <c r="E787" s="364"/>
      <c r="F787" s="375"/>
      <c r="G787" s="365"/>
      <c r="H787" s="297"/>
      <c r="I787" s="375"/>
    </row>
    <row r="788" spans="1:9">
      <c r="A788" s="297"/>
      <c r="B788" s="384"/>
      <c r="C788" s="385"/>
      <c r="D788" s="370"/>
      <c r="E788" s="364"/>
      <c r="F788" s="375"/>
      <c r="G788" s="365"/>
      <c r="H788" s="297"/>
      <c r="I788" s="375"/>
    </row>
    <row r="789" spans="1:9">
      <c r="A789" s="297"/>
      <c r="B789" s="384"/>
      <c r="C789" s="385"/>
      <c r="D789" s="370"/>
      <c r="E789" s="364"/>
      <c r="F789" s="375"/>
      <c r="G789" s="365"/>
      <c r="H789" s="297"/>
      <c r="I789" s="375"/>
    </row>
    <row r="790" spans="1:9">
      <c r="A790" s="297"/>
      <c r="B790" s="384"/>
      <c r="C790" s="385"/>
      <c r="D790" s="370"/>
      <c r="E790" s="364"/>
      <c r="F790" s="375"/>
      <c r="G790" s="365"/>
      <c r="H790" s="297"/>
      <c r="I790" s="375"/>
    </row>
    <row r="791" spans="1:9">
      <c r="A791" s="297"/>
      <c r="B791" s="384"/>
      <c r="C791" s="385"/>
      <c r="D791" s="370"/>
      <c r="E791" s="364"/>
      <c r="F791" s="375"/>
      <c r="G791" s="365"/>
      <c r="H791" s="297"/>
      <c r="I791" s="375"/>
    </row>
    <row r="792" spans="1:9">
      <c r="A792" s="297"/>
      <c r="B792" s="384"/>
      <c r="C792" s="385"/>
      <c r="D792" s="370"/>
      <c r="E792" s="364"/>
      <c r="F792" s="375"/>
      <c r="G792" s="365"/>
      <c r="H792" s="297"/>
      <c r="I792" s="375"/>
    </row>
    <row r="793" spans="1:9">
      <c r="A793" s="297"/>
      <c r="B793" s="384"/>
      <c r="C793" s="385"/>
      <c r="D793" s="370"/>
      <c r="E793" s="364"/>
      <c r="F793" s="375"/>
      <c r="G793" s="365"/>
      <c r="H793" s="297"/>
      <c r="I793" s="375"/>
    </row>
    <row r="794" spans="1:9">
      <c r="A794" s="297"/>
      <c r="B794" s="384"/>
      <c r="C794" s="385"/>
      <c r="D794" s="370"/>
      <c r="E794" s="364"/>
      <c r="F794" s="375"/>
      <c r="G794" s="365"/>
      <c r="H794" s="297"/>
      <c r="I794" s="375"/>
    </row>
    <row r="795" spans="1:9">
      <c r="A795" s="297"/>
      <c r="B795" s="384"/>
      <c r="C795" s="385"/>
      <c r="D795" s="370"/>
      <c r="E795" s="364"/>
      <c r="F795" s="375"/>
      <c r="G795" s="365"/>
      <c r="H795" s="297"/>
      <c r="I795" s="375"/>
    </row>
    <row r="796" spans="1:9">
      <c r="A796" s="297"/>
      <c r="B796" s="384"/>
      <c r="C796" s="385"/>
      <c r="D796" s="370"/>
      <c r="E796" s="364"/>
      <c r="F796" s="375"/>
      <c r="G796" s="365"/>
      <c r="H796" s="297"/>
      <c r="I796" s="375"/>
    </row>
    <row r="797" spans="1:9">
      <c r="A797" s="297"/>
      <c r="B797" s="384"/>
      <c r="C797" s="385"/>
      <c r="D797" s="370"/>
      <c r="E797" s="364"/>
      <c r="F797" s="375"/>
      <c r="G797" s="365"/>
      <c r="H797" s="297"/>
      <c r="I797" s="375"/>
    </row>
    <row r="798" spans="1:9">
      <c r="A798" s="297"/>
      <c r="B798" s="384"/>
      <c r="C798" s="385"/>
      <c r="D798" s="370"/>
      <c r="E798" s="364"/>
      <c r="F798" s="375"/>
      <c r="G798" s="365"/>
      <c r="H798" s="297"/>
      <c r="I798" s="375"/>
    </row>
    <row r="799" spans="1:9">
      <c r="A799" s="297"/>
      <c r="B799" s="384"/>
      <c r="C799" s="385"/>
      <c r="D799" s="370"/>
      <c r="E799" s="364"/>
      <c r="F799" s="375"/>
      <c r="G799" s="365"/>
      <c r="H799" s="297"/>
      <c r="I799" s="375"/>
    </row>
    <row r="800" spans="1:9">
      <c r="A800" s="297"/>
      <c r="B800" s="384"/>
      <c r="C800" s="385"/>
      <c r="D800" s="370"/>
      <c r="E800" s="364"/>
      <c r="F800" s="375"/>
      <c r="G800" s="365"/>
      <c r="H800" s="297"/>
      <c r="I800" s="375"/>
    </row>
    <row r="801" spans="1:9">
      <c r="A801" s="297"/>
      <c r="B801" s="384"/>
      <c r="C801" s="385"/>
      <c r="D801" s="370"/>
      <c r="E801" s="364"/>
      <c r="F801" s="375"/>
      <c r="G801" s="365"/>
      <c r="H801" s="297"/>
      <c r="I801" s="375"/>
    </row>
    <row r="802" spans="1:9">
      <c r="A802" s="297"/>
      <c r="B802" s="384"/>
      <c r="C802" s="385"/>
      <c r="D802" s="370"/>
      <c r="E802" s="364"/>
      <c r="F802" s="375"/>
      <c r="G802" s="365"/>
      <c r="H802" s="297"/>
      <c r="I802" s="375"/>
    </row>
    <row r="803" spans="1:9">
      <c r="A803" s="297"/>
      <c r="B803" s="384"/>
      <c r="C803" s="385"/>
      <c r="D803" s="370"/>
      <c r="E803" s="364"/>
      <c r="F803" s="375"/>
      <c r="G803" s="365"/>
      <c r="H803" s="297"/>
      <c r="I803" s="375"/>
    </row>
    <row r="804" spans="1:9">
      <c r="A804" s="297"/>
      <c r="B804" s="384"/>
      <c r="C804" s="385"/>
      <c r="D804" s="370"/>
      <c r="E804" s="364"/>
      <c r="F804" s="375"/>
      <c r="G804" s="365"/>
      <c r="H804" s="297"/>
      <c r="I804" s="375"/>
    </row>
    <row r="805" spans="1:9">
      <c r="A805" s="297"/>
      <c r="B805" s="384"/>
      <c r="C805" s="385"/>
      <c r="D805" s="370"/>
      <c r="E805" s="364"/>
      <c r="F805" s="375"/>
      <c r="G805" s="365"/>
      <c r="H805" s="297"/>
      <c r="I805" s="375"/>
    </row>
    <row r="806" spans="1:9">
      <c r="A806" s="297"/>
      <c r="B806" s="384"/>
      <c r="C806" s="385"/>
      <c r="D806" s="370"/>
      <c r="E806" s="364"/>
      <c r="F806" s="375"/>
      <c r="G806" s="365"/>
      <c r="H806" s="297"/>
      <c r="I806" s="375"/>
    </row>
    <row r="807" spans="1:9">
      <c r="A807" s="297"/>
      <c r="B807" s="384"/>
      <c r="C807" s="385"/>
      <c r="D807" s="370"/>
      <c r="E807" s="364"/>
      <c r="F807" s="375"/>
      <c r="G807" s="365"/>
      <c r="H807" s="297"/>
      <c r="I807" s="375"/>
    </row>
    <row r="808" spans="1:9">
      <c r="A808" s="297"/>
      <c r="B808" s="384"/>
      <c r="C808" s="385"/>
      <c r="D808" s="370"/>
      <c r="E808" s="364"/>
      <c r="F808" s="375"/>
      <c r="G808" s="365"/>
      <c r="H808" s="297"/>
      <c r="I808" s="375"/>
    </row>
    <row r="809" spans="1:9">
      <c r="A809" s="297"/>
      <c r="B809" s="384"/>
      <c r="C809" s="385"/>
      <c r="D809" s="370"/>
      <c r="E809" s="364"/>
      <c r="F809" s="375"/>
      <c r="G809" s="365"/>
      <c r="H809" s="297"/>
      <c r="I809" s="375"/>
    </row>
    <row r="810" spans="1:9">
      <c r="A810" s="297"/>
      <c r="B810" s="384"/>
      <c r="C810" s="385"/>
      <c r="D810" s="370"/>
      <c r="E810" s="364"/>
      <c r="F810" s="375"/>
      <c r="G810" s="365"/>
      <c r="H810" s="297"/>
      <c r="I810" s="375"/>
    </row>
    <row r="811" spans="1:9">
      <c r="A811" s="297"/>
      <c r="B811" s="384"/>
      <c r="C811" s="385"/>
      <c r="D811" s="370"/>
      <c r="E811" s="364"/>
      <c r="F811" s="375"/>
      <c r="G811" s="365"/>
      <c r="H811" s="297"/>
      <c r="I811" s="375"/>
    </row>
    <row r="812" spans="1:9">
      <c r="A812" s="297"/>
      <c r="B812" s="384"/>
      <c r="C812" s="385"/>
      <c r="D812" s="370"/>
      <c r="E812" s="364"/>
      <c r="F812" s="375"/>
      <c r="G812" s="365"/>
      <c r="H812" s="297"/>
      <c r="I812" s="375"/>
    </row>
    <row r="813" spans="1:9">
      <c r="A813" s="297"/>
      <c r="B813" s="384"/>
      <c r="C813" s="385"/>
      <c r="D813" s="370"/>
      <c r="E813" s="364"/>
      <c r="F813" s="375"/>
      <c r="G813" s="365"/>
      <c r="H813" s="297"/>
      <c r="I813" s="375"/>
    </row>
    <row r="814" spans="1:9">
      <c r="A814" s="297"/>
      <c r="B814" s="384"/>
      <c r="C814" s="385"/>
      <c r="D814" s="370"/>
      <c r="E814" s="364"/>
      <c r="F814" s="375"/>
      <c r="G814" s="365"/>
      <c r="H814" s="297"/>
      <c r="I814" s="375"/>
    </row>
    <row r="815" spans="1:9">
      <c r="A815" s="297"/>
      <c r="B815" s="384"/>
      <c r="C815" s="385"/>
      <c r="D815" s="370"/>
      <c r="E815" s="364"/>
      <c r="F815" s="375"/>
      <c r="G815" s="365"/>
      <c r="H815" s="297"/>
      <c r="I815" s="375"/>
    </row>
    <row r="816" spans="1:9">
      <c r="A816" s="297"/>
      <c r="B816" s="384"/>
      <c r="C816" s="385"/>
      <c r="D816" s="370"/>
      <c r="E816" s="364"/>
      <c r="F816" s="375"/>
      <c r="G816" s="365"/>
      <c r="H816" s="297"/>
      <c r="I816" s="375"/>
    </row>
    <row r="817" spans="1:9">
      <c r="A817" s="297"/>
      <c r="B817" s="384"/>
      <c r="C817" s="385"/>
      <c r="D817" s="370"/>
      <c r="E817" s="364"/>
      <c r="F817" s="375"/>
      <c r="G817" s="365"/>
      <c r="H817" s="297"/>
      <c r="I817" s="375"/>
    </row>
    <row r="818" spans="1:9">
      <c r="A818" s="297"/>
      <c r="B818" s="384"/>
      <c r="C818" s="385"/>
      <c r="D818" s="370"/>
      <c r="E818" s="364"/>
      <c r="F818" s="375"/>
      <c r="G818" s="365"/>
      <c r="H818" s="297"/>
      <c r="I818" s="375"/>
    </row>
    <row r="819" spans="1:9">
      <c r="A819" s="297"/>
      <c r="B819" s="384"/>
      <c r="C819" s="385"/>
      <c r="D819" s="370"/>
      <c r="E819" s="364"/>
      <c r="F819" s="375"/>
      <c r="G819" s="365"/>
      <c r="H819" s="297"/>
      <c r="I819" s="375"/>
    </row>
    <row r="820" spans="1:9">
      <c r="A820" s="297"/>
      <c r="B820" s="384"/>
      <c r="C820" s="385"/>
      <c r="D820" s="370"/>
      <c r="E820" s="364"/>
      <c r="F820" s="375"/>
      <c r="G820" s="365"/>
      <c r="H820" s="297"/>
      <c r="I820" s="375"/>
    </row>
    <row r="821" spans="1:9">
      <c r="A821" s="297"/>
      <c r="B821" s="384"/>
      <c r="C821" s="385"/>
      <c r="D821" s="370"/>
      <c r="E821" s="364"/>
      <c r="F821" s="375"/>
      <c r="G821" s="365"/>
      <c r="H821" s="297"/>
      <c r="I821" s="375"/>
    </row>
    <row r="822" spans="1:9">
      <c r="A822" s="297"/>
      <c r="B822" s="384"/>
      <c r="C822" s="385"/>
      <c r="D822" s="370"/>
      <c r="E822" s="364"/>
      <c r="F822" s="375"/>
      <c r="G822" s="365"/>
      <c r="H822" s="297"/>
      <c r="I822" s="375"/>
    </row>
    <row r="823" spans="1:9">
      <c r="A823" s="297"/>
      <c r="B823" s="384"/>
      <c r="C823" s="385"/>
      <c r="D823" s="370"/>
      <c r="E823" s="364"/>
      <c r="F823" s="375"/>
      <c r="G823" s="365"/>
      <c r="H823" s="297"/>
      <c r="I823" s="375"/>
    </row>
    <row r="824" spans="1:9">
      <c r="A824" s="297"/>
      <c r="B824" s="384"/>
      <c r="C824" s="385"/>
      <c r="D824" s="370"/>
      <c r="E824" s="364"/>
      <c r="F824" s="375"/>
      <c r="G824" s="365"/>
      <c r="H824" s="297"/>
      <c r="I824" s="375"/>
    </row>
    <row r="825" spans="1:9">
      <c r="A825" s="297"/>
      <c r="B825" s="384"/>
      <c r="C825" s="385"/>
      <c r="D825" s="370"/>
      <c r="E825" s="364"/>
      <c r="F825" s="375"/>
      <c r="G825" s="365"/>
      <c r="H825" s="297"/>
      <c r="I825" s="375"/>
    </row>
    <row r="826" spans="1:9">
      <c r="A826" s="297"/>
      <c r="B826" s="384"/>
      <c r="C826" s="385"/>
      <c r="D826" s="370"/>
      <c r="E826" s="364"/>
      <c r="F826" s="375"/>
      <c r="G826" s="365"/>
      <c r="H826" s="297"/>
      <c r="I826" s="375"/>
    </row>
    <row r="827" spans="1:9">
      <c r="A827" s="297"/>
      <c r="B827" s="384"/>
      <c r="C827" s="385"/>
      <c r="D827" s="370"/>
      <c r="E827" s="364"/>
      <c r="F827" s="375"/>
      <c r="G827" s="365"/>
      <c r="H827" s="297"/>
      <c r="I827" s="375"/>
    </row>
    <row r="828" spans="1:9">
      <c r="A828" s="297"/>
      <c r="B828" s="384"/>
      <c r="C828" s="385"/>
      <c r="D828" s="370"/>
      <c r="E828" s="364"/>
      <c r="F828" s="375"/>
      <c r="G828" s="365"/>
      <c r="H828" s="297"/>
      <c r="I828" s="375"/>
    </row>
    <row r="829" spans="1:9">
      <c r="A829" s="297"/>
      <c r="B829" s="384"/>
      <c r="C829" s="385"/>
      <c r="D829" s="370"/>
      <c r="E829" s="364"/>
      <c r="F829" s="375"/>
      <c r="G829" s="365"/>
      <c r="H829" s="297"/>
      <c r="I829" s="375"/>
    </row>
    <row r="830" spans="1:9">
      <c r="A830" s="297"/>
      <c r="B830" s="384"/>
      <c r="C830" s="385"/>
      <c r="D830" s="370"/>
      <c r="E830" s="364"/>
      <c r="F830" s="375"/>
      <c r="G830" s="365"/>
      <c r="H830" s="297"/>
      <c r="I830" s="375"/>
    </row>
  </sheetData>
  <mergeCells count="1757">
    <mergeCell ref="CG414:CJ414"/>
    <mergeCell ref="BI414:BL414"/>
    <mergeCell ref="BM414:BP414"/>
    <mergeCell ref="BQ414:BT414"/>
    <mergeCell ref="BU414:BX414"/>
    <mergeCell ref="BY414:CB414"/>
    <mergeCell ref="CC414:CF414"/>
    <mergeCell ref="AK414:AN414"/>
    <mergeCell ref="AO414:AR414"/>
    <mergeCell ref="AS414:AV414"/>
    <mergeCell ref="AW414:AZ414"/>
    <mergeCell ref="BA414:BD414"/>
    <mergeCell ref="BE414:BH414"/>
    <mergeCell ref="CC412:CF412"/>
    <mergeCell ref="CG412:CJ412"/>
    <mergeCell ref="I414:L414"/>
    <mergeCell ref="M414:P414"/>
    <mergeCell ref="Q414:T414"/>
    <mergeCell ref="U414:X414"/>
    <mergeCell ref="Y414:AB414"/>
    <mergeCell ref="AC414:AF414"/>
    <mergeCell ref="AG414:AJ414"/>
    <mergeCell ref="BE412:BH412"/>
    <mergeCell ref="BI412:BL412"/>
    <mergeCell ref="BM412:BP412"/>
    <mergeCell ref="BQ412:BT412"/>
    <mergeCell ref="BU412:BX412"/>
    <mergeCell ref="BY412:CB412"/>
    <mergeCell ref="AG412:AJ412"/>
    <mergeCell ref="AK412:AN412"/>
    <mergeCell ref="AO412:AR412"/>
    <mergeCell ref="AS412:AV412"/>
    <mergeCell ref="AW412:AZ412"/>
    <mergeCell ref="BA412:BD412"/>
    <mergeCell ref="I412:L412"/>
    <mergeCell ref="M412:P412"/>
    <mergeCell ref="Q412:T412"/>
    <mergeCell ref="U412:X412"/>
    <mergeCell ref="Y412:AB412"/>
    <mergeCell ref="AC412:AF412"/>
    <mergeCell ref="BM411:BP411"/>
    <mergeCell ref="BQ411:BT411"/>
    <mergeCell ref="BU411:BX411"/>
    <mergeCell ref="BY411:CB411"/>
    <mergeCell ref="CC411:CF411"/>
    <mergeCell ref="CG411:CJ411"/>
    <mergeCell ref="AO411:AR411"/>
    <mergeCell ref="AS411:AV411"/>
    <mergeCell ref="AW411:AZ411"/>
    <mergeCell ref="BA411:BD411"/>
    <mergeCell ref="BE411:BH411"/>
    <mergeCell ref="BI411:BL411"/>
    <mergeCell ref="CG399:CJ399"/>
    <mergeCell ref="E411:H411"/>
    <mergeCell ref="I411:L411"/>
    <mergeCell ref="M411:P411"/>
    <mergeCell ref="Q411:T411"/>
    <mergeCell ref="U411:X411"/>
    <mergeCell ref="Y411:AB411"/>
    <mergeCell ref="AC411:AF411"/>
    <mergeCell ref="AG411:AJ411"/>
    <mergeCell ref="AK411:AN411"/>
    <mergeCell ref="BI399:BL399"/>
    <mergeCell ref="BM399:BP399"/>
    <mergeCell ref="BQ399:BT399"/>
    <mergeCell ref="BU399:BX399"/>
    <mergeCell ref="BY399:CB399"/>
    <mergeCell ref="CC399:CF399"/>
    <mergeCell ref="AK399:AN399"/>
    <mergeCell ref="AO399:AR399"/>
    <mergeCell ref="AS399:AV399"/>
    <mergeCell ref="AW399:AZ399"/>
    <mergeCell ref="BA399:BD399"/>
    <mergeCell ref="BE399:BH399"/>
    <mergeCell ref="E399:H399"/>
    <mergeCell ref="I399:L399"/>
    <mergeCell ref="M399:P399"/>
    <mergeCell ref="Q399:T399"/>
    <mergeCell ref="U399:X399"/>
    <mergeCell ref="A322:A323"/>
    <mergeCell ref="B322:B323"/>
    <mergeCell ref="C322:C323"/>
    <mergeCell ref="D322:D323"/>
    <mergeCell ref="E322:E323"/>
    <mergeCell ref="F322:F323"/>
    <mergeCell ref="G322:G323"/>
    <mergeCell ref="H322:H323"/>
    <mergeCell ref="A320:A321"/>
    <mergeCell ref="B320:B321"/>
    <mergeCell ref="C320:C321"/>
    <mergeCell ref="D320:D321"/>
    <mergeCell ref="E320:E321"/>
    <mergeCell ref="F320:F321"/>
    <mergeCell ref="I316:I317"/>
    <mergeCell ref="A318:A319"/>
    <mergeCell ref="B318:B319"/>
    <mergeCell ref="C318:C319"/>
    <mergeCell ref="D318:D319"/>
    <mergeCell ref="E318:E319"/>
    <mergeCell ref="F318:F319"/>
    <mergeCell ref="G318:G319"/>
    <mergeCell ref="H318:H319"/>
    <mergeCell ref="A316:A317"/>
    <mergeCell ref="B316:B317"/>
    <mergeCell ref="C316:C317"/>
    <mergeCell ref="D316:D317"/>
    <mergeCell ref="E316:E317"/>
    <mergeCell ref="F316:F317"/>
    <mergeCell ref="G316:G317"/>
    <mergeCell ref="H316:H317"/>
    <mergeCell ref="A314:A315"/>
    <mergeCell ref="B314:B315"/>
    <mergeCell ref="C314:C315"/>
    <mergeCell ref="D314:D315"/>
    <mergeCell ref="E314:E315"/>
    <mergeCell ref="F314:F315"/>
    <mergeCell ref="A312:A313"/>
    <mergeCell ref="B312:B313"/>
    <mergeCell ref="C312:C313"/>
    <mergeCell ref="D312:D313"/>
    <mergeCell ref="E312:E313"/>
    <mergeCell ref="F312:F313"/>
    <mergeCell ref="G312:G313"/>
    <mergeCell ref="H312:H313"/>
    <mergeCell ref="A310:A311"/>
    <mergeCell ref="B310:B311"/>
    <mergeCell ref="C310:C311"/>
    <mergeCell ref="D310:D311"/>
    <mergeCell ref="E310:E311"/>
    <mergeCell ref="F310:F311"/>
    <mergeCell ref="A254:A255"/>
    <mergeCell ref="B254:B255"/>
    <mergeCell ref="C254:C255"/>
    <mergeCell ref="D254:D255"/>
    <mergeCell ref="E254:E255"/>
    <mergeCell ref="F254:F255"/>
    <mergeCell ref="G254:G255"/>
    <mergeCell ref="H254:H255"/>
    <mergeCell ref="A252:A253"/>
    <mergeCell ref="B252:B253"/>
    <mergeCell ref="C252:C253"/>
    <mergeCell ref="D252:D253"/>
    <mergeCell ref="E252:E253"/>
    <mergeCell ref="F252:F253"/>
    <mergeCell ref="E299:E300"/>
    <mergeCell ref="F299:F300"/>
    <mergeCell ref="G295:G296"/>
    <mergeCell ref="H295:H296"/>
    <mergeCell ref="A297:A298"/>
    <mergeCell ref="B297:B298"/>
    <mergeCell ref="C297:C298"/>
    <mergeCell ref="D297:D298"/>
    <mergeCell ref="E297:E298"/>
    <mergeCell ref="F297:F298"/>
    <mergeCell ref="E291:E292"/>
    <mergeCell ref="F291:F292"/>
    <mergeCell ref="E285:E286"/>
    <mergeCell ref="F285:F286"/>
    <mergeCell ref="G285:G286"/>
    <mergeCell ref="H285:H286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A168:A169"/>
    <mergeCell ref="B168:B169"/>
    <mergeCell ref="C168:C169"/>
    <mergeCell ref="D168:D169"/>
    <mergeCell ref="E168:E169"/>
    <mergeCell ref="F168:F169"/>
    <mergeCell ref="G164:G165"/>
    <mergeCell ref="H164:H165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A164:A165"/>
    <mergeCell ref="B164:B165"/>
    <mergeCell ref="C164:C165"/>
    <mergeCell ref="D164:D165"/>
    <mergeCell ref="E164:E165"/>
    <mergeCell ref="F164:F165"/>
    <mergeCell ref="A162:A163"/>
    <mergeCell ref="B162:B163"/>
    <mergeCell ref="C162:C163"/>
    <mergeCell ref="D162:D163"/>
    <mergeCell ref="E162:E163"/>
    <mergeCell ref="F162:F163"/>
    <mergeCell ref="G162:G163"/>
    <mergeCell ref="H162:H163"/>
    <mergeCell ref="A80:A81"/>
    <mergeCell ref="B80:B81"/>
    <mergeCell ref="C80:C81"/>
    <mergeCell ref="D80:D81"/>
    <mergeCell ref="E80:E81"/>
    <mergeCell ref="F80:F81"/>
    <mergeCell ref="G76:G77"/>
    <mergeCell ref="H76:H77"/>
    <mergeCell ref="A78:A79"/>
    <mergeCell ref="B78:B79"/>
    <mergeCell ref="C78:C79"/>
    <mergeCell ref="D78:D79"/>
    <mergeCell ref="E78:E79"/>
    <mergeCell ref="F78:F79"/>
    <mergeCell ref="G78:G79"/>
    <mergeCell ref="H78:H79"/>
    <mergeCell ref="A76:A77"/>
    <mergeCell ref="B76:B77"/>
    <mergeCell ref="C76:C77"/>
    <mergeCell ref="D76:D77"/>
    <mergeCell ref="E76:E77"/>
    <mergeCell ref="F76:F77"/>
    <mergeCell ref="E156:E157"/>
    <mergeCell ref="F156:F157"/>
    <mergeCell ref="A74:A75"/>
    <mergeCell ref="B74:B75"/>
    <mergeCell ref="C74:C75"/>
    <mergeCell ref="D74:D75"/>
    <mergeCell ref="E74:E75"/>
    <mergeCell ref="F74:F75"/>
    <mergeCell ref="G74:G75"/>
    <mergeCell ref="H74:H75"/>
    <mergeCell ref="A72:A73"/>
    <mergeCell ref="B72:B73"/>
    <mergeCell ref="C72:C73"/>
    <mergeCell ref="D72:D73"/>
    <mergeCell ref="E72:E73"/>
    <mergeCell ref="F72:F73"/>
    <mergeCell ref="G310:G311"/>
    <mergeCell ref="H310:H311"/>
    <mergeCell ref="G299:G300"/>
    <mergeCell ref="H299:H300"/>
    <mergeCell ref="A301:A302"/>
    <mergeCell ref="B301:B302"/>
    <mergeCell ref="C301:C302"/>
    <mergeCell ref="D301:D302"/>
    <mergeCell ref="E301:E302"/>
    <mergeCell ref="F301:F302"/>
    <mergeCell ref="G301:G302"/>
    <mergeCell ref="H301:H302"/>
    <mergeCell ref="A299:A300"/>
    <mergeCell ref="B299:B300"/>
    <mergeCell ref="C299:C300"/>
    <mergeCell ref="D299:D300"/>
    <mergeCell ref="G80:G81"/>
    <mergeCell ref="H80:H81"/>
    <mergeCell ref="A352:A353"/>
    <mergeCell ref="D352:D353"/>
    <mergeCell ref="E352:E353"/>
    <mergeCell ref="F352:F353"/>
    <mergeCell ref="G352:G353"/>
    <mergeCell ref="H352:H353"/>
    <mergeCell ref="C352:C353"/>
    <mergeCell ref="A397:D397"/>
    <mergeCell ref="Y399:AB399"/>
    <mergeCell ref="AC399:AF399"/>
    <mergeCell ref="AG399:AJ399"/>
    <mergeCell ref="E414:H414"/>
    <mergeCell ref="A386:A387"/>
    <mergeCell ref="A384:A385"/>
    <mergeCell ref="A382:A383"/>
    <mergeCell ref="A380:A381"/>
    <mergeCell ref="A378:A379"/>
    <mergeCell ref="A376:A377"/>
    <mergeCell ref="A374:A375"/>
    <mergeCell ref="A372:A373"/>
    <mergeCell ref="A370:A371"/>
    <mergeCell ref="A366:A367"/>
    <mergeCell ref="B366:B367"/>
    <mergeCell ref="C366:C367"/>
    <mergeCell ref="D366:D367"/>
    <mergeCell ref="E366:E367"/>
    <mergeCell ref="F366:F367"/>
    <mergeCell ref="G366:G367"/>
    <mergeCell ref="H366:H367"/>
    <mergeCell ref="B352:B353"/>
    <mergeCell ref="G394:G395"/>
    <mergeCell ref="H394:H395"/>
    <mergeCell ref="A394:A395"/>
    <mergeCell ref="B394:B395"/>
    <mergeCell ref="C394:C395"/>
    <mergeCell ref="D394:D395"/>
    <mergeCell ref="E394:E395"/>
    <mergeCell ref="F394:F395"/>
    <mergeCell ref="G390:G391"/>
    <mergeCell ref="H390:H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A390:A391"/>
    <mergeCell ref="B390:B391"/>
    <mergeCell ref="C390:C391"/>
    <mergeCell ref="D390:D391"/>
    <mergeCell ref="E390:E391"/>
    <mergeCell ref="F390:F391"/>
    <mergeCell ref="G386:G387"/>
    <mergeCell ref="H386:H387"/>
    <mergeCell ref="A388:A389"/>
    <mergeCell ref="B388:B389"/>
    <mergeCell ref="C388:C389"/>
    <mergeCell ref="D388:D389"/>
    <mergeCell ref="E388:E389"/>
    <mergeCell ref="F388:F389"/>
    <mergeCell ref="G388:G389"/>
    <mergeCell ref="H388:H389"/>
    <mergeCell ref="B386:B387"/>
    <mergeCell ref="C386:C387"/>
    <mergeCell ref="D386:D387"/>
    <mergeCell ref="E386:E387"/>
    <mergeCell ref="F386:F387"/>
    <mergeCell ref="G382:G383"/>
    <mergeCell ref="H382:H383"/>
    <mergeCell ref="B384:B385"/>
    <mergeCell ref="C384:C385"/>
    <mergeCell ref="D384:D385"/>
    <mergeCell ref="E384:E385"/>
    <mergeCell ref="F384:F385"/>
    <mergeCell ref="B382:B383"/>
    <mergeCell ref="C382:C383"/>
    <mergeCell ref="D382:D383"/>
    <mergeCell ref="E382:E383"/>
    <mergeCell ref="F382:F383"/>
    <mergeCell ref="G384:G385"/>
    <mergeCell ref="H384:H385"/>
    <mergeCell ref="G378:G379"/>
    <mergeCell ref="H378:H379"/>
    <mergeCell ref="B380:B381"/>
    <mergeCell ref="C380:C381"/>
    <mergeCell ref="D380:D381"/>
    <mergeCell ref="E380:E381"/>
    <mergeCell ref="F380:F381"/>
    <mergeCell ref="G380:G381"/>
    <mergeCell ref="H380:H381"/>
    <mergeCell ref="B378:B379"/>
    <mergeCell ref="C378:C379"/>
    <mergeCell ref="D378:D379"/>
    <mergeCell ref="E378:E379"/>
    <mergeCell ref="F378:F379"/>
    <mergeCell ref="G374:G375"/>
    <mergeCell ref="H374:H375"/>
    <mergeCell ref="B376:B377"/>
    <mergeCell ref="C376:C377"/>
    <mergeCell ref="D376:D377"/>
    <mergeCell ref="E376:E377"/>
    <mergeCell ref="F376:F377"/>
    <mergeCell ref="G376:G377"/>
    <mergeCell ref="H376:H377"/>
    <mergeCell ref="B374:B375"/>
    <mergeCell ref="C374:C375"/>
    <mergeCell ref="D374:D375"/>
    <mergeCell ref="E374:E375"/>
    <mergeCell ref="F374:F375"/>
    <mergeCell ref="G370:G371"/>
    <mergeCell ref="H370:H371"/>
    <mergeCell ref="B372:B373"/>
    <mergeCell ref="C372:C373"/>
    <mergeCell ref="D372:D373"/>
    <mergeCell ref="E372:E373"/>
    <mergeCell ref="F372:F373"/>
    <mergeCell ref="G372:G373"/>
    <mergeCell ref="H372:H373"/>
    <mergeCell ref="B370:B371"/>
    <mergeCell ref="C370:C371"/>
    <mergeCell ref="D370:D371"/>
    <mergeCell ref="E370:E371"/>
    <mergeCell ref="F370:F371"/>
    <mergeCell ref="G364:G365"/>
    <mergeCell ref="H364:H365"/>
    <mergeCell ref="A368:A369"/>
    <mergeCell ref="B368:B369"/>
    <mergeCell ref="C368:C369"/>
    <mergeCell ref="D368:D369"/>
    <mergeCell ref="E368:E369"/>
    <mergeCell ref="F368:F369"/>
    <mergeCell ref="G368:G369"/>
    <mergeCell ref="H368:H369"/>
    <mergeCell ref="A364:A365"/>
    <mergeCell ref="B364:B365"/>
    <mergeCell ref="C364:C365"/>
    <mergeCell ref="D364:D365"/>
    <mergeCell ref="E364:E365"/>
    <mergeCell ref="F364:F365"/>
    <mergeCell ref="G360:G361"/>
    <mergeCell ref="H360:H361"/>
    <mergeCell ref="A362:A363"/>
    <mergeCell ref="B362:B363"/>
    <mergeCell ref="C362:C363"/>
    <mergeCell ref="D362:D363"/>
    <mergeCell ref="E362:E363"/>
    <mergeCell ref="F362:F363"/>
    <mergeCell ref="G362:G363"/>
    <mergeCell ref="H362:H363"/>
    <mergeCell ref="A360:A361"/>
    <mergeCell ref="B360:B361"/>
    <mergeCell ref="C360:C361"/>
    <mergeCell ref="D360:D361"/>
    <mergeCell ref="E360:E361"/>
    <mergeCell ref="F360:F361"/>
    <mergeCell ref="G356:G357"/>
    <mergeCell ref="H356:H357"/>
    <mergeCell ref="A358:A359"/>
    <mergeCell ref="B358:B359"/>
    <mergeCell ref="C358:C359"/>
    <mergeCell ref="D358:D359"/>
    <mergeCell ref="E358:E359"/>
    <mergeCell ref="F358:F359"/>
    <mergeCell ref="G358:G359"/>
    <mergeCell ref="H358:H359"/>
    <mergeCell ref="A356:A357"/>
    <mergeCell ref="B356:B357"/>
    <mergeCell ref="C356:C357"/>
    <mergeCell ref="D356:D357"/>
    <mergeCell ref="E356:E357"/>
    <mergeCell ref="F356:F357"/>
    <mergeCell ref="G350:G351"/>
    <mergeCell ref="H350:H351"/>
    <mergeCell ref="A354:A355"/>
    <mergeCell ref="B354:B355"/>
    <mergeCell ref="C354:C355"/>
    <mergeCell ref="D354:D355"/>
    <mergeCell ref="E354:E355"/>
    <mergeCell ref="F354:F355"/>
    <mergeCell ref="G354:G355"/>
    <mergeCell ref="H354:H355"/>
    <mergeCell ref="A350:A351"/>
    <mergeCell ref="B350:B351"/>
    <mergeCell ref="C350:C351"/>
    <mergeCell ref="D350:D351"/>
    <mergeCell ref="E350:E351"/>
    <mergeCell ref="F350:F351"/>
    <mergeCell ref="G346:G347"/>
    <mergeCell ref="H346:H347"/>
    <mergeCell ref="A348:A349"/>
    <mergeCell ref="B348:B349"/>
    <mergeCell ref="C348:C349"/>
    <mergeCell ref="D348:D349"/>
    <mergeCell ref="E348:E349"/>
    <mergeCell ref="F348:F349"/>
    <mergeCell ref="G348:G349"/>
    <mergeCell ref="H348:H349"/>
    <mergeCell ref="A346:A347"/>
    <mergeCell ref="B346:B347"/>
    <mergeCell ref="C346:C347"/>
    <mergeCell ref="D346:D347"/>
    <mergeCell ref="E346:E347"/>
    <mergeCell ref="F346:F347"/>
    <mergeCell ref="G342:G343"/>
    <mergeCell ref="H342:H343"/>
    <mergeCell ref="A344:A345"/>
    <mergeCell ref="B344:B345"/>
    <mergeCell ref="C344:C345"/>
    <mergeCell ref="D344:D345"/>
    <mergeCell ref="E344:E345"/>
    <mergeCell ref="F344:F345"/>
    <mergeCell ref="G344:G345"/>
    <mergeCell ref="H344:H345"/>
    <mergeCell ref="A342:A343"/>
    <mergeCell ref="B342:B343"/>
    <mergeCell ref="C342:C343"/>
    <mergeCell ref="D342:D343"/>
    <mergeCell ref="E342:E343"/>
    <mergeCell ref="F342:F343"/>
    <mergeCell ref="G338:G339"/>
    <mergeCell ref="H338:H339"/>
    <mergeCell ref="A340:A341"/>
    <mergeCell ref="B340:B341"/>
    <mergeCell ref="C340:C341"/>
    <mergeCell ref="D340:D341"/>
    <mergeCell ref="E340:E341"/>
    <mergeCell ref="F340:F341"/>
    <mergeCell ref="G340:G341"/>
    <mergeCell ref="H340:H341"/>
    <mergeCell ref="A338:A339"/>
    <mergeCell ref="B338:B339"/>
    <mergeCell ref="C338:C339"/>
    <mergeCell ref="D338:D339"/>
    <mergeCell ref="E338:E339"/>
    <mergeCell ref="F338:F339"/>
    <mergeCell ref="G334:G335"/>
    <mergeCell ref="H334:H335"/>
    <mergeCell ref="A336:A337"/>
    <mergeCell ref="B336:B337"/>
    <mergeCell ref="C336:C337"/>
    <mergeCell ref="D336:D337"/>
    <mergeCell ref="E336:E337"/>
    <mergeCell ref="F336:F337"/>
    <mergeCell ref="G336:G337"/>
    <mergeCell ref="H336:H337"/>
    <mergeCell ref="A334:A335"/>
    <mergeCell ref="B334:B335"/>
    <mergeCell ref="C334:C335"/>
    <mergeCell ref="D334:D335"/>
    <mergeCell ref="E334:E335"/>
    <mergeCell ref="F334:F335"/>
    <mergeCell ref="G330:G331"/>
    <mergeCell ref="H330:H331"/>
    <mergeCell ref="A332:A333"/>
    <mergeCell ref="B332:B333"/>
    <mergeCell ref="C332:C333"/>
    <mergeCell ref="D332:D333"/>
    <mergeCell ref="E332:E333"/>
    <mergeCell ref="F332:F333"/>
    <mergeCell ref="G332:G333"/>
    <mergeCell ref="H332:H333"/>
    <mergeCell ref="A330:A331"/>
    <mergeCell ref="B330:B331"/>
    <mergeCell ref="C330:C331"/>
    <mergeCell ref="D330:D331"/>
    <mergeCell ref="E330:E331"/>
    <mergeCell ref="F330:F331"/>
    <mergeCell ref="G326:G327"/>
    <mergeCell ref="H326:H327"/>
    <mergeCell ref="A328:A329"/>
    <mergeCell ref="B328:B329"/>
    <mergeCell ref="C328:C329"/>
    <mergeCell ref="D328:D329"/>
    <mergeCell ref="E328:E329"/>
    <mergeCell ref="F328:F329"/>
    <mergeCell ref="G328:G329"/>
    <mergeCell ref="H328:H329"/>
    <mergeCell ref="A326:A327"/>
    <mergeCell ref="B326:B327"/>
    <mergeCell ref="C326:C327"/>
    <mergeCell ref="D326:D327"/>
    <mergeCell ref="E326:E327"/>
    <mergeCell ref="F326:F327"/>
    <mergeCell ref="G303:G304"/>
    <mergeCell ref="H303:H304"/>
    <mergeCell ref="A324:A325"/>
    <mergeCell ref="B324:B325"/>
    <mergeCell ref="C324:C325"/>
    <mergeCell ref="D324:D325"/>
    <mergeCell ref="E324:E325"/>
    <mergeCell ref="F324:F325"/>
    <mergeCell ref="G324:G325"/>
    <mergeCell ref="H324:H325"/>
    <mergeCell ref="A303:A304"/>
    <mergeCell ref="B303:B304"/>
    <mergeCell ref="C303:C304"/>
    <mergeCell ref="D303:D304"/>
    <mergeCell ref="E303:E304"/>
    <mergeCell ref="F303:F304"/>
    <mergeCell ref="E283:E284"/>
    <mergeCell ref="F283:F284"/>
    <mergeCell ref="G297:G298"/>
    <mergeCell ref="H297:H298"/>
    <mergeCell ref="A295:A296"/>
    <mergeCell ref="B295:B296"/>
    <mergeCell ref="C295:C296"/>
    <mergeCell ref="D295:D296"/>
    <mergeCell ref="E295:E296"/>
    <mergeCell ref="F295:F296"/>
    <mergeCell ref="G291:G292"/>
    <mergeCell ref="H291:H292"/>
    <mergeCell ref="A293:A294"/>
    <mergeCell ref="B293:B294"/>
    <mergeCell ref="C293:C294"/>
    <mergeCell ref="D293:D294"/>
    <mergeCell ref="E293:E294"/>
    <mergeCell ref="F293:F294"/>
    <mergeCell ref="G293:G294"/>
    <mergeCell ref="H293:H294"/>
    <mergeCell ref="A291:A292"/>
    <mergeCell ref="B291:B292"/>
    <mergeCell ref="C291:C292"/>
    <mergeCell ref="D291:D292"/>
    <mergeCell ref="A275:A276"/>
    <mergeCell ref="B275:B276"/>
    <mergeCell ref="C275:C276"/>
    <mergeCell ref="D275:D276"/>
    <mergeCell ref="E275:E276"/>
    <mergeCell ref="F275:F276"/>
    <mergeCell ref="G287:G288"/>
    <mergeCell ref="H287:H288"/>
    <mergeCell ref="A289:A290"/>
    <mergeCell ref="B289:B290"/>
    <mergeCell ref="C289:C290"/>
    <mergeCell ref="D289:D290"/>
    <mergeCell ref="E289:E290"/>
    <mergeCell ref="F289:F290"/>
    <mergeCell ref="G289:G290"/>
    <mergeCell ref="H289:H290"/>
    <mergeCell ref="A287:A288"/>
    <mergeCell ref="B287:B288"/>
    <mergeCell ref="C287:C288"/>
    <mergeCell ref="D287:D288"/>
    <mergeCell ref="E287:E288"/>
    <mergeCell ref="F287:F288"/>
    <mergeCell ref="G283:G284"/>
    <mergeCell ref="H283:H284"/>
    <mergeCell ref="A285:A286"/>
    <mergeCell ref="B285:B286"/>
    <mergeCell ref="C285:C286"/>
    <mergeCell ref="D285:D286"/>
    <mergeCell ref="A283:A284"/>
    <mergeCell ref="B283:B284"/>
    <mergeCell ref="C283:C284"/>
    <mergeCell ref="D283:D284"/>
    <mergeCell ref="A267:A268"/>
    <mergeCell ref="B267:B268"/>
    <mergeCell ref="C267:C268"/>
    <mergeCell ref="D267:D268"/>
    <mergeCell ref="E267:E268"/>
    <mergeCell ref="F267:F268"/>
    <mergeCell ref="G279:G280"/>
    <mergeCell ref="H279:H280"/>
    <mergeCell ref="A281:A282"/>
    <mergeCell ref="B281:B282"/>
    <mergeCell ref="C281:C282"/>
    <mergeCell ref="D281:D282"/>
    <mergeCell ref="E281:E282"/>
    <mergeCell ref="F281:F282"/>
    <mergeCell ref="G281:G282"/>
    <mergeCell ref="H281:H282"/>
    <mergeCell ref="A279:A280"/>
    <mergeCell ref="B279:B280"/>
    <mergeCell ref="C279:C280"/>
    <mergeCell ref="D279:D280"/>
    <mergeCell ref="E279:E280"/>
    <mergeCell ref="F279:F280"/>
    <mergeCell ref="G275:G276"/>
    <mergeCell ref="H275:H276"/>
    <mergeCell ref="A277:A278"/>
    <mergeCell ref="B277:B278"/>
    <mergeCell ref="C277:C278"/>
    <mergeCell ref="D277:D278"/>
    <mergeCell ref="E277:E278"/>
    <mergeCell ref="F277:F278"/>
    <mergeCell ref="G277:G278"/>
    <mergeCell ref="H277:H278"/>
    <mergeCell ref="A259:A260"/>
    <mergeCell ref="B259:B260"/>
    <mergeCell ref="C259:C260"/>
    <mergeCell ref="D259:D260"/>
    <mergeCell ref="E259:E260"/>
    <mergeCell ref="F259:F260"/>
    <mergeCell ref="G271:G272"/>
    <mergeCell ref="H271:H272"/>
    <mergeCell ref="A273:A274"/>
    <mergeCell ref="B273:B274"/>
    <mergeCell ref="C273:C274"/>
    <mergeCell ref="D273:D274"/>
    <mergeCell ref="E273:E274"/>
    <mergeCell ref="F273:F274"/>
    <mergeCell ref="G273:G274"/>
    <mergeCell ref="H273:H274"/>
    <mergeCell ref="A271:A272"/>
    <mergeCell ref="B271:B272"/>
    <mergeCell ref="C271:C272"/>
    <mergeCell ref="D271:D272"/>
    <mergeCell ref="E271:E272"/>
    <mergeCell ref="F271:F272"/>
    <mergeCell ref="G267:G268"/>
    <mergeCell ref="H267:H268"/>
    <mergeCell ref="A269:A270"/>
    <mergeCell ref="B269:B270"/>
    <mergeCell ref="C269:C270"/>
    <mergeCell ref="D269:D270"/>
    <mergeCell ref="E269:E270"/>
    <mergeCell ref="F269:F270"/>
    <mergeCell ref="G269:G270"/>
    <mergeCell ref="H269:H270"/>
    <mergeCell ref="A245:A246"/>
    <mergeCell ref="B245:B246"/>
    <mergeCell ref="C245:C246"/>
    <mergeCell ref="D245:D246"/>
    <mergeCell ref="E245:E246"/>
    <mergeCell ref="F245:F246"/>
    <mergeCell ref="G263:G264"/>
    <mergeCell ref="H263:H264"/>
    <mergeCell ref="A265:A266"/>
    <mergeCell ref="B265:B266"/>
    <mergeCell ref="C265:C266"/>
    <mergeCell ref="D265:D266"/>
    <mergeCell ref="E265:E266"/>
    <mergeCell ref="F265:F266"/>
    <mergeCell ref="G265:G266"/>
    <mergeCell ref="H265:H266"/>
    <mergeCell ref="A263:A264"/>
    <mergeCell ref="B263:B264"/>
    <mergeCell ref="C263:C264"/>
    <mergeCell ref="D263:D264"/>
    <mergeCell ref="E263:E264"/>
    <mergeCell ref="F263:F264"/>
    <mergeCell ref="G259:G260"/>
    <mergeCell ref="H259:H260"/>
    <mergeCell ref="A261:A262"/>
    <mergeCell ref="B261:B262"/>
    <mergeCell ref="C261:C262"/>
    <mergeCell ref="D261:D262"/>
    <mergeCell ref="E261:E262"/>
    <mergeCell ref="F261:F262"/>
    <mergeCell ref="G261:G262"/>
    <mergeCell ref="H261:H262"/>
    <mergeCell ref="A237:A238"/>
    <mergeCell ref="B237:B238"/>
    <mergeCell ref="C237:C238"/>
    <mergeCell ref="D237:D238"/>
    <mergeCell ref="E237:E238"/>
    <mergeCell ref="F237:F238"/>
    <mergeCell ref="G249:G250"/>
    <mergeCell ref="H249:H250"/>
    <mergeCell ref="A257:A258"/>
    <mergeCell ref="B257:B258"/>
    <mergeCell ref="C257:C258"/>
    <mergeCell ref="D257:D258"/>
    <mergeCell ref="E257:E258"/>
    <mergeCell ref="F257:F258"/>
    <mergeCell ref="G257:G258"/>
    <mergeCell ref="H257:H258"/>
    <mergeCell ref="A249:A250"/>
    <mergeCell ref="B249:B250"/>
    <mergeCell ref="C249:C250"/>
    <mergeCell ref="D249:D250"/>
    <mergeCell ref="E249:E250"/>
    <mergeCell ref="F249:F250"/>
    <mergeCell ref="G245:G246"/>
    <mergeCell ref="H245:H246"/>
    <mergeCell ref="A247:A248"/>
    <mergeCell ref="B247:B248"/>
    <mergeCell ref="C247:C248"/>
    <mergeCell ref="D247:D248"/>
    <mergeCell ref="E247:E248"/>
    <mergeCell ref="F247:F248"/>
    <mergeCell ref="G247:G248"/>
    <mergeCell ref="H247:H248"/>
    <mergeCell ref="A229:A230"/>
    <mergeCell ref="B229:B230"/>
    <mergeCell ref="C229:C230"/>
    <mergeCell ref="D229:D230"/>
    <mergeCell ref="E229:E230"/>
    <mergeCell ref="F229:F230"/>
    <mergeCell ref="G241:G242"/>
    <mergeCell ref="H241:H242"/>
    <mergeCell ref="A243:A244"/>
    <mergeCell ref="B243:B244"/>
    <mergeCell ref="C243:C244"/>
    <mergeCell ref="D243:D244"/>
    <mergeCell ref="E243:E244"/>
    <mergeCell ref="F243:F244"/>
    <mergeCell ref="G243:G244"/>
    <mergeCell ref="H243:H244"/>
    <mergeCell ref="A241:A242"/>
    <mergeCell ref="B241:B242"/>
    <mergeCell ref="C241:C242"/>
    <mergeCell ref="D241:D242"/>
    <mergeCell ref="E241:E242"/>
    <mergeCell ref="F241:F242"/>
    <mergeCell ref="G237:G238"/>
    <mergeCell ref="H237:H238"/>
    <mergeCell ref="A239:A240"/>
    <mergeCell ref="B239:B240"/>
    <mergeCell ref="C239:C240"/>
    <mergeCell ref="D239:D240"/>
    <mergeCell ref="E239:E240"/>
    <mergeCell ref="F239:F240"/>
    <mergeCell ref="G239:G240"/>
    <mergeCell ref="H239:H240"/>
    <mergeCell ref="A221:A222"/>
    <mergeCell ref="B221:B222"/>
    <mergeCell ref="C221:C222"/>
    <mergeCell ref="D221:D222"/>
    <mergeCell ref="E221:E222"/>
    <mergeCell ref="F221:F222"/>
    <mergeCell ref="G233:G234"/>
    <mergeCell ref="H233:H234"/>
    <mergeCell ref="A235:A236"/>
    <mergeCell ref="B235:B236"/>
    <mergeCell ref="C235:C236"/>
    <mergeCell ref="D235:D236"/>
    <mergeCell ref="E235:E236"/>
    <mergeCell ref="F235:F236"/>
    <mergeCell ref="G235:G236"/>
    <mergeCell ref="H235:H236"/>
    <mergeCell ref="A233:A234"/>
    <mergeCell ref="B233:B234"/>
    <mergeCell ref="C233:C234"/>
    <mergeCell ref="D233:D234"/>
    <mergeCell ref="E233:E234"/>
    <mergeCell ref="F233:F234"/>
    <mergeCell ref="G229:G230"/>
    <mergeCell ref="H229:H230"/>
    <mergeCell ref="A231:A232"/>
    <mergeCell ref="B231:B232"/>
    <mergeCell ref="C231:C232"/>
    <mergeCell ref="D231:D232"/>
    <mergeCell ref="E231:E232"/>
    <mergeCell ref="F231:F232"/>
    <mergeCell ref="G231:G232"/>
    <mergeCell ref="H231:H232"/>
    <mergeCell ref="A213:A214"/>
    <mergeCell ref="B213:B214"/>
    <mergeCell ref="C213:C214"/>
    <mergeCell ref="D213:D214"/>
    <mergeCell ref="E213:E214"/>
    <mergeCell ref="F213:F214"/>
    <mergeCell ref="G225:G226"/>
    <mergeCell ref="H225:H226"/>
    <mergeCell ref="A227:A228"/>
    <mergeCell ref="B227:B228"/>
    <mergeCell ref="C227:C228"/>
    <mergeCell ref="D227:D228"/>
    <mergeCell ref="E227:E228"/>
    <mergeCell ref="F227:F228"/>
    <mergeCell ref="G227:G228"/>
    <mergeCell ref="H227:H228"/>
    <mergeCell ref="A225:A226"/>
    <mergeCell ref="B225:B226"/>
    <mergeCell ref="C225:C226"/>
    <mergeCell ref="D225:D226"/>
    <mergeCell ref="E225:E226"/>
    <mergeCell ref="F225:F226"/>
    <mergeCell ref="G221:G222"/>
    <mergeCell ref="H221:H222"/>
    <mergeCell ref="A223:A224"/>
    <mergeCell ref="B223:B224"/>
    <mergeCell ref="C223:C224"/>
    <mergeCell ref="D223:D224"/>
    <mergeCell ref="E223:E224"/>
    <mergeCell ref="F223:F224"/>
    <mergeCell ref="G223:G224"/>
    <mergeCell ref="H223:H224"/>
    <mergeCell ref="A205:A206"/>
    <mergeCell ref="B205:B206"/>
    <mergeCell ref="C205:C206"/>
    <mergeCell ref="D205:D206"/>
    <mergeCell ref="E205:E206"/>
    <mergeCell ref="F205:F206"/>
    <mergeCell ref="G217:G218"/>
    <mergeCell ref="H217:H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A217:A218"/>
    <mergeCell ref="B217:B218"/>
    <mergeCell ref="C217:C218"/>
    <mergeCell ref="D217:D218"/>
    <mergeCell ref="E217:E218"/>
    <mergeCell ref="F217:F218"/>
    <mergeCell ref="G213:G214"/>
    <mergeCell ref="H213:H214"/>
    <mergeCell ref="A215:A216"/>
    <mergeCell ref="B215:B216"/>
    <mergeCell ref="C215:C216"/>
    <mergeCell ref="D215:D216"/>
    <mergeCell ref="E215:E216"/>
    <mergeCell ref="F215:F216"/>
    <mergeCell ref="G215:G216"/>
    <mergeCell ref="H215:H216"/>
    <mergeCell ref="A197:A198"/>
    <mergeCell ref="B197:B198"/>
    <mergeCell ref="C197:C198"/>
    <mergeCell ref="D197:D198"/>
    <mergeCell ref="E197:E198"/>
    <mergeCell ref="F197:F198"/>
    <mergeCell ref="G209:G210"/>
    <mergeCell ref="H209:H210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A209:A210"/>
    <mergeCell ref="B209:B210"/>
    <mergeCell ref="C209:C210"/>
    <mergeCell ref="D209:D210"/>
    <mergeCell ref="E209:E210"/>
    <mergeCell ref="F209:F210"/>
    <mergeCell ref="G205:G206"/>
    <mergeCell ref="H205:H206"/>
    <mergeCell ref="A207:A208"/>
    <mergeCell ref="B207:B208"/>
    <mergeCell ref="C207:C208"/>
    <mergeCell ref="D207:D208"/>
    <mergeCell ref="E207:E208"/>
    <mergeCell ref="F207:F208"/>
    <mergeCell ref="G207:G208"/>
    <mergeCell ref="H207:H208"/>
    <mergeCell ref="A189:A190"/>
    <mergeCell ref="B189:B190"/>
    <mergeCell ref="C189:C190"/>
    <mergeCell ref="D189:D190"/>
    <mergeCell ref="E189:E190"/>
    <mergeCell ref="F189:F190"/>
    <mergeCell ref="G201:G202"/>
    <mergeCell ref="H201:H202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A201:A202"/>
    <mergeCell ref="B201:B202"/>
    <mergeCell ref="C201:C202"/>
    <mergeCell ref="D201:D202"/>
    <mergeCell ref="E201:E202"/>
    <mergeCell ref="F201:F202"/>
    <mergeCell ref="G197:G198"/>
    <mergeCell ref="H197:H198"/>
    <mergeCell ref="A199:A200"/>
    <mergeCell ref="B199:B200"/>
    <mergeCell ref="C199:C200"/>
    <mergeCell ref="D199:D200"/>
    <mergeCell ref="E199:E200"/>
    <mergeCell ref="F199:F200"/>
    <mergeCell ref="G199:G200"/>
    <mergeCell ref="H199:H200"/>
    <mergeCell ref="A181:A182"/>
    <mergeCell ref="B181:B182"/>
    <mergeCell ref="C181:C182"/>
    <mergeCell ref="D181:D182"/>
    <mergeCell ref="E181:E182"/>
    <mergeCell ref="F181:F182"/>
    <mergeCell ref="G193:G194"/>
    <mergeCell ref="H193:H194"/>
    <mergeCell ref="A195:A196"/>
    <mergeCell ref="B195:B196"/>
    <mergeCell ref="C195:C196"/>
    <mergeCell ref="D195:D196"/>
    <mergeCell ref="E195:E196"/>
    <mergeCell ref="F195:F196"/>
    <mergeCell ref="G195:G196"/>
    <mergeCell ref="H195:H196"/>
    <mergeCell ref="A193:A194"/>
    <mergeCell ref="B193:B194"/>
    <mergeCell ref="C193:C194"/>
    <mergeCell ref="D193:D194"/>
    <mergeCell ref="E193:E194"/>
    <mergeCell ref="F193:F194"/>
    <mergeCell ref="G189:G190"/>
    <mergeCell ref="H189:H190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A173:A174"/>
    <mergeCell ref="B173:B174"/>
    <mergeCell ref="C173:C174"/>
    <mergeCell ref="D173:D174"/>
    <mergeCell ref="E173:E174"/>
    <mergeCell ref="F173:F174"/>
    <mergeCell ref="G185:G186"/>
    <mergeCell ref="H185:H186"/>
    <mergeCell ref="A187:A188"/>
    <mergeCell ref="B187:B188"/>
    <mergeCell ref="C187:C188"/>
    <mergeCell ref="D187:D188"/>
    <mergeCell ref="E187:E188"/>
    <mergeCell ref="F187:F188"/>
    <mergeCell ref="G187:G188"/>
    <mergeCell ref="H187:H188"/>
    <mergeCell ref="A185:A186"/>
    <mergeCell ref="B185:B186"/>
    <mergeCell ref="C185:C186"/>
    <mergeCell ref="D185:D186"/>
    <mergeCell ref="E185:E186"/>
    <mergeCell ref="F185:F186"/>
    <mergeCell ref="G181:G182"/>
    <mergeCell ref="H181:H182"/>
    <mergeCell ref="A183:A184"/>
    <mergeCell ref="B183:B184"/>
    <mergeCell ref="C183:C184"/>
    <mergeCell ref="D183:D184"/>
    <mergeCell ref="E183:E184"/>
    <mergeCell ref="F183:F184"/>
    <mergeCell ref="G183:G184"/>
    <mergeCell ref="H183:H184"/>
    <mergeCell ref="A154:A155"/>
    <mergeCell ref="B154:B155"/>
    <mergeCell ref="C154:C155"/>
    <mergeCell ref="D154:D155"/>
    <mergeCell ref="E154:E155"/>
    <mergeCell ref="F154:F155"/>
    <mergeCell ref="G177:G178"/>
    <mergeCell ref="H177:H178"/>
    <mergeCell ref="A179:A180"/>
    <mergeCell ref="B179:B180"/>
    <mergeCell ref="C179:C180"/>
    <mergeCell ref="D179:D180"/>
    <mergeCell ref="E179:E180"/>
    <mergeCell ref="F179:F180"/>
    <mergeCell ref="G179:G180"/>
    <mergeCell ref="H179:H180"/>
    <mergeCell ref="A177:A178"/>
    <mergeCell ref="B177:B178"/>
    <mergeCell ref="C177:C178"/>
    <mergeCell ref="D177:D178"/>
    <mergeCell ref="E177:E178"/>
    <mergeCell ref="F177:F178"/>
    <mergeCell ref="G173:G174"/>
    <mergeCell ref="H173:H174"/>
    <mergeCell ref="A175:A176"/>
    <mergeCell ref="B175:B176"/>
    <mergeCell ref="C175:C176"/>
    <mergeCell ref="D175:D176"/>
    <mergeCell ref="E175:E176"/>
    <mergeCell ref="F175:F176"/>
    <mergeCell ref="G175:G176"/>
    <mergeCell ref="H175:H176"/>
    <mergeCell ref="E148:E149"/>
    <mergeCell ref="F148:F149"/>
    <mergeCell ref="G148:G149"/>
    <mergeCell ref="H148:H149"/>
    <mergeCell ref="A146:A147"/>
    <mergeCell ref="B146:B147"/>
    <mergeCell ref="C146:C147"/>
    <mergeCell ref="D146:D147"/>
    <mergeCell ref="E146:E147"/>
    <mergeCell ref="F146:F147"/>
    <mergeCell ref="G158:G159"/>
    <mergeCell ref="H158:H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A158:A159"/>
    <mergeCell ref="B158:B159"/>
    <mergeCell ref="C158:C159"/>
    <mergeCell ref="D158:D159"/>
    <mergeCell ref="E158:E159"/>
    <mergeCell ref="F158:F159"/>
    <mergeCell ref="G154:G155"/>
    <mergeCell ref="H154:H155"/>
    <mergeCell ref="A156:A157"/>
    <mergeCell ref="B156:B157"/>
    <mergeCell ref="C156:C157"/>
    <mergeCell ref="D156:D157"/>
    <mergeCell ref="E140:E141"/>
    <mergeCell ref="F140:F141"/>
    <mergeCell ref="G140:G141"/>
    <mergeCell ref="H140:H141"/>
    <mergeCell ref="A138:A139"/>
    <mergeCell ref="B138:B139"/>
    <mergeCell ref="C138:C139"/>
    <mergeCell ref="D138:D139"/>
    <mergeCell ref="E138:E139"/>
    <mergeCell ref="F138:F139"/>
    <mergeCell ref="G150:G151"/>
    <mergeCell ref="H150:H151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A150:A151"/>
    <mergeCell ref="B150:B151"/>
    <mergeCell ref="C150:C151"/>
    <mergeCell ref="D150:D151"/>
    <mergeCell ref="E150:E151"/>
    <mergeCell ref="F150:F151"/>
    <mergeCell ref="G146:G147"/>
    <mergeCell ref="H146:H147"/>
    <mergeCell ref="A148:A149"/>
    <mergeCell ref="B148:B149"/>
    <mergeCell ref="C148:C149"/>
    <mergeCell ref="D148:D149"/>
    <mergeCell ref="E132:E133"/>
    <mergeCell ref="F132:F133"/>
    <mergeCell ref="G132:G133"/>
    <mergeCell ref="H132:H133"/>
    <mergeCell ref="A130:A131"/>
    <mergeCell ref="B130:B131"/>
    <mergeCell ref="C130:C131"/>
    <mergeCell ref="D130:D131"/>
    <mergeCell ref="E130:E131"/>
    <mergeCell ref="F130:F131"/>
    <mergeCell ref="G142:G143"/>
    <mergeCell ref="H142:H143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A142:A143"/>
    <mergeCell ref="B142:B143"/>
    <mergeCell ref="C142:C143"/>
    <mergeCell ref="D142:D143"/>
    <mergeCell ref="E142:E143"/>
    <mergeCell ref="F142:F143"/>
    <mergeCell ref="G138:G139"/>
    <mergeCell ref="H138:H139"/>
    <mergeCell ref="A140:A141"/>
    <mergeCell ref="B140:B141"/>
    <mergeCell ref="C140:C141"/>
    <mergeCell ref="D140:D141"/>
    <mergeCell ref="E124:E125"/>
    <mergeCell ref="F124:F125"/>
    <mergeCell ref="G124:G125"/>
    <mergeCell ref="H124:H125"/>
    <mergeCell ref="A122:A123"/>
    <mergeCell ref="B122:B123"/>
    <mergeCell ref="C122:C123"/>
    <mergeCell ref="D122:D123"/>
    <mergeCell ref="E122:E123"/>
    <mergeCell ref="F122:F123"/>
    <mergeCell ref="G134:G135"/>
    <mergeCell ref="H134:H135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A134:A135"/>
    <mergeCell ref="B134:B135"/>
    <mergeCell ref="C134:C135"/>
    <mergeCell ref="D134:D135"/>
    <mergeCell ref="E134:E135"/>
    <mergeCell ref="F134:F135"/>
    <mergeCell ref="G130:G131"/>
    <mergeCell ref="H130:H131"/>
    <mergeCell ref="A132:A133"/>
    <mergeCell ref="B132:B133"/>
    <mergeCell ref="C132:C133"/>
    <mergeCell ref="D132:D133"/>
    <mergeCell ref="E116:E117"/>
    <mergeCell ref="F116:F117"/>
    <mergeCell ref="G116:G117"/>
    <mergeCell ref="H116:H117"/>
    <mergeCell ref="A114:A115"/>
    <mergeCell ref="B114:B115"/>
    <mergeCell ref="C114:C115"/>
    <mergeCell ref="D114:D115"/>
    <mergeCell ref="E114:E115"/>
    <mergeCell ref="F114:F115"/>
    <mergeCell ref="G126:G127"/>
    <mergeCell ref="H126:H127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A126:A127"/>
    <mergeCell ref="B126:B127"/>
    <mergeCell ref="C126:C127"/>
    <mergeCell ref="D126:D127"/>
    <mergeCell ref="E126:E127"/>
    <mergeCell ref="F126:F127"/>
    <mergeCell ref="G122:G123"/>
    <mergeCell ref="H122:H123"/>
    <mergeCell ref="A124:A125"/>
    <mergeCell ref="B124:B125"/>
    <mergeCell ref="C124:C125"/>
    <mergeCell ref="D124:D125"/>
    <mergeCell ref="E108:E109"/>
    <mergeCell ref="F108:F109"/>
    <mergeCell ref="G108:G109"/>
    <mergeCell ref="H108:H109"/>
    <mergeCell ref="A106:A107"/>
    <mergeCell ref="B106:B107"/>
    <mergeCell ref="C106:C107"/>
    <mergeCell ref="D106:D107"/>
    <mergeCell ref="E106:E107"/>
    <mergeCell ref="F106:F107"/>
    <mergeCell ref="G118:G119"/>
    <mergeCell ref="H118:H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18:A119"/>
    <mergeCell ref="B118:B119"/>
    <mergeCell ref="C118:C119"/>
    <mergeCell ref="D118:D119"/>
    <mergeCell ref="E118:E119"/>
    <mergeCell ref="F118:F119"/>
    <mergeCell ref="G114:G115"/>
    <mergeCell ref="H114:H115"/>
    <mergeCell ref="A116:A117"/>
    <mergeCell ref="B116:B117"/>
    <mergeCell ref="C116:C117"/>
    <mergeCell ref="D116:D117"/>
    <mergeCell ref="E100:E101"/>
    <mergeCell ref="F100:F101"/>
    <mergeCell ref="G100:G101"/>
    <mergeCell ref="H100:H101"/>
    <mergeCell ref="A98:A99"/>
    <mergeCell ref="B98:B99"/>
    <mergeCell ref="C98:C99"/>
    <mergeCell ref="D98:D99"/>
    <mergeCell ref="E98:E99"/>
    <mergeCell ref="F98:F99"/>
    <mergeCell ref="G110:G111"/>
    <mergeCell ref="H110:H111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A110:A111"/>
    <mergeCell ref="B110:B111"/>
    <mergeCell ref="C110:C111"/>
    <mergeCell ref="D110:D111"/>
    <mergeCell ref="E110:E111"/>
    <mergeCell ref="F110:F111"/>
    <mergeCell ref="G106:G107"/>
    <mergeCell ref="H106:H107"/>
    <mergeCell ref="A108:A109"/>
    <mergeCell ref="B108:B109"/>
    <mergeCell ref="C108:C109"/>
    <mergeCell ref="D108:D109"/>
    <mergeCell ref="E92:E93"/>
    <mergeCell ref="F92:F93"/>
    <mergeCell ref="G92:G93"/>
    <mergeCell ref="H92:H93"/>
    <mergeCell ref="A90:A91"/>
    <mergeCell ref="B90:B91"/>
    <mergeCell ref="C90:C91"/>
    <mergeCell ref="D90:D91"/>
    <mergeCell ref="E90:E91"/>
    <mergeCell ref="F90:F91"/>
    <mergeCell ref="G102:G103"/>
    <mergeCell ref="H102:H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A102:A103"/>
    <mergeCell ref="B102:B103"/>
    <mergeCell ref="C102:C103"/>
    <mergeCell ref="D102:D103"/>
    <mergeCell ref="E102:E103"/>
    <mergeCell ref="F102:F103"/>
    <mergeCell ref="G98:G99"/>
    <mergeCell ref="H98:H99"/>
    <mergeCell ref="A100:A101"/>
    <mergeCell ref="B100:B101"/>
    <mergeCell ref="C100:C101"/>
    <mergeCell ref="D100:D101"/>
    <mergeCell ref="E84:E85"/>
    <mergeCell ref="F84:F85"/>
    <mergeCell ref="G84:G85"/>
    <mergeCell ref="H84:H85"/>
    <mergeCell ref="A82:A83"/>
    <mergeCell ref="B82:B83"/>
    <mergeCell ref="C82:C83"/>
    <mergeCell ref="D82:D83"/>
    <mergeCell ref="E82:E83"/>
    <mergeCell ref="F82:F83"/>
    <mergeCell ref="G94:G95"/>
    <mergeCell ref="H94:H95"/>
    <mergeCell ref="A96:A97"/>
    <mergeCell ref="B96:B97"/>
    <mergeCell ref="C96:C97"/>
    <mergeCell ref="D96:D97"/>
    <mergeCell ref="E96:E97"/>
    <mergeCell ref="F96:F97"/>
    <mergeCell ref="G96:G97"/>
    <mergeCell ref="H96:H97"/>
    <mergeCell ref="A94:A95"/>
    <mergeCell ref="B94:B95"/>
    <mergeCell ref="C94:C95"/>
    <mergeCell ref="D94:D95"/>
    <mergeCell ref="E94:E95"/>
    <mergeCell ref="F94:F95"/>
    <mergeCell ref="G90:G91"/>
    <mergeCell ref="H90:H91"/>
    <mergeCell ref="A92:A93"/>
    <mergeCell ref="B92:B93"/>
    <mergeCell ref="C92:C93"/>
    <mergeCell ref="D92:D93"/>
    <mergeCell ref="E65:E66"/>
    <mergeCell ref="F65:F66"/>
    <mergeCell ref="G65:G66"/>
    <mergeCell ref="H65:H66"/>
    <mergeCell ref="A63:A64"/>
    <mergeCell ref="B63:B64"/>
    <mergeCell ref="C63:C64"/>
    <mergeCell ref="D63:D64"/>
    <mergeCell ref="E63:E64"/>
    <mergeCell ref="F63:F64"/>
    <mergeCell ref="G86:G87"/>
    <mergeCell ref="H86:H87"/>
    <mergeCell ref="A88:A89"/>
    <mergeCell ref="B88:B89"/>
    <mergeCell ref="C88:C89"/>
    <mergeCell ref="D88:D89"/>
    <mergeCell ref="E88:E89"/>
    <mergeCell ref="F88:F89"/>
    <mergeCell ref="G88:G89"/>
    <mergeCell ref="H88:H89"/>
    <mergeCell ref="A86:A87"/>
    <mergeCell ref="B86:B87"/>
    <mergeCell ref="C86:C87"/>
    <mergeCell ref="D86:D87"/>
    <mergeCell ref="E86:E87"/>
    <mergeCell ref="F86:F87"/>
    <mergeCell ref="G82:G83"/>
    <mergeCell ref="H82:H83"/>
    <mergeCell ref="A84:A85"/>
    <mergeCell ref="B84:B85"/>
    <mergeCell ref="C84:C85"/>
    <mergeCell ref="D84:D85"/>
    <mergeCell ref="E57:E58"/>
    <mergeCell ref="F57:F58"/>
    <mergeCell ref="G57:G58"/>
    <mergeCell ref="H57:H58"/>
    <mergeCell ref="A55:A56"/>
    <mergeCell ref="B55:B56"/>
    <mergeCell ref="C55:C56"/>
    <mergeCell ref="D55:D56"/>
    <mergeCell ref="E55:E56"/>
    <mergeCell ref="F55:F56"/>
    <mergeCell ref="G67:G68"/>
    <mergeCell ref="H67:H68"/>
    <mergeCell ref="A69:A70"/>
    <mergeCell ref="B69:B70"/>
    <mergeCell ref="C69:C70"/>
    <mergeCell ref="D69:D70"/>
    <mergeCell ref="E69:E70"/>
    <mergeCell ref="F69:F70"/>
    <mergeCell ref="G69:G70"/>
    <mergeCell ref="H69:H70"/>
    <mergeCell ref="A67:A68"/>
    <mergeCell ref="B67:B68"/>
    <mergeCell ref="C67:C68"/>
    <mergeCell ref="D67:D68"/>
    <mergeCell ref="E67:E68"/>
    <mergeCell ref="F67:F68"/>
    <mergeCell ref="G63:G64"/>
    <mergeCell ref="H63:H64"/>
    <mergeCell ref="A65:A66"/>
    <mergeCell ref="B65:B66"/>
    <mergeCell ref="C65:C66"/>
    <mergeCell ref="D65:D66"/>
    <mergeCell ref="E49:E50"/>
    <mergeCell ref="F49:F50"/>
    <mergeCell ref="G49:G50"/>
    <mergeCell ref="H49:H50"/>
    <mergeCell ref="A47:A48"/>
    <mergeCell ref="B47:B48"/>
    <mergeCell ref="C47:C48"/>
    <mergeCell ref="D47:D48"/>
    <mergeCell ref="E47:E48"/>
    <mergeCell ref="F47:F48"/>
    <mergeCell ref="G59:G60"/>
    <mergeCell ref="H59:H60"/>
    <mergeCell ref="A61:A62"/>
    <mergeCell ref="B61:B62"/>
    <mergeCell ref="C61:C62"/>
    <mergeCell ref="D61:D62"/>
    <mergeCell ref="E61:E62"/>
    <mergeCell ref="F61:F62"/>
    <mergeCell ref="G61:G62"/>
    <mergeCell ref="H61:H62"/>
    <mergeCell ref="A59:A60"/>
    <mergeCell ref="B59:B60"/>
    <mergeCell ref="C59:C60"/>
    <mergeCell ref="D59:D60"/>
    <mergeCell ref="E59:E60"/>
    <mergeCell ref="F59:F60"/>
    <mergeCell ref="G55:G56"/>
    <mergeCell ref="H55:H56"/>
    <mergeCell ref="A57:A58"/>
    <mergeCell ref="B57:B58"/>
    <mergeCell ref="C57:C58"/>
    <mergeCell ref="D57:D58"/>
    <mergeCell ref="E41:E42"/>
    <mergeCell ref="F41:F42"/>
    <mergeCell ref="G41:G42"/>
    <mergeCell ref="H41:H42"/>
    <mergeCell ref="A39:A40"/>
    <mergeCell ref="B39:B40"/>
    <mergeCell ref="C39:C40"/>
    <mergeCell ref="D39:D40"/>
    <mergeCell ref="E39:E40"/>
    <mergeCell ref="F39:F40"/>
    <mergeCell ref="G51:G52"/>
    <mergeCell ref="H51:H52"/>
    <mergeCell ref="A53:A54"/>
    <mergeCell ref="B53:B54"/>
    <mergeCell ref="C53:C54"/>
    <mergeCell ref="D53:D54"/>
    <mergeCell ref="E53:E54"/>
    <mergeCell ref="F53:F54"/>
    <mergeCell ref="G53:G54"/>
    <mergeCell ref="H53:H54"/>
    <mergeCell ref="A51:A52"/>
    <mergeCell ref="B51:B52"/>
    <mergeCell ref="C51:C52"/>
    <mergeCell ref="D51:D52"/>
    <mergeCell ref="E51:E52"/>
    <mergeCell ref="F51:F52"/>
    <mergeCell ref="G47:G48"/>
    <mergeCell ref="H47:H48"/>
    <mergeCell ref="A49:A50"/>
    <mergeCell ref="B49:B50"/>
    <mergeCell ref="C49:C50"/>
    <mergeCell ref="D49:D50"/>
    <mergeCell ref="E33:E34"/>
    <mergeCell ref="F33:F34"/>
    <mergeCell ref="G33:G34"/>
    <mergeCell ref="H33:H34"/>
    <mergeCell ref="A31:A32"/>
    <mergeCell ref="B31:B32"/>
    <mergeCell ref="C31:C32"/>
    <mergeCell ref="D31:D32"/>
    <mergeCell ref="E31:E32"/>
    <mergeCell ref="F31:F32"/>
    <mergeCell ref="G43:G44"/>
    <mergeCell ref="H43:H44"/>
    <mergeCell ref="A45:A46"/>
    <mergeCell ref="B45:B46"/>
    <mergeCell ref="C45:C46"/>
    <mergeCell ref="D45:D46"/>
    <mergeCell ref="E45:E46"/>
    <mergeCell ref="F45:F46"/>
    <mergeCell ref="G45:G46"/>
    <mergeCell ref="H45:H46"/>
    <mergeCell ref="A43:A44"/>
    <mergeCell ref="B43:B44"/>
    <mergeCell ref="C43:C44"/>
    <mergeCell ref="D43:D44"/>
    <mergeCell ref="E43:E44"/>
    <mergeCell ref="F43:F44"/>
    <mergeCell ref="G39:G40"/>
    <mergeCell ref="H39:H40"/>
    <mergeCell ref="A41:A42"/>
    <mergeCell ref="B41:B42"/>
    <mergeCell ref="C41:C42"/>
    <mergeCell ref="D41:D42"/>
    <mergeCell ref="E25:E26"/>
    <mergeCell ref="F25:F26"/>
    <mergeCell ref="G25:G26"/>
    <mergeCell ref="H25:H26"/>
    <mergeCell ref="A23:A24"/>
    <mergeCell ref="B23:B24"/>
    <mergeCell ref="C23:C24"/>
    <mergeCell ref="D23:D24"/>
    <mergeCell ref="E23:E24"/>
    <mergeCell ref="F23:F24"/>
    <mergeCell ref="G35:G36"/>
    <mergeCell ref="H35:H36"/>
    <mergeCell ref="A37:A38"/>
    <mergeCell ref="B37:B38"/>
    <mergeCell ref="C37:C38"/>
    <mergeCell ref="D37:D38"/>
    <mergeCell ref="E37:E38"/>
    <mergeCell ref="F37:F38"/>
    <mergeCell ref="G37:G38"/>
    <mergeCell ref="H37:H38"/>
    <mergeCell ref="A35:A36"/>
    <mergeCell ref="B35:B36"/>
    <mergeCell ref="C35:C36"/>
    <mergeCell ref="D35:D36"/>
    <mergeCell ref="E35:E36"/>
    <mergeCell ref="F35:F36"/>
    <mergeCell ref="G31:G32"/>
    <mergeCell ref="H31:H32"/>
    <mergeCell ref="A33:A34"/>
    <mergeCell ref="B33:B34"/>
    <mergeCell ref="C33:C34"/>
    <mergeCell ref="D33:D34"/>
    <mergeCell ref="E17:E18"/>
    <mergeCell ref="F17:F18"/>
    <mergeCell ref="G17:G18"/>
    <mergeCell ref="H17:H18"/>
    <mergeCell ref="A15:A16"/>
    <mergeCell ref="B15:B16"/>
    <mergeCell ref="C15:C16"/>
    <mergeCell ref="D15:D16"/>
    <mergeCell ref="E15:E16"/>
    <mergeCell ref="F15:F16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29:H30"/>
    <mergeCell ref="A27:A28"/>
    <mergeCell ref="B27:B28"/>
    <mergeCell ref="C27:C28"/>
    <mergeCell ref="D27:D28"/>
    <mergeCell ref="E27:E28"/>
    <mergeCell ref="F27:F28"/>
    <mergeCell ref="G23:G24"/>
    <mergeCell ref="H23:H24"/>
    <mergeCell ref="A25:A26"/>
    <mergeCell ref="B25:B26"/>
    <mergeCell ref="C25:C26"/>
    <mergeCell ref="D25:D26"/>
    <mergeCell ref="E9:E10"/>
    <mergeCell ref="F9:F10"/>
    <mergeCell ref="G9:G10"/>
    <mergeCell ref="H9:H10"/>
    <mergeCell ref="A7:A8"/>
    <mergeCell ref="B7:B8"/>
    <mergeCell ref="C7:C8"/>
    <mergeCell ref="D7:D8"/>
    <mergeCell ref="E7:E8"/>
    <mergeCell ref="F7:F8"/>
    <mergeCell ref="G19:G20"/>
    <mergeCell ref="H19:H20"/>
    <mergeCell ref="A21:A22"/>
    <mergeCell ref="B21:B22"/>
    <mergeCell ref="C21:C22"/>
    <mergeCell ref="D21:D22"/>
    <mergeCell ref="E21:E22"/>
    <mergeCell ref="F21:F22"/>
    <mergeCell ref="G21:G22"/>
    <mergeCell ref="H21:H22"/>
    <mergeCell ref="A19:A20"/>
    <mergeCell ref="B19:B20"/>
    <mergeCell ref="C19:C20"/>
    <mergeCell ref="D19:D20"/>
    <mergeCell ref="E19:E20"/>
    <mergeCell ref="F19:F20"/>
    <mergeCell ref="G15:G16"/>
    <mergeCell ref="H15:H16"/>
    <mergeCell ref="A17:A18"/>
    <mergeCell ref="B17:B18"/>
    <mergeCell ref="C17:C18"/>
    <mergeCell ref="D17:D18"/>
    <mergeCell ref="AY1:AY2"/>
    <mergeCell ref="AZ1:AZ2"/>
    <mergeCell ref="BA1:BA2"/>
    <mergeCell ref="BB1:BB2"/>
    <mergeCell ref="BC1:BC2"/>
    <mergeCell ref="BD1:BD2"/>
    <mergeCell ref="AS1:AS2"/>
    <mergeCell ref="AT1:AT2"/>
    <mergeCell ref="AU1:AU2"/>
    <mergeCell ref="AV1:AV2"/>
    <mergeCell ref="G11:G12"/>
    <mergeCell ref="H11:H12"/>
    <mergeCell ref="A13:A14"/>
    <mergeCell ref="B13:B14"/>
    <mergeCell ref="C13:C14"/>
    <mergeCell ref="D13:D14"/>
    <mergeCell ref="E13:E14"/>
    <mergeCell ref="F13:F14"/>
    <mergeCell ref="G13:G14"/>
    <mergeCell ref="H13:H14"/>
    <mergeCell ref="A11:A12"/>
    <mergeCell ref="B11:B12"/>
    <mergeCell ref="C11:C12"/>
    <mergeCell ref="D11:D12"/>
    <mergeCell ref="E11:E12"/>
    <mergeCell ref="F11:F12"/>
    <mergeCell ref="G7:G8"/>
    <mergeCell ref="H7:H8"/>
    <mergeCell ref="A9:A10"/>
    <mergeCell ref="B9:B10"/>
    <mergeCell ref="C9:C10"/>
    <mergeCell ref="D9:D10"/>
    <mergeCell ref="BQ1:BQ2"/>
    <mergeCell ref="BR1:BR2"/>
    <mergeCell ref="BS1:BS2"/>
    <mergeCell ref="BT1:BT2"/>
    <mergeCell ref="BU1:BU2"/>
    <mergeCell ref="BV1:BV2"/>
    <mergeCell ref="BK1:BK2"/>
    <mergeCell ref="BL1:BL2"/>
    <mergeCell ref="BM1:BM2"/>
    <mergeCell ref="BN1:BN2"/>
    <mergeCell ref="BO1:BO2"/>
    <mergeCell ref="BP1:BP2"/>
    <mergeCell ref="BE1:BE2"/>
    <mergeCell ref="BF1:BF2"/>
    <mergeCell ref="BG1:BG2"/>
    <mergeCell ref="BH1:BH2"/>
    <mergeCell ref="BI1:BI2"/>
    <mergeCell ref="BJ1:BJ2"/>
    <mergeCell ref="CP1:CP2"/>
    <mergeCell ref="CI1:CI2"/>
    <mergeCell ref="CJ1:CJ2"/>
    <mergeCell ref="CK1:CK2"/>
    <mergeCell ref="CL1:CL2"/>
    <mergeCell ref="CM1:CM2"/>
    <mergeCell ref="CN1:CN2"/>
    <mergeCell ref="CC1:CC2"/>
    <mergeCell ref="CD1:CD2"/>
    <mergeCell ref="CE1:CE2"/>
    <mergeCell ref="CF1:CF2"/>
    <mergeCell ref="CG1:CG2"/>
    <mergeCell ref="CH1:CH2"/>
    <mergeCell ref="BW1:BW2"/>
    <mergeCell ref="BX1:BX2"/>
    <mergeCell ref="BY1:BY2"/>
    <mergeCell ref="BZ1:BZ2"/>
    <mergeCell ref="CA1:CA2"/>
    <mergeCell ref="CB1:CB2"/>
    <mergeCell ref="CO1:CO2"/>
    <mergeCell ref="G72:G73"/>
    <mergeCell ref="H72:H73"/>
    <mergeCell ref="G168:G169"/>
    <mergeCell ref="H168:H169"/>
    <mergeCell ref="G314:G315"/>
    <mergeCell ref="H314:H315"/>
    <mergeCell ref="G320:G321"/>
    <mergeCell ref="H320:H321"/>
    <mergeCell ref="G156:G157"/>
    <mergeCell ref="H156:H157"/>
    <mergeCell ref="AW1:AW2"/>
    <mergeCell ref="AX1:AX2"/>
    <mergeCell ref="AM1:AM2"/>
    <mergeCell ref="AN1:AN2"/>
    <mergeCell ref="AO1:AO2"/>
    <mergeCell ref="AP1:AP2"/>
    <mergeCell ref="AQ1:AQ2"/>
    <mergeCell ref="AR1:AR2"/>
    <mergeCell ref="AG1:AG2"/>
    <mergeCell ref="AH1:AH2"/>
    <mergeCell ref="AI1:AI2"/>
    <mergeCell ref="AJ1:AJ2"/>
    <mergeCell ref="AK1:AK2"/>
    <mergeCell ref="AL1:AL2"/>
    <mergeCell ref="AA1:AA2"/>
    <mergeCell ref="AB1:AB2"/>
    <mergeCell ref="AC1:AC2"/>
    <mergeCell ref="AD1:AD2"/>
    <mergeCell ref="AE1:AE2"/>
    <mergeCell ref="AF1:AF2"/>
    <mergeCell ref="G252:G253"/>
    <mergeCell ref="H252:H253"/>
    <mergeCell ref="E3:E4"/>
    <mergeCell ref="U1:U2"/>
    <mergeCell ref="V1:V2"/>
    <mergeCell ref="W1:W2"/>
    <mergeCell ref="X1:X2"/>
    <mergeCell ref="Y1:Y2"/>
    <mergeCell ref="Z1:Z2"/>
    <mergeCell ref="O1:O2"/>
    <mergeCell ref="P1:P2"/>
    <mergeCell ref="Q1:Q2"/>
    <mergeCell ref="R1:R2"/>
    <mergeCell ref="S1:S2"/>
    <mergeCell ref="T1:T2"/>
    <mergeCell ref="I1:I2"/>
    <mergeCell ref="J1:J2"/>
    <mergeCell ref="K1:K2"/>
    <mergeCell ref="L1:L2"/>
    <mergeCell ref="M1:M2"/>
    <mergeCell ref="N1:N2"/>
    <mergeCell ref="F3:F4"/>
    <mergeCell ref="Y415:AB415"/>
    <mergeCell ref="AC415:AF415"/>
    <mergeCell ref="AG415:AJ415"/>
    <mergeCell ref="AK415:AN415"/>
    <mergeCell ref="AO415:AR415"/>
    <mergeCell ref="AS415:AV415"/>
    <mergeCell ref="AW415:AZ415"/>
    <mergeCell ref="BA415:BD415"/>
    <mergeCell ref="BE415:BH415"/>
    <mergeCell ref="BI415:BL415"/>
    <mergeCell ref="BM415:BP415"/>
    <mergeCell ref="BQ415:BT415"/>
    <mergeCell ref="A1:A2"/>
    <mergeCell ref="B1:B2"/>
    <mergeCell ref="C1:C2"/>
    <mergeCell ref="D1:D2"/>
    <mergeCell ref="E1:E2"/>
    <mergeCell ref="H1:H2"/>
    <mergeCell ref="G3:G4"/>
    <mergeCell ref="H3:H4"/>
    <mergeCell ref="A5:A6"/>
    <mergeCell ref="B5:B6"/>
    <mergeCell ref="C5:C6"/>
    <mergeCell ref="D5:D6"/>
    <mergeCell ref="E5:E6"/>
    <mergeCell ref="F5:F6"/>
    <mergeCell ref="G5:G6"/>
    <mergeCell ref="H5:H6"/>
    <mergeCell ref="A3:A4"/>
    <mergeCell ref="B3:B4"/>
    <mergeCell ref="C3:C4"/>
    <mergeCell ref="D3:D4"/>
    <mergeCell ref="CK416:CN416"/>
    <mergeCell ref="CO416:CR416"/>
    <mergeCell ref="BU415:BX415"/>
    <mergeCell ref="BY415:CB415"/>
    <mergeCell ref="CC415:CF415"/>
    <mergeCell ref="CG415:CJ415"/>
    <mergeCell ref="E416:H416"/>
    <mergeCell ref="I416:L416"/>
    <mergeCell ref="M416:P416"/>
    <mergeCell ref="Q416:T416"/>
    <mergeCell ref="U416:X416"/>
    <mergeCell ref="Y416:AB416"/>
    <mergeCell ref="AC416:AF416"/>
    <mergeCell ref="AG416:AJ416"/>
    <mergeCell ref="AK416:AN416"/>
    <mergeCell ref="AO416:AR416"/>
    <mergeCell ref="AS416:AV416"/>
    <mergeCell ref="AW416:AZ416"/>
    <mergeCell ref="BA416:BD416"/>
    <mergeCell ref="BE416:BH416"/>
    <mergeCell ref="BI416:BL416"/>
    <mergeCell ref="BM416:BP416"/>
    <mergeCell ref="BQ416:BT416"/>
    <mergeCell ref="BU416:BX416"/>
    <mergeCell ref="BY416:CB416"/>
    <mergeCell ref="CC416:CF416"/>
    <mergeCell ref="CG416:CJ416"/>
    <mergeCell ref="E415:H415"/>
    <mergeCell ref="I415:L415"/>
    <mergeCell ref="M415:P415"/>
    <mergeCell ref="Q415:T415"/>
    <mergeCell ref="U415:X415"/>
  </mergeCells>
  <phoneticPr fontId="2" type="noConversion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32"/>
  <sheetViews>
    <sheetView zoomScaleNormal="100" workbookViewId="0">
      <selection activeCell="C5" sqref="C5"/>
    </sheetView>
  </sheetViews>
  <sheetFormatPr defaultRowHeight="14.25"/>
  <cols>
    <col min="1" max="1" width="14.75" style="190" customWidth="1"/>
    <col min="2" max="4" width="12.625" style="187" customWidth="1"/>
    <col min="5" max="5" width="12.625" style="187" hidden="1" customWidth="1"/>
    <col min="6" max="6" width="3.625" style="187" customWidth="1"/>
    <col min="7" max="9" width="12.625" style="187" customWidth="1"/>
    <col min="10" max="10" width="3.625" style="187" customWidth="1"/>
    <col min="11" max="11" width="9.625" style="189" customWidth="1"/>
    <col min="12" max="13" width="9" style="187"/>
    <col min="14" max="14" width="10.625" style="187" customWidth="1"/>
    <col min="15" max="16384" width="9" style="187"/>
  </cols>
  <sheetData>
    <row r="1" spans="1:17" s="184" customFormat="1" ht="33.75" customHeight="1">
      <c r="A1" s="3"/>
      <c r="B1" s="24" t="s">
        <v>776</v>
      </c>
      <c r="C1" s="24" t="s">
        <v>777</v>
      </c>
      <c r="D1" s="25" t="s">
        <v>779</v>
      </c>
      <c r="E1" s="25" t="s">
        <v>1281</v>
      </c>
      <c r="F1" s="24"/>
      <c r="G1" s="24" t="s">
        <v>780</v>
      </c>
      <c r="H1" s="24" t="s">
        <v>783</v>
      </c>
      <c r="I1" s="25" t="s">
        <v>781</v>
      </c>
      <c r="J1" s="24"/>
      <c r="K1" s="25" t="s">
        <v>782</v>
      </c>
      <c r="L1" s="184" t="s">
        <v>1153</v>
      </c>
      <c r="M1" s="184" t="s">
        <v>1154</v>
      </c>
    </row>
    <row r="2" spans="1:17" s="186" customFormat="1" ht="24.95" customHeight="1">
      <c r="A2" s="21" t="s">
        <v>762</v>
      </c>
      <c r="B2" s="22">
        <f>前3年整理!M16</f>
        <v>6.2E-2</v>
      </c>
      <c r="C2" s="22">
        <v>0.03</v>
      </c>
      <c r="D2" s="22">
        <f>ROUND(B2*B3+C2*C3,3)</f>
        <v>5.6000000000000001E-2</v>
      </c>
      <c r="E2" s="22">
        <f>ROUND(D2*$E$32,3)</f>
        <v>5.6000000000000001E-2</v>
      </c>
      <c r="F2" s="23"/>
      <c r="G2" s="84">
        <f>前3年整理!E55</f>
        <v>0.94399999999999995</v>
      </c>
      <c r="H2" s="84">
        <f>1-M2</f>
        <v>0.92999999999999994</v>
      </c>
      <c r="I2" s="22">
        <f>ROUND(G2*G3+H2*H3,3)</f>
        <v>0.94099999999999995</v>
      </c>
      <c r="J2" s="23"/>
      <c r="K2" s="22">
        <v>0</v>
      </c>
      <c r="L2" s="185">
        <f>4.8%</f>
        <v>4.8000000000000001E-2</v>
      </c>
      <c r="M2" s="185">
        <v>7.0000000000000007E-2</v>
      </c>
    </row>
    <row r="3" spans="1:17">
      <c r="A3" s="4" t="s">
        <v>778</v>
      </c>
      <c r="B3" s="5">
        <v>0.8</v>
      </c>
      <c r="C3" s="5">
        <f>1-B3</f>
        <v>0.19999999999999996</v>
      </c>
      <c r="D3" s="6"/>
      <c r="E3" s="6"/>
      <c r="F3" s="5"/>
      <c r="G3" s="5">
        <v>0.8</v>
      </c>
      <c r="H3" s="5">
        <f>1-G3</f>
        <v>0.19999999999999996</v>
      </c>
      <c r="I3" s="6"/>
      <c r="J3" s="5"/>
      <c r="K3" s="6"/>
    </row>
    <row r="4" spans="1:17" s="186" customFormat="1" ht="24.95" customHeight="1">
      <c r="A4" s="21" t="s">
        <v>763</v>
      </c>
      <c r="B4" s="275">
        <v>0</v>
      </c>
      <c r="C4" s="211">
        <v>0.03</v>
      </c>
      <c r="D4" s="22">
        <f>ROUND(B4*B5+C4*C5,3)</f>
        <v>6.0000000000000001E-3</v>
      </c>
      <c r="E4" s="22">
        <f>ROUND(D4*$E$32,3)</f>
        <v>6.0000000000000001E-3</v>
      </c>
      <c r="F4" s="23"/>
      <c r="G4" s="84">
        <v>0</v>
      </c>
      <c r="H4" s="84">
        <v>0.85</v>
      </c>
      <c r="I4" s="22">
        <f>ROUND(G4*G5+H4*H5,3)</f>
        <v>0.85</v>
      </c>
      <c r="J4" s="23"/>
      <c r="K4" s="22">
        <f>ROUND(地下车库现金流!I8/地下车库现金流!H8,2)</f>
        <v>0.56999999999999995</v>
      </c>
    </row>
    <row r="5" spans="1:17">
      <c r="A5" s="4" t="s">
        <v>778</v>
      </c>
      <c r="B5" s="5">
        <f>B3</f>
        <v>0.8</v>
      </c>
      <c r="C5" s="5">
        <f>1-B5</f>
        <v>0.19999999999999996</v>
      </c>
      <c r="D5" s="6"/>
      <c r="E5" s="6"/>
      <c r="F5" s="5"/>
      <c r="G5" s="5">
        <v>0</v>
      </c>
      <c r="H5" s="5">
        <f>1-G5</f>
        <v>1</v>
      </c>
      <c r="I5" s="6"/>
      <c r="J5" s="5"/>
      <c r="K5" s="6"/>
    </row>
    <row r="6" spans="1:17" s="186" customFormat="1" ht="24.95" customHeight="1">
      <c r="A6" s="21" t="s">
        <v>764</v>
      </c>
      <c r="B6" s="22">
        <f>前3年整理!M14</f>
        <v>0.06</v>
      </c>
      <c r="C6" s="22">
        <f>L2</f>
        <v>4.8000000000000001E-2</v>
      </c>
      <c r="D6" s="22">
        <f>ROUND(B6*B7+C6*C7,3)</f>
        <v>5.8000000000000003E-2</v>
      </c>
      <c r="E6" s="22">
        <f>ROUND(D6*$E$32,3)</f>
        <v>5.8000000000000003E-2</v>
      </c>
      <c r="F6" s="23"/>
      <c r="G6" s="84">
        <f>$G$2</f>
        <v>0.94399999999999995</v>
      </c>
      <c r="H6" s="84">
        <f>$H$2</f>
        <v>0.92999999999999994</v>
      </c>
      <c r="I6" s="22">
        <f>ROUND(G6*G7+H6*H7,3)</f>
        <v>0.94099999999999995</v>
      </c>
      <c r="J6" s="23"/>
      <c r="K6" s="22">
        <f>ROUND(地下商业现金流!I82/地下商业现金流!H82,2)</f>
        <v>0.2</v>
      </c>
    </row>
    <row r="7" spans="1:17">
      <c r="A7" s="4" t="s">
        <v>778</v>
      </c>
      <c r="B7" s="5">
        <f>B3</f>
        <v>0.8</v>
      </c>
      <c r="C7" s="5">
        <f>1-B7</f>
        <v>0.19999999999999996</v>
      </c>
      <c r="D7" s="6"/>
      <c r="E7" s="6"/>
      <c r="F7" s="5"/>
      <c r="G7" s="5">
        <f>$G$3</f>
        <v>0.8</v>
      </c>
      <c r="H7" s="5">
        <f>1-G7</f>
        <v>0.19999999999999996</v>
      </c>
      <c r="I7" s="6"/>
      <c r="J7" s="5"/>
      <c r="K7" s="6"/>
      <c r="P7" s="187" t="s">
        <v>1223</v>
      </c>
    </row>
    <row r="8" spans="1:17" s="186" customFormat="1" ht="24.95" customHeight="1">
      <c r="A8" s="271" t="s">
        <v>765</v>
      </c>
      <c r="B8" s="22">
        <f>前3年整理!M21</f>
        <v>0.104</v>
      </c>
      <c r="C8" s="22">
        <f>$C$6</f>
        <v>4.8000000000000001E-2</v>
      </c>
      <c r="D8" s="22">
        <f>ROUND(B8*B9+C8*C9,3)</f>
        <v>9.2999999999999999E-2</v>
      </c>
      <c r="E8" s="22">
        <f>ROUND(D8*$E$32,3)</f>
        <v>9.2999999999999999E-2</v>
      </c>
      <c r="F8" s="23"/>
      <c r="G8" s="84">
        <f>$G$2</f>
        <v>0.94399999999999995</v>
      </c>
      <c r="H8" s="84">
        <f>$H$2</f>
        <v>0.92999999999999994</v>
      </c>
      <c r="I8" s="22">
        <f>ROUND(G8*G9+H8*H9,3)</f>
        <v>0.94099999999999995</v>
      </c>
      <c r="J8" s="23"/>
      <c r="K8" s="22">
        <f>ROUND(地上商业现金流!I397/地上商业现金流!H397,2)</f>
        <v>0.21</v>
      </c>
      <c r="N8" s="186" t="s">
        <v>1208</v>
      </c>
      <c r="O8" s="186">
        <v>1500.7800000000002</v>
      </c>
    </row>
    <row r="9" spans="1:17">
      <c r="A9" s="4" t="s">
        <v>778</v>
      </c>
      <c r="B9" s="5">
        <f>B3</f>
        <v>0.8</v>
      </c>
      <c r="C9" s="5">
        <f>1-B9</f>
        <v>0.19999999999999996</v>
      </c>
      <c r="D9" s="6"/>
      <c r="E9" s="6"/>
      <c r="F9" s="5"/>
      <c r="G9" s="5">
        <f>$G$3</f>
        <v>0.8</v>
      </c>
      <c r="H9" s="5">
        <f>1-G9</f>
        <v>0.19999999999999996</v>
      </c>
      <c r="I9" s="6"/>
      <c r="J9" s="5"/>
      <c r="K9" s="6"/>
      <c r="N9" s="187" t="s">
        <v>1209</v>
      </c>
      <c r="O9" s="187">
        <v>23898.16</v>
      </c>
    </row>
    <row r="10" spans="1:17" s="186" customFormat="1" ht="24.95" customHeight="1">
      <c r="A10" s="271" t="s">
        <v>766</v>
      </c>
      <c r="B10" s="22">
        <f>B8</f>
        <v>0.104</v>
      </c>
      <c r="C10" s="22">
        <f>$C$6</f>
        <v>4.8000000000000001E-2</v>
      </c>
      <c r="D10" s="22">
        <f>ROUND(B10*B11+C10*C11,3)</f>
        <v>9.2999999999999999E-2</v>
      </c>
      <c r="E10" s="22">
        <f>ROUND(D10*$E$32,3)</f>
        <v>9.2999999999999999E-2</v>
      </c>
      <c r="F10" s="23"/>
      <c r="G10" s="84">
        <f>$G$2</f>
        <v>0.94399999999999995</v>
      </c>
      <c r="H10" s="84">
        <f>$H$2</f>
        <v>0.92999999999999994</v>
      </c>
      <c r="I10" s="22">
        <f>ROUND(G10*G11+H10*H11,3)</f>
        <v>0.94099999999999995</v>
      </c>
      <c r="J10" s="23"/>
      <c r="K10" s="22"/>
      <c r="N10" s="186" t="s">
        <v>1210</v>
      </c>
      <c r="O10" s="186">
        <v>1263.2</v>
      </c>
    </row>
    <row r="11" spans="1:17">
      <c r="A11" s="4" t="s">
        <v>778</v>
      </c>
      <c r="B11" s="5">
        <f>B3</f>
        <v>0.8</v>
      </c>
      <c r="C11" s="5">
        <f>1-B11</f>
        <v>0.19999999999999996</v>
      </c>
      <c r="D11" s="6"/>
      <c r="E11" s="6"/>
      <c r="F11" s="5"/>
      <c r="G11" s="5">
        <f>$G$3</f>
        <v>0.8</v>
      </c>
      <c r="H11" s="5">
        <f>1-G11</f>
        <v>0.19999999999999996</v>
      </c>
      <c r="I11" s="6"/>
      <c r="J11" s="5"/>
      <c r="K11" s="6"/>
      <c r="N11" s="187" t="s">
        <v>1211</v>
      </c>
      <c r="O11" s="187">
        <v>13672.09</v>
      </c>
      <c r="P11" s="188">
        <f>D6</f>
        <v>5.8000000000000003E-2</v>
      </c>
      <c r="Q11" s="189"/>
    </row>
    <row r="12" spans="1:17" s="186" customFormat="1" ht="24.95" customHeight="1">
      <c r="A12" s="271" t="s">
        <v>767</v>
      </c>
      <c r="B12" s="22">
        <f>B8</f>
        <v>0.104</v>
      </c>
      <c r="C12" s="22">
        <f>$C$6</f>
        <v>4.8000000000000001E-2</v>
      </c>
      <c r="D12" s="22">
        <f>ROUND(B12*B13+C12*C13,3)</f>
        <v>9.2999999999999999E-2</v>
      </c>
      <c r="E12" s="22">
        <f>ROUND(D12*$E$32,3)</f>
        <v>9.2999999999999999E-2</v>
      </c>
      <c r="F12" s="23"/>
      <c r="G12" s="84">
        <f>$G$2</f>
        <v>0.94399999999999995</v>
      </c>
      <c r="H12" s="84">
        <f>$H$2</f>
        <v>0.92999999999999994</v>
      </c>
      <c r="I12" s="22">
        <f>ROUND(G12*G13+H12*H13,3)</f>
        <v>0.94099999999999995</v>
      </c>
      <c r="J12" s="23"/>
      <c r="K12" s="22"/>
      <c r="N12" s="186" t="s">
        <v>1212</v>
      </c>
      <c r="O12" s="186">
        <v>10943.6</v>
      </c>
      <c r="P12" s="185">
        <f>D8</f>
        <v>9.2999999999999999E-2</v>
      </c>
    </row>
    <row r="13" spans="1:17">
      <c r="A13" s="4" t="s">
        <v>778</v>
      </c>
      <c r="B13" s="5">
        <f>B3</f>
        <v>0.8</v>
      </c>
      <c r="C13" s="5">
        <f>1-B13</f>
        <v>0.19999999999999996</v>
      </c>
      <c r="D13" s="6"/>
      <c r="E13" s="6"/>
      <c r="F13" s="5"/>
      <c r="G13" s="5">
        <f>$G$3</f>
        <v>0.8</v>
      </c>
      <c r="H13" s="5">
        <f>1-G13</f>
        <v>0.19999999999999996</v>
      </c>
      <c r="I13" s="6"/>
      <c r="J13" s="5"/>
      <c r="K13" s="6"/>
      <c r="N13" s="187" t="s">
        <v>1213</v>
      </c>
      <c r="O13" s="187">
        <v>10674.84</v>
      </c>
      <c r="P13" s="189">
        <f>D10</f>
        <v>9.2999999999999999E-2</v>
      </c>
    </row>
    <row r="14" spans="1:17" s="186" customFormat="1" ht="24.95" customHeight="1">
      <c r="A14" s="273" t="s">
        <v>768</v>
      </c>
      <c r="B14" s="22">
        <f>前3年整理!M22</f>
        <v>6.7000000000000004E-2</v>
      </c>
      <c r="C14" s="22">
        <f>$C$6</f>
        <v>4.8000000000000001E-2</v>
      </c>
      <c r="D14" s="22">
        <f>ROUND(B14*B15+C14*C15,3)</f>
        <v>6.3E-2</v>
      </c>
      <c r="E14" s="22">
        <f>ROUND(D14*$E$32,3)</f>
        <v>6.3E-2</v>
      </c>
      <c r="F14" s="23"/>
      <c r="G14" s="84">
        <f>$G$2</f>
        <v>0.94399999999999995</v>
      </c>
      <c r="H14" s="84">
        <f>$H$2</f>
        <v>0.92999999999999994</v>
      </c>
      <c r="I14" s="22">
        <f>ROUND(G14*G15+H14*H15,3)</f>
        <v>0.94099999999999995</v>
      </c>
      <c r="J14" s="23"/>
      <c r="K14" s="22"/>
      <c r="N14" s="186" t="s">
        <v>1214</v>
      </c>
      <c r="O14" s="186">
        <v>11059.21</v>
      </c>
      <c r="P14" s="185">
        <f>D12</f>
        <v>9.2999999999999999E-2</v>
      </c>
    </row>
    <row r="15" spans="1:17">
      <c r="A15" s="4" t="s">
        <v>778</v>
      </c>
      <c r="B15" s="5">
        <f>B3</f>
        <v>0.8</v>
      </c>
      <c r="C15" s="5">
        <f>1-B15</f>
        <v>0.19999999999999996</v>
      </c>
      <c r="D15" s="6"/>
      <c r="E15" s="6"/>
      <c r="F15" s="5"/>
      <c r="G15" s="5">
        <f>$G$3</f>
        <v>0.8</v>
      </c>
      <c r="H15" s="5">
        <f>1-G15</f>
        <v>0.19999999999999996</v>
      </c>
      <c r="I15" s="6"/>
      <c r="J15" s="5"/>
      <c r="K15" s="6"/>
      <c r="N15" s="187" t="s">
        <v>1215</v>
      </c>
      <c r="O15" s="187">
        <v>8046.58</v>
      </c>
      <c r="P15" s="189">
        <f>D14</f>
        <v>6.3E-2</v>
      </c>
    </row>
    <row r="16" spans="1:17" s="186" customFormat="1" ht="24.95" customHeight="1">
      <c r="A16" s="273" t="s">
        <v>769</v>
      </c>
      <c r="B16" s="22">
        <f>前3年整理!M22</f>
        <v>6.7000000000000004E-2</v>
      </c>
      <c r="C16" s="22">
        <f>$C$6</f>
        <v>4.8000000000000001E-2</v>
      </c>
      <c r="D16" s="22">
        <f>ROUND(B16*B17+C16*C17,3)</f>
        <v>6.3E-2</v>
      </c>
      <c r="E16" s="22">
        <f>ROUND(D16*$E$32,3)</f>
        <v>6.3E-2</v>
      </c>
      <c r="F16" s="23"/>
      <c r="G16" s="84">
        <f>$G$2</f>
        <v>0.94399999999999995</v>
      </c>
      <c r="H16" s="84">
        <f>$H$2</f>
        <v>0.92999999999999994</v>
      </c>
      <c r="I16" s="22">
        <f>ROUND(G16*G17+H16*H17,3)</f>
        <v>0.94099999999999995</v>
      </c>
      <c r="J16" s="23"/>
      <c r="K16" s="22"/>
      <c r="N16" s="186" t="s">
        <v>1216</v>
      </c>
      <c r="O16" s="186">
        <v>6074.51</v>
      </c>
      <c r="P16" s="185">
        <f>D16</f>
        <v>6.3E-2</v>
      </c>
    </row>
    <row r="17" spans="1:16">
      <c r="A17" s="4" t="s">
        <v>778</v>
      </c>
      <c r="B17" s="5">
        <f>B3</f>
        <v>0.8</v>
      </c>
      <c r="C17" s="5">
        <f>1-B17</f>
        <v>0.19999999999999996</v>
      </c>
      <c r="D17" s="6"/>
      <c r="E17" s="6"/>
      <c r="F17" s="5"/>
      <c r="G17" s="5">
        <f>$G$3</f>
        <v>0.8</v>
      </c>
      <c r="H17" s="5">
        <f>1-G17</f>
        <v>0.19999999999999996</v>
      </c>
      <c r="I17" s="6"/>
      <c r="J17" s="5"/>
      <c r="K17" s="6"/>
      <c r="N17" s="187" t="s">
        <v>1217</v>
      </c>
      <c r="O17" s="187">
        <v>4780.24</v>
      </c>
      <c r="P17" s="189">
        <f>D18</f>
        <v>0.02</v>
      </c>
    </row>
    <row r="18" spans="1:16" s="186" customFormat="1" ht="24.95" customHeight="1">
      <c r="A18" s="270" t="s">
        <v>770</v>
      </c>
      <c r="B18" s="210">
        <f>前3年整理!U28</f>
        <v>1.2999999999999999E-2</v>
      </c>
      <c r="C18" s="22">
        <f>$C$6</f>
        <v>4.8000000000000001E-2</v>
      </c>
      <c r="D18" s="22">
        <f>ROUND(B18*B19+C18*C19,3)</f>
        <v>0.02</v>
      </c>
      <c r="E18" s="22">
        <f>ROUND(D18*$E$32,3)</f>
        <v>0.02</v>
      </c>
      <c r="F18" s="23"/>
      <c r="G18" s="84">
        <f>$G$2</f>
        <v>0.94399999999999995</v>
      </c>
      <c r="H18" s="211">
        <f>$H$2</f>
        <v>0.92999999999999994</v>
      </c>
      <c r="I18" s="22">
        <f>ROUND(G18*G19+H18*H19,3)</f>
        <v>0.94099999999999995</v>
      </c>
      <c r="J18" s="23"/>
      <c r="K18" s="22"/>
      <c r="N18" s="186" t="s">
        <v>1218</v>
      </c>
      <c r="O18" s="186">
        <v>1694.06</v>
      </c>
      <c r="P18" s="185">
        <f>D20</f>
        <v>4.2000000000000003E-2</v>
      </c>
    </row>
    <row r="19" spans="1:16">
      <c r="A19" s="4" t="s">
        <v>778</v>
      </c>
      <c r="B19" s="5">
        <f>B3</f>
        <v>0.8</v>
      </c>
      <c r="C19" s="5">
        <f>1-B19</f>
        <v>0.19999999999999996</v>
      </c>
      <c r="D19" s="6"/>
      <c r="E19" s="6"/>
      <c r="F19" s="5"/>
      <c r="G19" s="5">
        <f>$G$3</f>
        <v>0.8</v>
      </c>
      <c r="H19" s="5">
        <f>1-G19</f>
        <v>0.19999999999999996</v>
      </c>
      <c r="I19" s="6"/>
      <c r="J19" s="5"/>
      <c r="K19" s="6"/>
      <c r="N19" s="187" t="s">
        <v>1219</v>
      </c>
      <c r="O19" s="187">
        <v>1694.06</v>
      </c>
      <c r="P19" s="189">
        <f>D22</f>
        <v>4.2000000000000003E-2</v>
      </c>
    </row>
    <row r="20" spans="1:16" s="186" customFormat="1" ht="24.95" customHeight="1">
      <c r="A20" s="272" t="s">
        <v>771</v>
      </c>
      <c r="B20" s="22">
        <f>前3年整理!M23</f>
        <v>0.04</v>
      </c>
      <c r="C20" s="22">
        <f>$C$6</f>
        <v>4.8000000000000001E-2</v>
      </c>
      <c r="D20" s="22">
        <f>ROUND(B20*B21+C20*C21,3)</f>
        <v>4.2000000000000003E-2</v>
      </c>
      <c r="E20" s="22">
        <f>ROUND(D20*$E$32,3)</f>
        <v>4.2000000000000003E-2</v>
      </c>
      <c r="F20" s="23"/>
      <c r="G20" s="84">
        <f>$G$2</f>
        <v>0.94399999999999995</v>
      </c>
      <c r="H20" s="84">
        <f>$H$2</f>
        <v>0.92999999999999994</v>
      </c>
      <c r="I20" s="22">
        <f>ROUND(G20*G21+H20*H21,3)</f>
        <v>0.94099999999999995</v>
      </c>
      <c r="J20" s="23"/>
      <c r="K20" s="22"/>
      <c r="N20" s="186" t="s">
        <v>1220</v>
      </c>
      <c r="O20" s="186">
        <v>1675.14</v>
      </c>
      <c r="P20" s="185">
        <f>D24</f>
        <v>4.2000000000000003E-2</v>
      </c>
    </row>
    <row r="21" spans="1:16">
      <c r="A21" s="4" t="s">
        <v>778</v>
      </c>
      <c r="B21" s="5">
        <f>B3</f>
        <v>0.8</v>
      </c>
      <c r="C21" s="5">
        <f>1-B21</f>
        <v>0.19999999999999996</v>
      </c>
      <c r="D21" s="6"/>
      <c r="E21" s="6"/>
      <c r="F21" s="5"/>
      <c r="G21" s="5">
        <f>$G$3</f>
        <v>0.8</v>
      </c>
      <c r="H21" s="5">
        <f>1-G21</f>
        <v>0.19999999999999996</v>
      </c>
      <c r="I21" s="6"/>
      <c r="J21" s="5"/>
      <c r="K21" s="6"/>
      <c r="N21" s="187" t="s">
        <v>1221</v>
      </c>
      <c r="O21" s="187">
        <v>1675.14</v>
      </c>
      <c r="P21" s="189">
        <f>D26</f>
        <v>4.2000000000000003E-2</v>
      </c>
    </row>
    <row r="22" spans="1:16" s="186" customFormat="1" ht="24.95" customHeight="1">
      <c r="A22" s="272" t="s">
        <v>772</v>
      </c>
      <c r="B22" s="22">
        <f>B20</f>
        <v>0.04</v>
      </c>
      <c r="C22" s="22">
        <f>$C$6</f>
        <v>4.8000000000000001E-2</v>
      </c>
      <c r="D22" s="22">
        <f>ROUND(B22*B23+C22*C23,3)</f>
        <v>4.2000000000000003E-2</v>
      </c>
      <c r="E22" s="22">
        <f>ROUND(D22*$E$32,3)</f>
        <v>4.2000000000000003E-2</v>
      </c>
      <c r="F22" s="23"/>
      <c r="G22" s="84">
        <f>$G$2</f>
        <v>0.94399999999999995</v>
      </c>
      <c r="H22" s="84">
        <f>$H$2</f>
        <v>0.92999999999999994</v>
      </c>
      <c r="I22" s="22">
        <f>ROUND(G22*G23+H22*H23,3)</f>
        <v>0.94099999999999995</v>
      </c>
      <c r="J22" s="23"/>
      <c r="K22" s="22"/>
      <c r="N22" s="186" t="s">
        <v>1222</v>
      </c>
      <c r="O22" s="186">
        <v>1675.14</v>
      </c>
      <c r="P22" s="185">
        <f>D28</f>
        <v>4.2000000000000003E-2</v>
      </c>
    </row>
    <row r="23" spans="1:16">
      <c r="A23" s="4" t="s">
        <v>778</v>
      </c>
      <c r="B23" s="5">
        <f>B3</f>
        <v>0.8</v>
      </c>
      <c r="C23" s="5">
        <f>1-B23</f>
        <v>0.19999999999999996</v>
      </c>
      <c r="D23" s="6"/>
      <c r="E23" s="6"/>
      <c r="F23" s="5"/>
      <c r="G23" s="5">
        <f>$G$3</f>
        <v>0.8</v>
      </c>
      <c r="H23" s="5">
        <f>1-G23</f>
        <v>0.19999999999999996</v>
      </c>
      <c r="I23" s="6"/>
      <c r="J23" s="5"/>
      <c r="K23" s="6"/>
      <c r="N23" s="187" t="s">
        <v>791</v>
      </c>
      <c r="O23" s="187">
        <f>SUM(O8:O22)</f>
        <v>100326.75</v>
      </c>
    </row>
    <row r="24" spans="1:16" s="186" customFormat="1" ht="24.95" customHeight="1">
      <c r="A24" s="272" t="s">
        <v>773</v>
      </c>
      <c r="B24" s="22">
        <f>B22</f>
        <v>0.04</v>
      </c>
      <c r="C24" s="22">
        <f>$C$6</f>
        <v>4.8000000000000001E-2</v>
      </c>
      <c r="D24" s="22">
        <f>ROUND(B24*B25+C24*C25,3)</f>
        <v>4.2000000000000003E-2</v>
      </c>
      <c r="E24" s="22">
        <f>ROUND(D24*$E$32,3)</f>
        <v>4.2000000000000003E-2</v>
      </c>
      <c r="F24" s="23"/>
      <c r="G24" s="84">
        <f>$G$2</f>
        <v>0.94399999999999995</v>
      </c>
      <c r="H24" s="84">
        <f>$H$2</f>
        <v>0.92999999999999994</v>
      </c>
      <c r="I24" s="22">
        <f>ROUND(G24*G25+H24*H25,3)</f>
        <v>0.94099999999999995</v>
      </c>
      <c r="J24" s="23"/>
      <c r="K24" s="22"/>
      <c r="P24" s="185">
        <f>ROUND((P12*O12+P13*O13+P14*O14+P15*O15+P16*O16+P17*O17+P18*O18+P19*O19+P20*O20+P21*O21+P22*O22)/(O23-O11-O10-O9-O8),3)</f>
        <v>7.2999999999999995E-2</v>
      </c>
    </row>
    <row r="25" spans="1:16">
      <c r="A25" s="4" t="s">
        <v>778</v>
      </c>
      <c r="B25" s="5">
        <f>B3</f>
        <v>0.8</v>
      </c>
      <c r="C25" s="5">
        <f>1-B25</f>
        <v>0.19999999999999996</v>
      </c>
      <c r="D25" s="6"/>
      <c r="E25" s="6"/>
      <c r="F25" s="5"/>
      <c r="G25" s="5">
        <f>$G$3</f>
        <v>0.8</v>
      </c>
      <c r="H25" s="5">
        <f>1-G25</f>
        <v>0.19999999999999996</v>
      </c>
      <c r="I25" s="6"/>
      <c r="J25" s="5"/>
      <c r="K25" s="6"/>
    </row>
    <row r="26" spans="1:16" s="186" customFormat="1" ht="24.95" customHeight="1">
      <c r="A26" s="272" t="s">
        <v>774</v>
      </c>
      <c r="B26" s="22">
        <f>B24</f>
        <v>0.04</v>
      </c>
      <c r="C26" s="22">
        <f>$C$6</f>
        <v>4.8000000000000001E-2</v>
      </c>
      <c r="D26" s="22">
        <f>ROUND(B26*B27+C26*C27,3)</f>
        <v>4.2000000000000003E-2</v>
      </c>
      <c r="E26" s="22">
        <f>ROUND(D26*$E$32,3)</f>
        <v>4.2000000000000003E-2</v>
      </c>
      <c r="F26" s="23"/>
      <c r="G26" s="84">
        <f>$G$2</f>
        <v>0.94399999999999995</v>
      </c>
      <c r="H26" s="84">
        <f>$H$2</f>
        <v>0.92999999999999994</v>
      </c>
      <c r="I26" s="22">
        <f>ROUND(G26*G27+H26*H27,3)</f>
        <v>0.94099999999999995</v>
      </c>
      <c r="J26" s="23"/>
      <c r="K26" s="22"/>
    </row>
    <row r="27" spans="1:16">
      <c r="A27" s="4" t="s">
        <v>778</v>
      </c>
      <c r="B27" s="5">
        <f>B3</f>
        <v>0.8</v>
      </c>
      <c r="C27" s="5">
        <f>1-B27</f>
        <v>0.19999999999999996</v>
      </c>
      <c r="D27" s="6"/>
      <c r="E27" s="6"/>
      <c r="F27" s="5"/>
      <c r="G27" s="5">
        <f>$G$3</f>
        <v>0.8</v>
      </c>
      <c r="H27" s="5">
        <f>1-G27</f>
        <v>0.19999999999999996</v>
      </c>
      <c r="I27" s="6"/>
      <c r="J27" s="5"/>
      <c r="K27" s="6"/>
    </row>
    <row r="28" spans="1:16" s="186" customFormat="1" ht="24.95" customHeight="1">
      <c r="A28" s="272" t="s">
        <v>775</v>
      </c>
      <c r="B28" s="22">
        <f>B26</f>
        <v>0.04</v>
      </c>
      <c r="C28" s="22">
        <f>$C$6</f>
        <v>4.8000000000000001E-2</v>
      </c>
      <c r="D28" s="22">
        <f>ROUND(B28*B29+C28*C29,3)</f>
        <v>4.2000000000000003E-2</v>
      </c>
      <c r="E28" s="22">
        <f>ROUND(D28*$E$32,3)</f>
        <v>4.2000000000000003E-2</v>
      </c>
      <c r="F28" s="23"/>
      <c r="G28" s="84">
        <f>$G$2</f>
        <v>0.94399999999999995</v>
      </c>
      <c r="H28" s="84">
        <f>$H$2</f>
        <v>0.92999999999999994</v>
      </c>
      <c r="I28" s="22">
        <f>ROUND(G28*G29+H28*H29,3)</f>
        <v>0.94099999999999995</v>
      </c>
      <c r="J28" s="23"/>
      <c r="K28" s="22"/>
    </row>
    <row r="29" spans="1:16">
      <c r="A29" s="4" t="s">
        <v>778</v>
      </c>
      <c r="B29" s="5">
        <f>B5</f>
        <v>0.8</v>
      </c>
      <c r="C29" s="5">
        <f>1-B29</f>
        <v>0.19999999999999996</v>
      </c>
      <c r="D29" s="6"/>
      <c r="E29" s="6"/>
      <c r="F29" s="5"/>
      <c r="G29" s="5">
        <f>$G$3</f>
        <v>0.8</v>
      </c>
      <c r="H29" s="5">
        <f>1-G29</f>
        <v>0.19999999999999996</v>
      </c>
      <c r="I29" s="6"/>
      <c r="J29" s="5"/>
      <c r="K29" s="6"/>
    </row>
    <row r="30" spans="1:16">
      <c r="A30" s="85" t="s">
        <v>1224</v>
      </c>
      <c r="B30" s="22">
        <v>0</v>
      </c>
      <c r="C30" s="274">
        <v>0.03</v>
      </c>
      <c r="D30" s="22">
        <f>ROUND(B30*B31+C30*C31,3)</f>
        <v>6.0000000000000001E-3</v>
      </c>
      <c r="E30" s="22">
        <f>ROUND(D30*$E$32,3)</f>
        <v>6.0000000000000001E-3</v>
      </c>
      <c r="F30" s="85"/>
      <c r="G30" s="86">
        <f>G2</f>
        <v>0.94399999999999995</v>
      </c>
      <c r="H30" s="86">
        <f>H2</f>
        <v>0.92999999999999994</v>
      </c>
      <c r="I30" s="22">
        <f>ROUND(G30*G31+H30*H31,3)</f>
        <v>0.94099999999999995</v>
      </c>
      <c r="J30" s="85"/>
    </row>
    <row r="31" spans="1:16">
      <c r="A31" s="4" t="s">
        <v>778</v>
      </c>
      <c r="B31" s="5">
        <f>B7</f>
        <v>0.8</v>
      </c>
      <c r="C31" s="5">
        <f>1-B31</f>
        <v>0.19999999999999996</v>
      </c>
      <c r="D31" s="85"/>
      <c r="E31" s="249"/>
      <c r="F31" s="85"/>
      <c r="G31" s="85">
        <f>G3</f>
        <v>0.8</v>
      </c>
      <c r="H31" s="85">
        <f>1-G31</f>
        <v>0.19999999999999996</v>
      </c>
      <c r="I31" s="85"/>
      <c r="J31" s="85"/>
    </row>
    <row r="32" spans="1:16">
      <c r="E32" s="187">
        <v>1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42"/>
  <sheetViews>
    <sheetView topLeftCell="A19" workbookViewId="0">
      <selection activeCell="H25" sqref="H25"/>
    </sheetView>
  </sheetViews>
  <sheetFormatPr defaultRowHeight="14.25"/>
  <cols>
    <col min="1" max="1" width="9" style="187"/>
    <col min="2" max="2" width="12.5" style="187" customWidth="1"/>
    <col min="3" max="5" width="9" style="187"/>
    <col min="6" max="6" width="13.625" style="187" customWidth="1"/>
    <col min="7" max="7" width="9" style="187"/>
    <col min="8" max="8" width="12.375" style="190" customWidth="1"/>
    <col min="9" max="9" width="9" style="187"/>
    <col min="10" max="10" width="10" style="187" bestFit="1" customWidth="1"/>
    <col min="11" max="16384" width="9" style="187"/>
  </cols>
  <sheetData>
    <row r="1" spans="1:12">
      <c r="A1" s="708" t="s">
        <v>590</v>
      </c>
      <c r="B1" s="708"/>
      <c r="C1" s="708"/>
      <c r="D1" s="708"/>
      <c r="E1" s="708"/>
    </row>
    <row r="2" spans="1:12">
      <c r="A2" s="5" t="s">
        <v>574</v>
      </c>
      <c r="B2" s="5" t="s">
        <v>575</v>
      </c>
      <c r="C2" s="5" t="s">
        <v>576</v>
      </c>
      <c r="D2" s="5" t="s">
        <v>577</v>
      </c>
      <c r="E2" s="5" t="s">
        <v>578</v>
      </c>
    </row>
    <row r="3" spans="1:12">
      <c r="A3" s="191">
        <v>1</v>
      </c>
      <c r="B3" s="191" t="s">
        <v>608</v>
      </c>
      <c r="C3" s="191">
        <v>18.329999999999998</v>
      </c>
      <c r="D3" s="706" t="s">
        <v>579</v>
      </c>
      <c r="E3" s="706">
        <v>-3</v>
      </c>
      <c r="F3" s="192" t="s">
        <v>591</v>
      </c>
      <c r="G3" s="192">
        <f>C3+C5+C8+C12+C17+C20+C27</f>
        <v>1500.7800000000002</v>
      </c>
      <c r="H3" s="193" t="s">
        <v>606</v>
      </c>
    </row>
    <row r="4" spans="1:12">
      <c r="A4" s="191">
        <v>2</v>
      </c>
      <c r="B4" s="191">
        <v>-301</v>
      </c>
      <c r="C4" s="191">
        <v>7660.9</v>
      </c>
      <c r="D4" s="706"/>
      <c r="E4" s="706"/>
      <c r="F4" s="194" t="s">
        <v>592</v>
      </c>
      <c r="G4" s="192">
        <f>C4+C6+C7</f>
        <v>23898.16</v>
      </c>
      <c r="H4" s="193" t="s">
        <v>607</v>
      </c>
      <c r="J4" s="209">
        <f>ROUND(G4/35,0)</f>
        <v>683</v>
      </c>
    </row>
    <row r="5" spans="1:12">
      <c r="A5" s="191">
        <v>3</v>
      </c>
      <c r="B5" s="191" t="s">
        <v>580</v>
      </c>
      <c r="C5" s="191">
        <v>48.08</v>
      </c>
      <c r="D5" s="706" t="s">
        <v>579</v>
      </c>
      <c r="E5" s="706">
        <v>-2</v>
      </c>
      <c r="F5" s="193" t="s">
        <v>609</v>
      </c>
      <c r="G5" s="192">
        <f>C9</f>
        <v>1263.2</v>
      </c>
      <c r="H5" s="703" t="s">
        <v>610</v>
      </c>
    </row>
    <row r="6" spans="1:12">
      <c r="A6" s="191">
        <v>4</v>
      </c>
      <c r="B6" s="191">
        <v>-201</v>
      </c>
      <c r="C6" s="191">
        <v>8316.48</v>
      </c>
      <c r="D6" s="706"/>
      <c r="E6" s="706"/>
      <c r="F6" s="193" t="s">
        <v>593</v>
      </c>
      <c r="G6" s="192">
        <f>C10+C11</f>
        <v>13672.09</v>
      </c>
      <c r="H6" s="703"/>
      <c r="J6" s="230">
        <v>51980</v>
      </c>
      <c r="K6" s="187">
        <v>24.27</v>
      </c>
    </row>
    <row r="7" spans="1:12">
      <c r="A7" s="191">
        <v>5</v>
      </c>
      <c r="B7" s="191">
        <v>-202</v>
      </c>
      <c r="C7" s="191">
        <v>7920.78</v>
      </c>
      <c r="D7" s="191"/>
      <c r="E7" s="706"/>
      <c r="F7" s="193" t="s">
        <v>594</v>
      </c>
      <c r="G7" s="192">
        <f>C13+C14+C15+C16</f>
        <v>10943.6</v>
      </c>
      <c r="H7" s="193" t="s">
        <v>618</v>
      </c>
      <c r="J7" s="230">
        <v>55633</v>
      </c>
      <c r="K7" s="187">
        <v>34.270000000000003</v>
      </c>
    </row>
    <row r="8" spans="1:12">
      <c r="A8" s="191">
        <v>6</v>
      </c>
      <c r="B8" s="191" t="s">
        <v>581</v>
      </c>
      <c r="C8" s="191">
        <v>1210.6300000000001</v>
      </c>
      <c r="D8" s="191"/>
      <c r="E8" s="706">
        <v>-1</v>
      </c>
      <c r="F8" s="193" t="s">
        <v>595</v>
      </c>
      <c r="G8" s="192">
        <f>C18+C19</f>
        <v>10674.84</v>
      </c>
      <c r="H8" s="193" t="s">
        <v>618</v>
      </c>
    </row>
    <row r="9" spans="1:12">
      <c r="A9" s="191">
        <v>7</v>
      </c>
      <c r="B9" s="191">
        <v>-101</v>
      </c>
      <c r="C9" s="191">
        <v>1263.2</v>
      </c>
      <c r="D9" s="191" t="s">
        <v>582</v>
      </c>
      <c r="E9" s="706"/>
      <c r="F9" s="193" t="s">
        <v>596</v>
      </c>
      <c r="G9" s="192">
        <f>C21+C22</f>
        <v>11059.21</v>
      </c>
      <c r="H9" s="193" t="s">
        <v>618</v>
      </c>
    </row>
    <row r="10" spans="1:12">
      <c r="A10" s="191">
        <v>8</v>
      </c>
      <c r="B10" s="191">
        <v>-102</v>
      </c>
      <c r="C10" s="191">
        <v>4706.78</v>
      </c>
      <c r="D10" s="706" t="s">
        <v>583</v>
      </c>
      <c r="E10" s="706"/>
      <c r="F10" s="193" t="s">
        <v>597</v>
      </c>
      <c r="G10" s="192">
        <f>C23+C24</f>
        <v>8046.58</v>
      </c>
      <c r="H10" s="193" t="s">
        <v>617</v>
      </c>
    </row>
    <row r="11" spans="1:12">
      <c r="A11" s="191">
        <v>9</v>
      </c>
      <c r="B11" s="191">
        <v>-103</v>
      </c>
      <c r="C11" s="191">
        <v>8965.31</v>
      </c>
      <c r="D11" s="706"/>
      <c r="E11" s="706"/>
      <c r="F11" s="193" t="s">
        <v>598</v>
      </c>
      <c r="G11" s="192">
        <f>C25+C26</f>
        <v>6074.51</v>
      </c>
      <c r="H11" s="193" t="s">
        <v>616</v>
      </c>
    </row>
    <row r="12" spans="1:12">
      <c r="A12" s="191">
        <v>10</v>
      </c>
      <c r="B12" s="191" t="s">
        <v>584</v>
      </c>
      <c r="C12" s="191">
        <v>77.739999999999995</v>
      </c>
      <c r="D12" s="706" t="s">
        <v>585</v>
      </c>
      <c r="E12" s="706">
        <v>1</v>
      </c>
      <c r="F12" s="193" t="s">
        <v>599</v>
      </c>
      <c r="G12" s="192">
        <f>C28+C29</f>
        <v>4780.24</v>
      </c>
      <c r="H12" s="193" t="s">
        <v>616</v>
      </c>
    </row>
    <row r="13" spans="1:12">
      <c r="A13" s="191">
        <v>11</v>
      </c>
      <c r="B13" s="191">
        <v>101</v>
      </c>
      <c r="C13" s="191">
        <v>2603.7600000000002</v>
      </c>
      <c r="D13" s="706"/>
      <c r="E13" s="706"/>
      <c r="F13" s="193" t="s">
        <v>600</v>
      </c>
      <c r="G13" s="192">
        <f>C30</f>
        <v>1694.06</v>
      </c>
      <c r="H13" s="193" t="s">
        <v>615</v>
      </c>
    </row>
    <row r="14" spans="1:12">
      <c r="A14" s="191">
        <v>12</v>
      </c>
      <c r="B14" s="191">
        <v>102</v>
      </c>
      <c r="C14" s="191">
        <v>8182.27</v>
      </c>
      <c r="D14" s="706"/>
      <c r="E14" s="706"/>
      <c r="F14" s="193" t="s">
        <v>601</v>
      </c>
      <c r="G14" s="192">
        <f>C31</f>
        <v>1694.06</v>
      </c>
      <c r="H14" s="193" t="s">
        <v>614</v>
      </c>
      <c r="K14" s="187">
        <f>G7+G8+G9+G10+G11+G12+G13+G14+G15+G16+G17</f>
        <v>59992.52</v>
      </c>
    </row>
    <row r="15" spans="1:12">
      <c r="A15" s="191">
        <v>13</v>
      </c>
      <c r="B15" s="191">
        <v>103</v>
      </c>
      <c r="C15" s="191">
        <v>83.01</v>
      </c>
      <c r="D15" s="706"/>
      <c r="E15" s="706"/>
      <c r="F15" s="193" t="s">
        <v>602</v>
      </c>
      <c r="G15" s="192">
        <f>C32</f>
        <v>1675.14</v>
      </c>
      <c r="H15" s="193" t="s">
        <v>613</v>
      </c>
      <c r="K15" s="187">
        <f>G6</f>
        <v>13672.09</v>
      </c>
    </row>
    <row r="16" spans="1:12">
      <c r="A16" s="191">
        <v>14</v>
      </c>
      <c r="B16" s="191">
        <v>104</v>
      </c>
      <c r="C16" s="191">
        <v>74.56</v>
      </c>
      <c r="D16" s="706"/>
      <c r="E16" s="706"/>
      <c r="F16" s="193" t="s">
        <v>603</v>
      </c>
      <c r="G16" s="192">
        <f>C33</f>
        <v>1675.14</v>
      </c>
      <c r="H16" s="193" t="s">
        <v>612</v>
      </c>
      <c r="K16" s="187">
        <f>G5+G3</f>
        <v>2763.9800000000005</v>
      </c>
      <c r="L16" s="187">
        <f>C3+C5+C8+C9</f>
        <v>2540.2400000000002</v>
      </c>
    </row>
    <row r="17" spans="1:12">
      <c r="A17" s="191">
        <v>15</v>
      </c>
      <c r="B17" s="191" t="s">
        <v>586</v>
      </c>
      <c r="C17" s="191">
        <v>12.33</v>
      </c>
      <c r="D17" s="706"/>
      <c r="E17" s="706">
        <v>2</v>
      </c>
      <c r="F17" s="193" t="s">
        <v>604</v>
      </c>
      <c r="G17" s="192">
        <f>C34</f>
        <v>1675.14</v>
      </c>
      <c r="H17" s="193" t="s">
        <v>611</v>
      </c>
      <c r="K17" s="187">
        <f>G4</f>
        <v>23898.16</v>
      </c>
      <c r="L17" s="187">
        <f>C12+C17+C20+C27</f>
        <v>223.74</v>
      </c>
    </row>
    <row r="18" spans="1:12">
      <c r="A18" s="191">
        <v>16</v>
      </c>
      <c r="B18" s="191">
        <v>201</v>
      </c>
      <c r="C18" s="191">
        <v>2949.96</v>
      </c>
      <c r="D18" s="706"/>
      <c r="E18" s="706"/>
      <c r="F18" s="193" t="s">
        <v>605</v>
      </c>
      <c r="G18" s="192">
        <f>SUM(G3:G17)</f>
        <v>100326.75</v>
      </c>
      <c r="H18" s="193"/>
    </row>
    <row r="19" spans="1:12">
      <c r="A19" s="191">
        <v>17</v>
      </c>
      <c r="B19" s="191">
        <v>202</v>
      </c>
      <c r="C19" s="191">
        <v>7724.88</v>
      </c>
      <c r="D19" s="706"/>
      <c r="E19" s="706"/>
      <c r="F19" s="190"/>
    </row>
    <row r="20" spans="1:12">
      <c r="A20" s="191">
        <v>18</v>
      </c>
      <c r="B20" s="191" t="s">
        <v>587</v>
      </c>
      <c r="C20" s="191">
        <v>7.48</v>
      </c>
      <c r="D20" s="706"/>
      <c r="E20" s="706">
        <v>3</v>
      </c>
      <c r="F20" s="190"/>
    </row>
    <row r="21" spans="1:12">
      <c r="A21" s="191">
        <v>19</v>
      </c>
      <c r="B21" s="191">
        <v>301</v>
      </c>
      <c r="C21" s="191">
        <v>2986.66</v>
      </c>
      <c r="D21" s="706"/>
      <c r="E21" s="706"/>
      <c r="F21" s="190"/>
    </row>
    <row r="22" spans="1:12">
      <c r="A22" s="191">
        <v>20</v>
      </c>
      <c r="B22" s="191">
        <v>302</v>
      </c>
      <c r="C22" s="191">
        <v>8072.55</v>
      </c>
      <c r="D22" s="706"/>
      <c r="E22" s="706"/>
      <c r="F22" s="190"/>
    </row>
    <row r="23" spans="1:12">
      <c r="A23" s="191">
        <v>21</v>
      </c>
      <c r="B23" s="191">
        <v>501</v>
      </c>
      <c r="C23" s="191">
        <v>2994.27</v>
      </c>
      <c r="D23" s="706"/>
      <c r="E23" s="706">
        <v>4</v>
      </c>
      <c r="F23" s="704" t="s">
        <v>627</v>
      </c>
      <c r="G23" s="705"/>
      <c r="H23" s="705"/>
    </row>
    <row r="24" spans="1:12">
      <c r="A24" s="191">
        <v>22</v>
      </c>
      <c r="B24" s="191">
        <v>502</v>
      </c>
      <c r="C24" s="191">
        <v>5052.3100000000004</v>
      </c>
      <c r="D24" s="706"/>
      <c r="E24" s="706"/>
      <c r="F24" s="195" t="s">
        <v>619</v>
      </c>
      <c r="G24" s="195" t="s">
        <v>620</v>
      </c>
      <c r="H24" s="85" t="s">
        <v>621</v>
      </c>
    </row>
    <row r="25" spans="1:12">
      <c r="A25" s="191">
        <v>23</v>
      </c>
      <c r="B25" s="191">
        <v>601</v>
      </c>
      <c r="C25" s="191">
        <v>2367.5700000000002</v>
      </c>
      <c r="D25" s="706"/>
      <c r="E25" s="706">
        <v>5</v>
      </c>
      <c r="F25" s="195" t="s">
        <v>622</v>
      </c>
      <c r="G25" s="195" t="s">
        <v>623</v>
      </c>
      <c r="H25" s="196">
        <f>626.45+85.41</f>
        <v>711.86</v>
      </c>
    </row>
    <row r="26" spans="1:12">
      <c r="A26" s="191">
        <v>24</v>
      </c>
      <c r="B26" s="191">
        <v>602</v>
      </c>
      <c r="C26" s="191">
        <v>3706.94</v>
      </c>
      <c r="D26" s="706"/>
      <c r="E26" s="706"/>
      <c r="F26" s="195" t="s">
        <v>624</v>
      </c>
      <c r="G26" s="195" t="s">
        <v>610</v>
      </c>
      <c r="H26" s="196">
        <f>11207.71-4767.24</f>
        <v>6440.4699999999993</v>
      </c>
      <c r="J26" s="187">
        <f>4767+4927+1685</f>
        <v>11379</v>
      </c>
    </row>
    <row r="27" spans="1:12">
      <c r="A27" s="191">
        <v>25</v>
      </c>
      <c r="B27" s="191" t="s">
        <v>588</v>
      </c>
      <c r="C27" s="191">
        <v>126.19</v>
      </c>
      <c r="D27" s="706"/>
      <c r="E27" s="706">
        <v>6</v>
      </c>
      <c r="F27" s="195" t="s">
        <v>625</v>
      </c>
      <c r="G27" s="195" t="s">
        <v>626</v>
      </c>
      <c r="H27" s="197">
        <f>49755.44-4929.01-1685</f>
        <v>43141.43</v>
      </c>
    </row>
    <row r="28" spans="1:12">
      <c r="A28" s="191">
        <v>26</v>
      </c>
      <c r="B28" s="191">
        <v>701</v>
      </c>
      <c r="C28" s="191">
        <v>2263.92</v>
      </c>
      <c r="D28" s="706"/>
      <c r="E28" s="706"/>
      <c r="H28" s="198">
        <f>SUM(H25:H27)</f>
        <v>50293.760000000002</v>
      </c>
    </row>
    <row r="29" spans="1:12">
      <c r="A29" s="191">
        <v>27</v>
      </c>
      <c r="B29" s="191">
        <v>702</v>
      </c>
      <c r="C29" s="191">
        <v>2516.3200000000002</v>
      </c>
      <c r="D29" s="706"/>
      <c r="E29" s="706"/>
      <c r="F29" s="199" t="s">
        <v>628</v>
      </c>
      <c r="G29" s="228">
        <v>1003</v>
      </c>
    </row>
    <row r="30" spans="1:12">
      <c r="A30" s="191">
        <v>28</v>
      </c>
      <c r="B30" s="191">
        <v>801</v>
      </c>
      <c r="C30" s="191">
        <v>1694.06</v>
      </c>
      <c r="D30" s="706" t="s">
        <v>589</v>
      </c>
      <c r="E30" s="191">
        <v>7</v>
      </c>
      <c r="H30" s="198"/>
    </row>
    <row r="31" spans="1:12">
      <c r="A31" s="191">
        <v>29</v>
      </c>
      <c r="B31" s="191">
        <v>901</v>
      </c>
      <c r="C31" s="191">
        <v>1694.06</v>
      </c>
      <c r="D31" s="706"/>
      <c r="E31" s="191">
        <v>8</v>
      </c>
    </row>
    <row r="32" spans="1:12">
      <c r="A32" s="191">
        <v>30</v>
      </c>
      <c r="B32" s="191">
        <v>1001</v>
      </c>
      <c r="C32" s="191">
        <v>1675.14</v>
      </c>
      <c r="D32" s="706"/>
      <c r="E32" s="191">
        <v>9</v>
      </c>
    </row>
    <row r="33" spans="1:6">
      <c r="A33" s="191">
        <v>31</v>
      </c>
      <c r="B33" s="191">
        <v>1101</v>
      </c>
      <c r="C33" s="191">
        <v>1675.14</v>
      </c>
      <c r="D33" s="706"/>
      <c r="E33" s="191">
        <v>10</v>
      </c>
    </row>
    <row r="34" spans="1:6">
      <c r="A34" s="191">
        <v>32</v>
      </c>
      <c r="B34" s="191">
        <v>1201</v>
      </c>
      <c r="C34" s="191">
        <v>1675.14</v>
      </c>
      <c r="D34" s="706"/>
      <c r="E34" s="191">
        <v>11</v>
      </c>
    </row>
    <row r="35" spans="1:6">
      <c r="A35" s="200"/>
      <c r="B35" s="200"/>
      <c r="C35" s="200">
        <f>SUM(C3:C34)</f>
        <v>100326.75000000001</v>
      </c>
      <c r="D35" s="200"/>
      <c r="E35" s="200"/>
    </row>
    <row r="38" spans="1:6" ht="28.5">
      <c r="C38" s="392" t="s">
        <v>1307</v>
      </c>
      <c r="D38" s="392" t="s">
        <v>1308</v>
      </c>
      <c r="E38" s="393" t="s">
        <v>1309</v>
      </c>
      <c r="F38" s="392" t="s">
        <v>1310</v>
      </c>
    </row>
    <row r="39" spans="1:6">
      <c r="C39" s="392">
        <v>1</v>
      </c>
      <c r="D39" s="392" t="s">
        <v>1311</v>
      </c>
      <c r="E39" s="392">
        <v>3111.51</v>
      </c>
      <c r="F39" s="392">
        <v>23898.16</v>
      </c>
    </row>
    <row r="40" spans="1:6">
      <c r="C40" s="392">
        <v>2</v>
      </c>
      <c r="D40" s="392" t="s">
        <v>1313</v>
      </c>
      <c r="E40" s="392">
        <v>1780.09</v>
      </c>
      <c r="F40" s="392">
        <v>13672.09</v>
      </c>
    </row>
    <row r="41" spans="1:6">
      <c r="C41" s="392">
        <v>3</v>
      </c>
      <c r="D41" s="392" t="s">
        <v>1312</v>
      </c>
      <c r="E41" s="392">
        <v>7810.9499999999989</v>
      </c>
      <c r="F41" s="392">
        <v>59992.520000000004</v>
      </c>
    </row>
    <row r="42" spans="1:6">
      <c r="C42" s="707" t="s">
        <v>791</v>
      </c>
      <c r="D42" s="707"/>
      <c r="E42" s="392">
        <v>12702.55</v>
      </c>
      <c r="F42" s="392">
        <f>SUM(F39:F41)</f>
        <v>97562.77</v>
      </c>
    </row>
  </sheetData>
  <mergeCells count="18">
    <mergeCell ref="C42:D42"/>
    <mergeCell ref="D30:D34"/>
    <mergeCell ref="A1:E1"/>
    <mergeCell ref="D3:D4"/>
    <mergeCell ref="E3:E4"/>
    <mergeCell ref="H5:H6"/>
    <mergeCell ref="F23:H23"/>
    <mergeCell ref="D12:D29"/>
    <mergeCell ref="E12:E16"/>
    <mergeCell ref="E17:E19"/>
    <mergeCell ref="E20:E22"/>
    <mergeCell ref="E23:E24"/>
    <mergeCell ref="E25:E26"/>
    <mergeCell ref="E27:E29"/>
    <mergeCell ref="D5:D6"/>
    <mergeCell ref="E5:E7"/>
    <mergeCell ref="E8:E11"/>
    <mergeCell ref="D10:D1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59"/>
  <sheetViews>
    <sheetView topLeftCell="A10" workbookViewId="0">
      <selection activeCell="B38" sqref="B38"/>
    </sheetView>
  </sheetViews>
  <sheetFormatPr defaultColWidth="8.875" defaultRowHeight="12.75"/>
  <cols>
    <col min="1" max="1" width="12" style="200" customWidth="1"/>
    <col min="2" max="3" width="12.625" style="200" customWidth="1"/>
    <col min="4" max="4" width="8.875" style="200"/>
    <col min="5" max="5" width="10.625" style="200" customWidth="1"/>
    <col min="6" max="6" width="11.75" style="200" customWidth="1"/>
    <col min="7" max="8" width="10.625" style="200" customWidth="1"/>
    <col min="9" max="9" width="11.375" style="200" customWidth="1"/>
    <col min="10" max="10" width="10.625" style="200" customWidth="1"/>
    <col min="11" max="12" width="10.25" style="200" customWidth="1"/>
    <col min="13" max="13" width="11.625" style="200" bestFit="1" customWidth="1"/>
    <col min="14" max="16384" width="8.875" style="200"/>
  </cols>
  <sheetData>
    <row r="1" spans="1:13">
      <c r="A1" s="708" t="s">
        <v>1129</v>
      </c>
      <c r="B1" s="708">
        <v>2017</v>
      </c>
      <c r="C1" s="708"/>
      <c r="D1" s="708"/>
      <c r="E1" s="708">
        <v>2016</v>
      </c>
      <c r="F1" s="708"/>
      <c r="G1" s="708"/>
      <c r="H1" s="708">
        <v>2015</v>
      </c>
      <c r="I1" s="708"/>
      <c r="J1" s="708"/>
      <c r="K1" s="708" t="s">
        <v>1130</v>
      </c>
      <c r="L1" s="708" t="s">
        <v>1131</v>
      </c>
    </row>
    <row r="2" spans="1:13">
      <c r="A2" s="708"/>
      <c r="B2" s="5" t="s">
        <v>1132</v>
      </c>
      <c r="C2" s="5" t="s">
        <v>1133</v>
      </c>
      <c r="D2" s="5" t="s">
        <v>1134</v>
      </c>
      <c r="E2" s="5" t="s">
        <v>1135</v>
      </c>
      <c r="F2" s="5" t="s">
        <v>1133</v>
      </c>
      <c r="G2" s="5" t="s">
        <v>1134</v>
      </c>
      <c r="H2" s="5" t="s">
        <v>1132</v>
      </c>
      <c r="I2" s="5" t="s">
        <v>1133</v>
      </c>
      <c r="J2" s="5" t="s">
        <v>1134</v>
      </c>
      <c r="K2" s="708"/>
      <c r="L2" s="708"/>
    </row>
    <row r="3" spans="1:13">
      <c r="A3" s="5" t="s">
        <v>1136</v>
      </c>
      <c r="B3" s="5">
        <v>13206.11</v>
      </c>
      <c r="C3" s="5">
        <v>4382940.33</v>
      </c>
      <c r="D3" s="250">
        <f>C3/30/B3</f>
        <v>11.062910349830494</v>
      </c>
      <c r="E3" s="5">
        <v>13084.04</v>
      </c>
      <c r="F3" s="5">
        <v>4009619.48</v>
      </c>
      <c r="G3" s="250">
        <f>F3/30/E3</f>
        <v>10.215039289597607</v>
      </c>
      <c r="H3" s="5">
        <v>13070.04</v>
      </c>
      <c r="I3" s="5">
        <v>3775274.33</v>
      </c>
      <c r="J3" s="250">
        <f>I3/30/H3</f>
        <v>9.6283161846992567</v>
      </c>
      <c r="K3" s="251">
        <f>D3/G3-1</f>
        <v>8.3002231924482972E-2</v>
      </c>
      <c r="L3" s="251">
        <f>G3/J3-1</f>
        <v>6.0937249425889739E-2</v>
      </c>
      <c r="M3" s="252">
        <f>ROUND(AVERAGE(K3:L3),3)</f>
        <v>7.1999999999999995E-2</v>
      </c>
    </row>
    <row r="4" spans="1:13">
      <c r="A4" s="5" t="s">
        <v>1137</v>
      </c>
      <c r="B4" s="5">
        <v>6342.54</v>
      </c>
      <c r="C4" s="5">
        <v>3700048.6</v>
      </c>
      <c r="D4" s="250">
        <f>C4/30/B4</f>
        <v>19.445672133456522</v>
      </c>
      <c r="E4" s="5">
        <v>5967.49</v>
      </c>
      <c r="F4" s="5">
        <v>3281784.04</v>
      </c>
      <c r="G4" s="250">
        <f>F4/30/E4</f>
        <v>18.331459513687218</v>
      </c>
      <c r="H4" s="5">
        <v>7130.4</v>
      </c>
      <c r="I4" s="5">
        <v>3575509.54</v>
      </c>
      <c r="J4" s="250">
        <f>I4/30/H4</f>
        <v>16.714861905830436</v>
      </c>
      <c r="K4" s="251">
        <f t="shared" ref="K4:K16" si="0">D4/G4-1</f>
        <v>6.0781446176578324E-2</v>
      </c>
      <c r="L4" s="251">
        <f t="shared" ref="L4:L13" si="1">G4/J4-1</f>
        <v>9.6716180903228643E-2</v>
      </c>
      <c r="M4" s="252">
        <f>ROUND(AVERAGE(K4:L4),3)</f>
        <v>7.9000000000000001E-2</v>
      </c>
    </row>
    <row r="5" spans="1:13">
      <c r="A5" s="5" t="s">
        <v>1138</v>
      </c>
      <c r="B5" s="5">
        <v>7043.49</v>
      </c>
      <c r="C5" s="5">
        <v>2951029.2</v>
      </c>
      <c r="D5" s="250">
        <f t="shared" ref="D5:D16" si="2">C5/30/B5</f>
        <v>13.965752773128095</v>
      </c>
      <c r="E5" s="5">
        <v>6655.96</v>
      </c>
      <c r="F5" s="5">
        <v>2666389.9900000002</v>
      </c>
      <c r="G5" s="250">
        <f>F5/30/E5</f>
        <v>13.353395503178104</v>
      </c>
      <c r="H5" s="5">
        <v>7474.41</v>
      </c>
      <c r="I5" s="5">
        <v>2230998.0499999998</v>
      </c>
      <c r="J5" s="250">
        <f t="shared" ref="J5:J16" si="3">I5/30/H5</f>
        <v>9.9494945643424231</v>
      </c>
      <c r="K5" s="251">
        <f t="shared" si="0"/>
        <v>4.5857794731253954E-2</v>
      </c>
      <c r="L5" s="251">
        <f>G5/J5-1</f>
        <v>0.34211797562408641</v>
      </c>
      <c r="M5" s="252">
        <f>ROUND(AVERAGE(K5:L5),3)</f>
        <v>0.19400000000000001</v>
      </c>
    </row>
    <row r="6" spans="1:13">
      <c r="A6" s="5" t="s">
        <v>1139</v>
      </c>
      <c r="B6" s="5">
        <v>5783.03</v>
      </c>
      <c r="C6" s="5">
        <v>1648732.61</v>
      </c>
      <c r="D6" s="250">
        <f t="shared" si="2"/>
        <v>9.503280056763785</v>
      </c>
      <c r="E6" s="5">
        <v>4534.6499999999996</v>
      </c>
      <c r="F6" s="5">
        <v>1249354</v>
      </c>
      <c r="G6" s="250">
        <f t="shared" ref="G6:G16" si="4">F6/30/E6</f>
        <v>9.1837591287824498</v>
      </c>
      <c r="H6" s="5">
        <v>4503.1499999999996</v>
      </c>
      <c r="I6" s="5">
        <v>1154006.47</v>
      </c>
      <c r="J6" s="250">
        <f t="shared" si="3"/>
        <v>8.5422165225083191</v>
      </c>
      <c r="K6" s="251">
        <f t="shared" si="0"/>
        <v>3.4791954307679784E-2</v>
      </c>
      <c r="L6" s="251">
        <f t="shared" si="1"/>
        <v>7.5102592469260987E-2</v>
      </c>
      <c r="M6" s="252">
        <f t="shared" ref="M6:M7" si="5">ROUND(AVERAGE(K6:L6),3)</f>
        <v>5.5E-2</v>
      </c>
    </row>
    <row r="7" spans="1:13">
      <c r="A7" s="5" t="s">
        <v>1140</v>
      </c>
      <c r="B7" s="5">
        <v>3820.57</v>
      </c>
      <c r="C7" s="5">
        <v>865046.74</v>
      </c>
      <c r="D7" s="250">
        <f t="shared" si="2"/>
        <v>7.5472747085731529</v>
      </c>
      <c r="E7" s="5">
        <v>3805.59</v>
      </c>
      <c r="F7" s="5">
        <v>837535</v>
      </c>
      <c r="G7" s="250">
        <f t="shared" si="4"/>
        <v>7.3360065938089312</v>
      </c>
      <c r="H7" s="5">
        <v>3816.78</v>
      </c>
      <c r="I7" s="5">
        <v>758383.9</v>
      </c>
      <c r="J7" s="250">
        <f t="shared" si="3"/>
        <v>6.6232435019396796</v>
      </c>
      <c r="K7" s="251">
        <f t="shared" si="0"/>
        <v>2.8798790194997537E-2</v>
      </c>
      <c r="L7" s="251">
        <f t="shared" si="1"/>
        <v>0.10761541405815933</v>
      </c>
      <c r="M7" s="252">
        <f t="shared" si="5"/>
        <v>6.8000000000000005E-2</v>
      </c>
    </row>
    <row r="8" spans="1:13">
      <c r="A8" s="5" t="s">
        <v>1141</v>
      </c>
      <c r="B8" s="5"/>
      <c r="C8" s="5"/>
      <c r="D8" s="250"/>
      <c r="E8" s="5"/>
      <c r="F8" s="5"/>
      <c r="G8" s="250"/>
      <c r="H8" s="5"/>
      <c r="I8" s="5"/>
      <c r="J8" s="250"/>
      <c r="K8" s="251"/>
      <c r="L8" s="251"/>
      <c r="M8" s="252"/>
    </row>
    <row r="9" spans="1:13">
      <c r="A9" s="5" t="s">
        <v>1142</v>
      </c>
      <c r="B9" s="5">
        <v>1285.57</v>
      </c>
      <c r="C9" s="5">
        <v>254167.9</v>
      </c>
      <c r="D9" s="250">
        <f t="shared" si="2"/>
        <v>6.5902777237593693</v>
      </c>
      <c r="E9" s="5">
        <v>1285.57</v>
      </c>
      <c r="F9" s="5">
        <v>254167.9</v>
      </c>
      <c r="G9" s="250">
        <f t="shared" si="4"/>
        <v>6.5902777237593693</v>
      </c>
      <c r="H9" s="5">
        <v>1285.57</v>
      </c>
      <c r="I9" s="5">
        <v>215065.1</v>
      </c>
      <c r="J9" s="250">
        <f t="shared" si="3"/>
        <v>5.5763876464655118</v>
      </c>
      <c r="K9" s="251">
        <f t="shared" si="0"/>
        <v>0</v>
      </c>
      <c r="L9" s="251">
        <f t="shared" si="1"/>
        <v>0.18181843544117537</v>
      </c>
      <c r="M9" s="252">
        <f>ROUND(AVERAGE(K9:L9),3)</f>
        <v>9.0999999999999998E-2</v>
      </c>
    </row>
    <row r="10" spans="1:13">
      <c r="A10" s="5" t="s">
        <v>1143</v>
      </c>
      <c r="B10" s="5">
        <v>1285.57</v>
      </c>
      <c r="C10" s="5">
        <v>273719.28000000003</v>
      </c>
      <c r="D10" s="250">
        <f t="shared" si="2"/>
        <v>7.0972222438295862</v>
      </c>
      <c r="E10" s="5">
        <v>1285.57</v>
      </c>
      <c r="F10" s="5">
        <v>273719.28000000003</v>
      </c>
      <c r="G10" s="250">
        <f t="shared" si="4"/>
        <v>7.0972222438295862</v>
      </c>
      <c r="H10" s="5">
        <v>1285.57</v>
      </c>
      <c r="I10" s="5">
        <v>273719.28000000003</v>
      </c>
      <c r="J10" s="250">
        <f t="shared" si="3"/>
        <v>7.0972222438295862</v>
      </c>
      <c r="K10" s="251">
        <f t="shared" si="0"/>
        <v>0</v>
      </c>
      <c r="L10" s="251">
        <f t="shared" si="1"/>
        <v>0</v>
      </c>
      <c r="M10" s="252">
        <f t="shared" ref="M10:M13" si="6">ROUND(AVERAGE(K10:L10),3)</f>
        <v>0</v>
      </c>
    </row>
    <row r="11" spans="1:13">
      <c r="A11" s="5" t="s">
        <v>1144</v>
      </c>
      <c r="B11" s="5">
        <v>1271.17</v>
      </c>
      <c r="C11" s="5">
        <v>270653.28000000003</v>
      </c>
      <c r="D11" s="250">
        <f t="shared" si="2"/>
        <v>7.0972222440743575</v>
      </c>
      <c r="E11" s="5">
        <v>1271.17</v>
      </c>
      <c r="F11" s="5">
        <v>251320.9</v>
      </c>
      <c r="G11" s="250">
        <f t="shared" si="4"/>
        <v>6.590277723147441</v>
      </c>
      <c r="H11" s="5">
        <v>1271.17</v>
      </c>
      <c r="I11" s="5">
        <v>251320.9</v>
      </c>
      <c r="J11" s="250">
        <f t="shared" si="3"/>
        <v>6.590277723147441</v>
      </c>
      <c r="K11" s="251">
        <f>D11/G11-1</f>
        <v>7.692308916608237E-2</v>
      </c>
      <c r="L11" s="251">
        <f t="shared" si="1"/>
        <v>0</v>
      </c>
      <c r="M11" s="252">
        <f t="shared" si="6"/>
        <v>3.7999999999999999E-2</v>
      </c>
    </row>
    <row r="12" spans="1:13">
      <c r="A12" s="5" t="s">
        <v>1145</v>
      </c>
      <c r="B12" s="5">
        <v>1277.49</v>
      </c>
      <c r="C12" s="5">
        <v>252570.42</v>
      </c>
      <c r="D12" s="250">
        <f t="shared" si="2"/>
        <v>6.59027781039382</v>
      </c>
      <c r="E12" s="5">
        <v>2554.98</v>
      </c>
      <c r="F12" s="5">
        <v>520684</v>
      </c>
      <c r="G12" s="250">
        <f t="shared" si="4"/>
        <v>6.7930603501136346</v>
      </c>
      <c r="H12" s="5">
        <v>2554.98</v>
      </c>
      <c r="I12" s="5">
        <v>474055</v>
      </c>
      <c r="J12" s="250">
        <f t="shared" si="3"/>
        <v>6.1847189932341289</v>
      </c>
      <c r="K12" s="251">
        <f>D12/G12-1</f>
        <v>-2.9851426200920295E-2</v>
      </c>
      <c r="L12" s="251">
        <f t="shared" si="1"/>
        <v>9.8362004408771186E-2</v>
      </c>
      <c r="M12" s="252">
        <f t="shared" si="6"/>
        <v>3.4000000000000002E-2</v>
      </c>
    </row>
    <row r="13" spans="1:13">
      <c r="A13" s="5" t="s">
        <v>1146</v>
      </c>
      <c r="B13" s="5">
        <v>1277.49</v>
      </c>
      <c r="C13" s="5">
        <v>260341.82</v>
      </c>
      <c r="D13" s="250">
        <f>C13/30/B13</f>
        <v>6.7930556534036795</v>
      </c>
      <c r="E13" s="5"/>
      <c r="F13" s="5"/>
      <c r="G13" s="250">
        <f>G12</f>
        <v>6.7930603501136346</v>
      </c>
      <c r="H13" s="5"/>
      <c r="I13" s="5"/>
      <c r="J13" s="250">
        <f>J12</f>
        <v>6.1847189932341289</v>
      </c>
      <c r="K13" s="251">
        <f>D13/G13-1</f>
        <v>-6.9139823777319975E-7</v>
      </c>
      <c r="L13" s="251">
        <f t="shared" si="1"/>
        <v>9.8362004408771186E-2</v>
      </c>
      <c r="M13" s="252">
        <f t="shared" si="6"/>
        <v>4.9000000000000002E-2</v>
      </c>
    </row>
    <row r="14" spans="1:13">
      <c r="A14" s="268" t="s">
        <v>1147</v>
      </c>
      <c r="B14" s="5">
        <v>6440.47</v>
      </c>
      <c r="C14" s="5">
        <v>2854097.55</v>
      </c>
      <c r="D14" s="250">
        <f t="shared" si="2"/>
        <v>14.771683588309546</v>
      </c>
      <c r="E14" s="5">
        <v>6303.44</v>
      </c>
      <c r="F14" s="5">
        <v>2666173.8199999998</v>
      </c>
      <c r="G14" s="250">
        <f t="shared" si="4"/>
        <v>14.099041264240903</v>
      </c>
      <c r="H14" s="5">
        <v>6328.5</v>
      </c>
      <c r="I14" s="5">
        <v>2498539.8199999998</v>
      </c>
      <c r="J14" s="250">
        <f t="shared" si="3"/>
        <v>13.16025292986753</v>
      </c>
      <c r="K14" s="251">
        <f>D14/G14-1</f>
        <v>4.7708373318592345E-2</v>
      </c>
      <c r="L14" s="251">
        <f>G14/J14-1</f>
        <v>7.1335128540179316E-2</v>
      </c>
      <c r="M14" s="252">
        <f>ROUND(AVERAGE(K14:L14),3)</f>
        <v>0.06</v>
      </c>
    </row>
    <row r="15" spans="1:13">
      <c r="A15" s="268" t="s">
        <v>1148</v>
      </c>
      <c r="B15" s="5"/>
      <c r="C15" s="5"/>
      <c r="D15" s="250"/>
      <c r="E15" s="5"/>
      <c r="F15" s="5"/>
      <c r="G15" s="250"/>
      <c r="H15" s="5"/>
      <c r="I15" s="5"/>
      <c r="J15" s="250"/>
      <c r="K15" s="251"/>
      <c r="L15" s="251"/>
    </row>
    <row r="16" spans="1:13">
      <c r="A16" s="268" t="s">
        <v>1149</v>
      </c>
      <c r="B16" s="5">
        <v>626.45000000000005</v>
      </c>
      <c r="C16" s="5">
        <v>58780</v>
      </c>
      <c r="D16" s="250">
        <f t="shared" si="2"/>
        <v>3.1276771224093434</v>
      </c>
      <c r="E16" s="5">
        <v>648.1</v>
      </c>
      <c r="F16" s="5">
        <v>58735.4</v>
      </c>
      <c r="G16" s="250">
        <f t="shared" si="4"/>
        <v>3.0209021241577947</v>
      </c>
      <c r="H16" s="5">
        <v>578.01</v>
      </c>
      <c r="I16" s="5">
        <v>48159.1</v>
      </c>
      <c r="J16" s="250">
        <f t="shared" si="3"/>
        <v>2.7772933570930145</v>
      </c>
      <c r="K16" s="251">
        <f t="shared" si="0"/>
        <v>3.5345401427501422E-2</v>
      </c>
      <c r="L16" s="251">
        <f>G16/J16-1</f>
        <v>8.7714452793623776E-2</v>
      </c>
      <c r="M16" s="252">
        <f>ROUND(AVERAGE(K16:L16),3)</f>
        <v>6.2E-2</v>
      </c>
    </row>
    <row r="17" spans="1:21">
      <c r="K17" s="252"/>
      <c r="L17" s="252"/>
    </row>
    <row r="18" spans="1:21">
      <c r="K18" s="252"/>
      <c r="L18" s="252"/>
    </row>
    <row r="19" spans="1:21">
      <c r="A19" s="248" t="s">
        <v>1150</v>
      </c>
      <c r="B19" s="253">
        <f>B3-B27</f>
        <v>8373.3100000000013</v>
      </c>
      <c r="C19" s="253">
        <f>C3-B28</f>
        <v>3899607</v>
      </c>
      <c r="D19" s="250">
        <f>C19/30/B19</f>
        <v>15.523956475993362</v>
      </c>
      <c r="E19" s="253">
        <f>E3-B27</f>
        <v>8251.2400000000016</v>
      </c>
      <c r="F19" s="253">
        <f>F3-B28</f>
        <v>3526286.15</v>
      </c>
      <c r="G19" s="250">
        <f>F19/30/E19</f>
        <v>14.245479669318385</v>
      </c>
      <c r="H19" s="5">
        <f>H3-B27</f>
        <v>8237.2400000000016</v>
      </c>
      <c r="I19" s="5">
        <f>I3-B28</f>
        <v>3291941</v>
      </c>
      <c r="J19" s="250">
        <f>I19/30/H19</f>
        <v>13.321375444525914</v>
      </c>
      <c r="K19" s="251">
        <f>D19/G19-1</f>
        <v>8.9746139572157269E-2</v>
      </c>
      <c r="L19" s="251">
        <f t="shared" ref="L19" si="7">G19/J19-1</f>
        <v>6.937003079304449E-2</v>
      </c>
      <c r="M19" s="252">
        <f>ROUND(AVERAGE(K19:L19),3)</f>
        <v>0.08</v>
      </c>
    </row>
    <row r="20" spans="1:21">
      <c r="A20" s="254"/>
      <c r="B20" s="255"/>
      <c r="C20" s="255"/>
      <c r="D20" s="256"/>
      <c r="E20" s="255"/>
      <c r="F20" s="255"/>
      <c r="G20" s="256"/>
      <c r="H20" s="257"/>
      <c r="I20" s="257"/>
      <c r="J20" s="256"/>
      <c r="K20" s="258"/>
      <c r="L20" s="258"/>
      <c r="M20" s="252"/>
    </row>
    <row r="21" spans="1:21">
      <c r="A21" s="267" t="s">
        <v>1277</v>
      </c>
      <c r="B21" s="255">
        <f>B19+B4+B5</f>
        <v>21759.340000000004</v>
      </c>
      <c r="C21" s="255">
        <f>C19+C4+C5</f>
        <v>10550684.800000001</v>
      </c>
      <c r="D21" s="250">
        <f>C21/30/B21</f>
        <v>16.162691209077725</v>
      </c>
      <c r="E21" s="255">
        <f>E19+E4+E5</f>
        <v>20874.690000000002</v>
      </c>
      <c r="F21" s="255">
        <f>F19+F4+F5</f>
        <v>9474460.1799999997</v>
      </c>
      <c r="G21" s="250">
        <f>F21/30/E21</f>
        <v>15.129103202650352</v>
      </c>
      <c r="H21" s="255">
        <f>H19+H4+H5</f>
        <v>22842.050000000003</v>
      </c>
      <c r="I21" s="255">
        <f>I19+I4+I5</f>
        <v>9098448.5899999999</v>
      </c>
      <c r="J21" s="250">
        <f>I21/30/H21</f>
        <v>13.277338052699589</v>
      </c>
      <c r="K21" s="251">
        <f>D21/G21-1</f>
        <v>6.831786343068269E-2</v>
      </c>
      <c r="L21" s="251">
        <f>G21/J21-1</f>
        <v>0.13946810291346434</v>
      </c>
      <c r="M21" s="252">
        <f>ROUND(AVERAGE(K21:L21),3)</f>
        <v>0.104</v>
      </c>
    </row>
    <row r="22" spans="1:21">
      <c r="A22" s="267" t="s">
        <v>1278</v>
      </c>
      <c r="B22" s="255">
        <f>B6+B7</f>
        <v>9603.6</v>
      </c>
      <c r="C22" s="255">
        <f>C6+C7</f>
        <v>2513779.35</v>
      </c>
      <c r="D22" s="250">
        <f t="shared" ref="D22:D23" si="8">C22/30/B22</f>
        <v>8.7251285976092294</v>
      </c>
      <c r="E22" s="255">
        <f>E6+E7</f>
        <v>8340.24</v>
      </c>
      <c r="F22" s="255">
        <f>F6+F7</f>
        <v>2086889</v>
      </c>
      <c r="G22" s="250">
        <f t="shared" ref="G22:G23" si="9">F22/30/E22</f>
        <v>8.3406432748538002</v>
      </c>
      <c r="H22" s="255">
        <f>H6+H7</f>
        <v>8319.93</v>
      </c>
      <c r="I22" s="255">
        <f>I6+I7</f>
        <v>1912390.37</v>
      </c>
      <c r="J22" s="250">
        <f>I22/30/H22</f>
        <v>7.66188485560175</v>
      </c>
      <c r="K22" s="251">
        <f>D22/G22-1</f>
        <v>4.6097802062175841E-2</v>
      </c>
      <c r="L22" s="251">
        <f>G22/J22-1</f>
        <v>8.8588961077351147E-2</v>
      </c>
      <c r="M22" s="252">
        <f>ROUND(AVERAGE(K22:L22),3)</f>
        <v>6.7000000000000004E-2</v>
      </c>
    </row>
    <row r="23" spans="1:21">
      <c r="A23" s="267" t="s">
        <v>1279</v>
      </c>
      <c r="B23" s="255">
        <f>B9+B10+B11+B12+B13</f>
        <v>6397.29</v>
      </c>
      <c r="C23" s="255">
        <f>C9+C10+C11+C12+C13</f>
        <v>1311452.7000000002</v>
      </c>
      <c r="D23" s="250">
        <f t="shared" si="8"/>
        <v>6.8333763202856215</v>
      </c>
      <c r="E23" s="255">
        <f>E9+E10+E11+E12+E13</f>
        <v>6397.29</v>
      </c>
      <c r="F23" s="255">
        <f>F9+F10+F11+F12+F13</f>
        <v>1299892.08</v>
      </c>
      <c r="G23" s="250">
        <f t="shared" si="9"/>
        <v>6.7731392511516599</v>
      </c>
      <c r="H23" s="255">
        <f>H9+H10+H11+H12+H13</f>
        <v>6397.29</v>
      </c>
      <c r="I23" s="255">
        <f>I9+I10+I11+I12+I13</f>
        <v>1214160.28</v>
      </c>
      <c r="J23" s="250">
        <f>I23/30/H23</f>
        <v>6.3264303061661007</v>
      </c>
      <c r="K23" s="251">
        <f>D23/G23-1</f>
        <v>8.8935229146098749E-3</v>
      </c>
      <c r="L23" s="251">
        <f>G23/J23-1</f>
        <v>7.0609952748577953E-2</v>
      </c>
      <c r="M23" s="252">
        <f>ROUND(AVERAGE(K23:L23),3)</f>
        <v>0.04</v>
      </c>
    </row>
    <row r="24" spans="1:21">
      <c r="A24" s="254"/>
      <c r="B24" s="255"/>
      <c r="C24" s="255"/>
      <c r="D24" s="256"/>
      <c r="E24" s="255"/>
      <c r="F24" s="255"/>
      <c r="G24" s="256"/>
      <c r="H24" s="255"/>
      <c r="I24" s="255"/>
      <c r="J24" s="256"/>
      <c r="K24" s="258"/>
      <c r="L24" s="258"/>
      <c r="M24" s="252"/>
    </row>
    <row r="26" spans="1:21">
      <c r="D26" s="5">
        <v>1</v>
      </c>
      <c r="E26" s="5">
        <v>2</v>
      </c>
      <c r="F26" s="5">
        <v>3</v>
      </c>
      <c r="G26" s="5">
        <v>4</v>
      </c>
      <c r="H26" s="5">
        <v>5</v>
      </c>
      <c r="I26" s="5">
        <v>6</v>
      </c>
      <c r="J26" s="5">
        <v>7</v>
      </c>
      <c r="K26" s="5">
        <v>8</v>
      </c>
      <c r="L26" s="5">
        <v>9</v>
      </c>
      <c r="M26" s="5">
        <v>10</v>
      </c>
      <c r="N26" s="5">
        <v>11</v>
      </c>
      <c r="O26" s="5">
        <v>12</v>
      </c>
      <c r="P26" s="5">
        <v>13</v>
      </c>
      <c r="Q26" s="5">
        <v>14</v>
      </c>
      <c r="R26" s="5">
        <v>15</v>
      </c>
      <c r="S26" s="5">
        <v>16</v>
      </c>
      <c r="T26" s="5">
        <v>17</v>
      </c>
    </row>
    <row r="27" spans="1:21">
      <c r="A27" s="5" t="s">
        <v>1151</v>
      </c>
      <c r="B27" s="253">
        <f>[1]楼盘租金明细表!F286</f>
        <v>4832.8</v>
      </c>
      <c r="D27" s="5">
        <v>530</v>
      </c>
      <c r="E27" s="5">
        <f>D27</f>
        <v>530</v>
      </c>
      <c r="F27" s="5">
        <f>E27</f>
        <v>530</v>
      </c>
      <c r="G27" s="5">
        <v>580</v>
      </c>
      <c r="H27" s="5">
        <f>G27</f>
        <v>580</v>
      </c>
      <c r="I27" s="5">
        <f>H27</f>
        <v>580</v>
      </c>
      <c r="J27" s="5">
        <v>640</v>
      </c>
      <c r="K27" s="5">
        <f t="shared" ref="K27:T27" si="10">J27</f>
        <v>640</v>
      </c>
      <c r="L27" s="5">
        <f t="shared" si="10"/>
        <v>640</v>
      </c>
      <c r="M27" s="5">
        <f t="shared" si="10"/>
        <v>640</v>
      </c>
      <c r="N27" s="5">
        <f t="shared" si="10"/>
        <v>640</v>
      </c>
      <c r="O27" s="5">
        <f t="shared" si="10"/>
        <v>640</v>
      </c>
      <c r="P27" s="5">
        <f t="shared" si="10"/>
        <v>640</v>
      </c>
      <c r="Q27" s="5">
        <f t="shared" si="10"/>
        <v>640</v>
      </c>
      <c r="R27" s="5">
        <f t="shared" si="10"/>
        <v>640</v>
      </c>
      <c r="S27" s="5">
        <f t="shared" si="10"/>
        <v>640</v>
      </c>
      <c r="T27" s="5">
        <f t="shared" si="10"/>
        <v>640</v>
      </c>
    </row>
    <row r="28" spans="1:21">
      <c r="A28" s="5" t="s">
        <v>1152</v>
      </c>
      <c r="B28" s="253">
        <f>[1]楼盘租金明细表!G286</f>
        <v>483333.33</v>
      </c>
      <c r="C28" s="259"/>
      <c r="D28" s="260"/>
      <c r="E28" s="260">
        <f>ROUND((F27-E27)/E27,3)</f>
        <v>0</v>
      </c>
      <c r="F28" s="260">
        <f t="shared" ref="F28:O28" si="11">ROUND((G27-F27)/F27,3)</f>
        <v>9.4E-2</v>
      </c>
      <c r="G28" s="260">
        <f t="shared" si="11"/>
        <v>0</v>
      </c>
      <c r="H28" s="260">
        <f t="shared" si="11"/>
        <v>0</v>
      </c>
      <c r="I28" s="260">
        <f t="shared" si="11"/>
        <v>0.10299999999999999</v>
      </c>
      <c r="J28" s="260">
        <f t="shared" si="11"/>
        <v>0</v>
      </c>
      <c r="K28" s="260">
        <f t="shared" si="11"/>
        <v>0</v>
      </c>
      <c r="L28" s="260">
        <f t="shared" si="11"/>
        <v>0</v>
      </c>
      <c r="M28" s="260">
        <f t="shared" si="11"/>
        <v>0</v>
      </c>
      <c r="N28" s="260">
        <f t="shared" si="11"/>
        <v>0</v>
      </c>
      <c r="O28" s="260">
        <f t="shared" si="11"/>
        <v>0</v>
      </c>
      <c r="P28" s="260">
        <f>ROUND((Q27-P27)/P27,3)</f>
        <v>0</v>
      </c>
      <c r="Q28" s="260">
        <f t="shared" ref="Q28" si="12">ROUND((R27-Q27)/Q27,3)</f>
        <v>0</v>
      </c>
      <c r="R28" s="260">
        <f t="shared" ref="R28" si="13">ROUND((S27-R27)/R27,3)</f>
        <v>0</v>
      </c>
      <c r="S28" s="260">
        <f>ROUND((T27-S27)/S27,3)</f>
        <v>0</v>
      </c>
      <c r="T28" s="260"/>
      <c r="U28" s="6">
        <f>ROUND(AVERAGE(E28:S28),3)</f>
        <v>1.2999999999999999E-2</v>
      </c>
    </row>
    <row r="29" spans="1:21">
      <c r="B29" s="200">
        <f>B28/B27/30</f>
        <v>3.3337011670253269</v>
      </c>
      <c r="E29" s="257"/>
      <c r="F29" s="257"/>
      <c r="G29" s="257"/>
      <c r="H29" s="257"/>
    </row>
    <row r="30" spans="1:21">
      <c r="E30" s="257"/>
      <c r="F30" s="257"/>
      <c r="G30" s="257"/>
      <c r="H30" s="257"/>
    </row>
    <row r="31" spans="1:21" s="261" customFormat="1"/>
    <row r="32" spans="1:21">
      <c r="A32" s="712" t="s">
        <v>1228</v>
      </c>
      <c r="B32" s="712"/>
      <c r="C32" s="712"/>
      <c r="D32" s="712"/>
      <c r="F32" s="710" t="s">
        <v>1271</v>
      </c>
      <c r="G32" s="710"/>
      <c r="H32" s="710"/>
      <c r="I32" s="710"/>
    </row>
    <row r="33" spans="1:14">
      <c r="A33" s="5"/>
      <c r="B33" s="5">
        <v>2017</v>
      </c>
      <c r="C33" s="5">
        <v>2016</v>
      </c>
      <c r="D33" s="5">
        <v>2015</v>
      </c>
      <c r="F33" s="5"/>
      <c r="G33" s="5">
        <v>2017</v>
      </c>
      <c r="H33" s="5">
        <v>2016</v>
      </c>
      <c r="I33" s="5">
        <v>2015</v>
      </c>
    </row>
    <row r="34" spans="1:14" ht="25.5">
      <c r="A34" s="5" t="s">
        <v>1229</v>
      </c>
      <c r="B34" s="262">
        <f>15016437.228/10000</f>
        <v>1501.6437228</v>
      </c>
      <c r="C34" s="5">
        <f>21915135.02/10000</f>
        <v>2191.5135019999998</v>
      </c>
      <c r="D34" s="5">
        <f>25030578.57/10000</f>
        <v>2503.0578570000002</v>
      </c>
      <c r="F34" s="263" t="s">
        <v>1250</v>
      </c>
      <c r="G34" s="5">
        <f>204607757.03/10000</f>
        <v>20460.775702999999</v>
      </c>
      <c r="H34" s="5">
        <f>190287174.62/10000</f>
        <v>19028.717462000001</v>
      </c>
      <c r="I34" s="262">
        <f>179983268.34/10000</f>
        <v>17998.326834</v>
      </c>
    </row>
    <row r="35" spans="1:14">
      <c r="A35" s="5" t="s">
        <v>1230</v>
      </c>
      <c r="B35" s="5">
        <f>ROUND(AVERAGE(B34:D34),0)</f>
        <v>2065</v>
      </c>
      <c r="C35" s="5"/>
      <c r="D35" s="5"/>
      <c r="F35" s="263" t="s">
        <v>1252</v>
      </c>
      <c r="G35" s="5">
        <f>(G34-H34)/H34</f>
        <v>7.5257738408265967E-2</v>
      </c>
      <c r="H35" s="5">
        <f>(H34-I34)/I34</f>
        <v>5.7249245305042842E-2</v>
      </c>
      <c r="I35" s="5"/>
      <c r="J35" s="200">
        <v>61278</v>
      </c>
    </row>
    <row r="36" spans="1:14">
      <c r="F36" s="5" t="s">
        <v>1251</v>
      </c>
      <c r="G36" s="5">
        <f>10697104.38/10000</f>
        <v>1069.7104380000001</v>
      </c>
      <c r="H36" s="5">
        <f>7424261.59/10000</f>
        <v>742.42615899999998</v>
      </c>
      <c r="I36" s="5">
        <f>12023258.19/10000</f>
        <v>1202.3258189999999</v>
      </c>
    </row>
    <row r="37" spans="1:14">
      <c r="A37" s="263"/>
      <c r="B37" s="263" t="s">
        <v>1231</v>
      </c>
      <c r="C37" s="263" t="s">
        <v>1232</v>
      </c>
      <c r="F37" s="5" t="s">
        <v>1253</v>
      </c>
      <c r="G37" s="5">
        <f>ROUND(G36/($J$35+基础资料!$G$18-基础资料!$G$3)*(基础资料!$G$18-基础资料!$G$3),0)</f>
        <v>660</v>
      </c>
      <c r="H37" s="5">
        <f>ROUND(H36/($J$35+基础资料!$G$18-基础资料!$G$3)*(基础资料!$G$18-基础资料!$G$3),0)</f>
        <v>458</v>
      </c>
      <c r="I37" s="5">
        <f>ROUND(I36/($J$35+基础资料!$G$18-基础资料!$G$3)*(基础资料!$G$18-基础资料!$G$3),0)</f>
        <v>742</v>
      </c>
    </row>
    <row r="38" spans="1:14">
      <c r="A38" s="264" t="s">
        <v>1233</v>
      </c>
      <c r="B38" s="265">
        <f>地下商业现金流!F82</f>
        <v>6440.47</v>
      </c>
      <c r="C38" s="263">
        <f>ROUND(B38/B40*B34*10000,0)</f>
        <v>1950569</v>
      </c>
      <c r="F38" s="5" t="s">
        <v>1254</v>
      </c>
      <c r="G38" s="6">
        <f>G37/G34</f>
        <v>3.2256841557733784E-2</v>
      </c>
      <c r="H38" s="6">
        <f>H37/H34</f>
        <v>2.4068884354114646E-2</v>
      </c>
      <c r="I38" s="6">
        <f>I37/I34</f>
        <v>4.1226054335134876E-2</v>
      </c>
      <c r="K38" s="266"/>
      <c r="L38" s="266"/>
    </row>
    <row r="39" spans="1:14">
      <c r="A39" s="264" t="s">
        <v>1234</v>
      </c>
      <c r="B39" s="263">
        <f>地上商业现金流!F397</f>
        <v>43141.430005479444</v>
      </c>
      <c r="C39" s="263">
        <f>ROUND(B34*10000-C38,0)</f>
        <v>13065868</v>
      </c>
      <c r="G39" s="200" t="s">
        <v>1274</v>
      </c>
      <c r="H39" s="252">
        <f>AVERAGE(G38:I38)</f>
        <v>3.2517260082327769E-2</v>
      </c>
    </row>
    <row r="40" spans="1:14">
      <c r="A40" s="263" t="s">
        <v>1235</v>
      </c>
      <c r="B40" s="263">
        <f>B38+B39</f>
        <v>49581.900005479445</v>
      </c>
      <c r="C40" s="277">
        <f>C38+C39</f>
        <v>15016437</v>
      </c>
    </row>
    <row r="41" spans="1:14">
      <c r="A41" s="269"/>
      <c r="B41" s="269"/>
      <c r="C41" s="269"/>
      <c r="H41" s="200">
        <f>(G34-H34)/H34</f>
        <v>7.5257738408265967E-2</v>
      </c>
      <c r="I41" s="200">
        <f>(H34-I34)/I34</f>
        <v>5.7249245305042842E-2</v>
      </c>
    </row>
    <row r="42" spans="1:14">
      <c r="A42" s="269"/>
      <c r="B42" s="269"/>
      <c r="C42" s="269"/>
    </row>
    <row r="45" spans="1:14">
      <c r="A45" s="711" t="s">
        <v>1270</v>
      </c>
      <c r="B45" s="711"/>
      <c r="C45" s="711"/>
      <c r="D45" s="711"/>
      <c r="E45" s="711"/>
      <c r="F45" s="711"/>
      <c r="G45" s="711"/>
      <c r="H45" s="711"/>
      <c r="I45" s="711"/>
      <c r="J45" s="711"/>
      <c r="K45" s="711"/>
      <c r="L45" s="711"/>
      <c r="M45" s="711"/>
      <c r="N45" s="711"/>
    </row>
    <row r="46" spans="1:14">
      <c r="A46" s="5"/>
      <c r="B46" s="5" t="s">
        <v>1256</v>
      </c>
      <c r="C46" s="5" t="s">
        <v>1257</v>
      </c>
      <c r="D46" s="5" t="s">
        <v>1258</v>
      </c>
      <c r="E46" s="5" t="s">
        <v>1259</v>
      </c>
      <c r="F46" s="5" t="s">
        <v>1260</v>
      </c>
      <c r="G46" s="5" t="s">
        <v>1261</v>
      </c>
      <c r="H46" s="5" t="s">
        <v>1262</v>
      </c>
      <c r="I46" s="5" t="s">
        <v>1263</v>
      </c>
      <c r="J46" s="5" t="s">
        <v>1264</v>
      </c>
      <c r="K46" s="5" t="s">
        <v>1265</v>
      </c>
      <c r="L46" s="5" t="s">
        <v>1266</v>
      </c>
      <c r="M46" s="5" t="s">
        <v>1267</v>
      </c>
      <c r="N46" s="5"/>
    </row>
    <row r="47" spans="1:14">
      <c r="A47" s="5" t="s">
        <v>1255</v>
      </c>
      <c r="B47" s="5">
        <v>46671.309999999983</v>
      </c>
      <c r="C47" s="5">
        <v>46951.989999999983</v>
      </c>
      <c r="D47" s="5">
        <v>46811.819999999985</v>
      </c>
      <c r="E47" s="5">
        <v>46657.289999999986</v>
      </c>
      <c r="F47" s="5">
        <v>46349.169999999984</v>
      </c>
      <c r="G47" s="5">
        <v>46169.289999999986</v>
      </c>
      <c r="H47" s="5">
        <v>48167.409999999996</v>
      </c>
      <c r="I47" s="5">
        <v>49216.389999999978</v>
      </c>
      <c r="J47" s="5">
        <v>49553.439999999981</v>
      </c>
      <c r="K47" s="5">
        <v>48139.969999999987</v>
      </c>
      <c r="L47" s="5">
        <v>49602.229999999981</v>
      </c>
      <c r="M47" s="5">
        <v>49298.58</v>
      </c>
      <c r="N47" s="5">
        <f>AVERAGE(B47:M47)</f>
        <v>47799.074166666651</v>
      </c>
    </row>
    <row r="48" spans="1:14">
      <c r="A48" s="5" t="s">
        <v>1268</v>
      </c>
      <c r="B48" s="5">
        <v>46494.04</v>
      </c>
      <c r="C48" s="5">
        <v>46728.18</v>
      </c>
      <c r="D48" s="5">
        <v>46861.549999999996</v>
      </c>
      <c r="E48" s="5">
        <v>47010.919999999991</v>
      </c>
      <c r="F48" s="5">
        <v>46935.729999999996</v>
      </c>
      <c r="G48" s="5">
        <v>46874.39</v>
      </c>
      <c r="H48" s="5">
        <v>46892.56</v>
      </c>
      <c r="I48" s="5">
        <v>47475.219999999994</v>
      </c>
      <c r="J48" s="5">
        <v>47204.29</v>
      </c>
      <c r="K48" s="5">
        <v>47431.049999999996</v>
      </c>
      <c r="L48" s="5">
        <v>47569.539999999994</v>
      </c>
      <c r="M48" s="5">
        <v>47396.56</v>
      </c>
      <c r="N48" s="5">
        <f>AVERAGE(B48:M48)</f>
        <v>47072.835833333324</v>
      </c>
    </row>
    <row r="49" spans="1:14">
      <c r="A49" s="5" t="s">
        <v>1269</v>
      </c>
      <c r="B49" s="5">
        <v>47618.239999999998</v>
      </c>
      <c r="C49" s="5">
        <v>47618.239999999998</v>
      </c>
      <c r="D49" s="5">
        <v>47499.28</v>
      </c>
      <c r="E49" s="5">
        <v>47450.89</v>
      </c>
      <c r="F49" s="5">
        <v>46287.12</v>
      </c>
      <c r="G49" s="5">
        <v>46386.45</v>
      </c>
      <c r="H49" s="5">
        <v>46475.53</v>
      </c>
      <c r="I49" s="5">
        <v>47985.17</v>
      </c>
      <c r="J49" s="5">
        <v>47882.64</v>
      </c>
      <c r="K49" s="5">
        <v>47895.24</v>
      </c>
      <c r="L49" s="5">
        <v>48904.03</v>
      </c>
      <c r="M49" s="248">
        <v>49659.95</v>
      </c>
      <c r="N49" s="5">
        <f>AVERAGE(B49:M49)</f>
        <v>47638.564999999995</v>
      </c>
    </row>
    <row r="51" spans="1:14">
      <c r="A51" s="712" t="s">
        <v>1227</v>
      </c>
      <c r="B51" s="712"/>
      <c r="C51" s="712"/>
      <c r="D51" s="712"/>
      <c r="E51" s="712"/>
    </row>
    <row r="52" spans="1:14">
      <c r="A52" s="5"/>
      <c r="B52" s="5">
        <v>2017</v>
      </c>
      <c r="C52" s="5">
        <v>2016</v>
      </c>
      <c r="D52" s="5">
        <v>2015</v>
      </c>
      <c r="E52" s="5"/>
      <c r="G52" s="5">
        <v>2017</v>
      </c>
      <c r="H52" s="5">
        <v>2016</v>
      </c>
      <c r="I52" s="5">
        <v>2015</v>
      </c>
    </row>
    <row r="53" spans="1:14">
      <c r="A53" s="5" t="s">
        <v>1155</v>
      </c>
      <c r="B53" s="5">
        <f>N49</f>
        <v>47638.564999999995</v>
      </c>
      <c r="C53" s="5">
        <f>N48</f>
        <v>47072.835833333324</v>
      </c>
      <c r="D53" s="5">
        <f>N47</f>
        <v>47799.074166666651</v>
      </c>
      <c r="E53" s="5"/>
      <c r="G53" s="5">
        <f>H58/B53/365</f>
        <v>11.767130209368519</v>
      </c>
      <c r="H53" s="5">
        <f>G58/C53/365</f>
        <v>11.07506517840025</v>
      </c>
      <c r="I53" s="262">
        <f>F58/D53/365</f>
        <v>10.316200749992703</v>
      </c>
    </row>
    <row r="54" spans="1:14">
      <c r="A54" s="5" t="s">
        <v>1156</v>
      </c>
      <c r="B54" s="5">
        <f>基础资料!H28</f>
        <v>50293.760000000002</v>
      </c>
      <c r="C54" s="5">
        <f>B54</f>
        <v>50293.760000000002</v>
      </c>
      <c r="D54" s="5">
        <f>C54</f>
        <v>50293.760000000002</v>
      </c>
      <c r="E54" s="5"/>
      <c r="G54" s="6">
        <f>(G53-H53)/H53</f>
        <v>6.2488574091465104E-2</v>
      </c>
      <c r="H54" s="6">
        <f>(H53-I53)/I53</f>
        <v>7.3560455714094503E-2</v>
      </c>
      <c r="I54" s="5"/>
      <c r="J54" s="252">
        <f>AVERAGE(G54:H54)</f>
        <v>6.8024514902779804E-2</v>
      </c>
    </row>
    <row r="55" spans="1:14">
      <c r="A55" s="5" t="s">
        <v>1157</v>
      </c>
      <c r="B55" s="6">
        <f>ROUND(B53/B54,3)</f>
        <v>0.94699999999999995</v>
      </c>
      <c r="C55" s="6">
        <f>ROUND(C53/C54,3)</f>
        <v>0.93600000000000005</v>
      </c>
      <c r="D55" s="6">
        <f>ROUND(D53/D54,3)</f>
        <v>0.95</v>
      </c>
      <c r="E55" s="6">
        <f>ROUND(AVERAGE(B55:D55),3)</f>
        <v>0.94399999999999995</v>
      </c>
    </row>
    <row r="56" spans="1:14">
      <c r="F56" s="709" t="s">
        <v>1280</v>
      </c>
      <c r="G56" s="709"/>
      <c r="H56" s="709"/>
    </row>
    <row r="57" spans="1:14">
      <c r="F57" s="5">
        <v>2015</v>
      </c>
      <c r="G57" s="5">
        <v>2016</v>
      </c>
      <c r="H57" s="5">
        <v>2017</v>
      </c>
    </row>
    <row r="58" spans="1:14">
      <c r="A58" s="5"/>
      <c r="F58" s="5">
        <v>179983268.34</v>
      </c>
      <c r="G58" s="5">
        <v>190287174.62</v>
      </c>
      <c r="H58" s="5">
        <v>204607757.03</v>
      </c>
    </row>
    <row r="59" spans="1:14">
      <c r="E59" s="6"/>
    </row>
  </sheetData>
  <mergeCells count="11">
    <mergeCell ref="F56:H56"/>
    <mergeCell ref="F32:I32"/>
    <mergeCell ref="A45:N45"/>
    <mergeCell ref="K1:K2"/>
    <mergeCell ref="L1:L2"/>
    <mergeCell ref="A51:E51"/>
    <mergeCell ref="A32:D32"/>
    <mergeCell ref="A1:A2"/>
    <mergeCell ref="B1:D1"/>
    <mergeCell ref="E1:G1"/>
    <mergeCell ref="H1:J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J25"/>
  <sheetViews>
    <sheetView workbookViewId="0">
      <selection activeCell="E29" sqref="E29"/>
    </sheetView>
  </sheetViews>
  <sheetFormatPr defaultRowHeight="14.25"/>
  <cols>
    <col min="4" max="4" width="12" customWidth="1"/>
    <col min="6" max="6" width="18.625" customWidth="1"/>
    <col min="7" max="7" width="32" customWidth="1"/>
    <col min="8" max="9" width="31.125" customWidth="1"/>
    <col min="10" max="10" width="22.75" customWidth="1"/>
  </cols>
  <sheetData>
    <row r="6" spans="4:10">
      <c r="F6" t="s">
        <v>1283</v>
      </c>
      <c r="G6" t="s">
        <v>1284</v>
      </c>
      <c r="H6" t="s">
        <v>1175</v>
      </c>
      <c r="I6" t="s">
        <v>1287</v>
      </c>
      <c r="J6" t="s">
        <v>1291</v>
      </c>
    </row>
    <row r="7" spans="4:10">
      <c r="F7" t="s">
        <v>1282</v>
      </c>
      <c r="G7" t="s">
        <v>1285</v>
      </c>
      <c r="H7" t="s">
        <v>1286</v>
      </c>
      <c r="I7" t="s">
        <v>1292</v>
      </c>
      <c r="J7" t="s">
        <v>1293</v>
      </c>
    </row>
    <row r="8" spans="4:10">
      <c r="G8" t="s">
        <v>1288</v>
      </c>
      <c r="H8" t="s">
        <v>1289</v>
      </c>
      <c r="I8" t="s">
        <v>1290</v>
      </c>
      <c r="J8" t="s">
        <v>1290</v>
      </c>
    </row>
    <row r="13" spans="4:10">
      <c r="D13" s="495" t="s">
        <v>1410</v>
      </c>
      <c r="E13" s="495" t="s">
        <v>1411</v>
      </c>
    </row>
    <row r="14" spans="4:10">
      <c r="D14" s="496">
        <v>42736</v>
      </c>
      <c r="E14" s="495">
        <v>4</v>
      </c>
    </row>
    <row r="15" spans="4:10">
      <c r="D15" s="496">
        <v>42767</v>
      </c>
      <c r="E15" s="495">
        <v>4.4000000000000004</v>
      </c>
    </row>
    <row r="16" spans="4:10">
      <c r="D16" s="496">
        <v>42795</v>
      </c>
      <c r="E16" s="495">
        <v>3.9</v>
      </c>
    </row>
    <row r="17" spans="4:5">
      <c r="D17" s="496">
        <v>42826</v>
      </c>
      <c r="E17" s="495">
        <v>4</v>
      </c>
    </row>
    <row r="18" spans="4:5">
      <c r="D18" s="496">
        <v>42856</v>
      </c>
      <c r="E18" s="495">
        <v>4.0999999999999996</v>
      </c>
    </row>
    <row r="19" spans="4:5">
      <c r="D19" s="496">
        <v>42887</v>
      </c>
      <c r="E19" s="495">
        <v>3.8</v>
      </c>
    </row>
    <row r="20" spans="4:5">
      <c r="D20" s="496">
        <v>42917</v>
      </c>
      <c r="E20" s="495">
        <v>3.2</v>
      </c>
    </row>
    <row r="21" spans="4:5">
      <c r="D21" s="496">
        <v>42948</v>
      </c>
      <c r="E21" s="495">
        <v>3.2</v>
      </c>
    </row>
    <row r="22" spans="4:5">
      <c r="D22" s="496">
        <v>42979</v>
      </c>
      <c r="E22" s="495">
        <v>3.2</v>
      </c>
    </row>
    <row r="23" spans="4:5">
      <c r="D23" s="496">
        <v>43009</v>
      </c>
      <c r="E23" s="495">
        <v>3.2</v>
      </c>
    </row>
    <row r="24" spans="4:5">
      <c r="D24" s="496">
        <v>43040</v>
      </c>
      <c r="E24" s="495">
        <v>4.0999999999999996</v>
      </c>
    </row>
    <row r="25" spans="4:5">
      <c r="D25" s="496">
        <v>43070</v>
      </c>
      <c r="E25" s="495">
        <v>4.4000000000000004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总表</vt:lpstr>
      <vt:lpstr>仓储现金流</vt:lpstr>
      <vt:lpstr>地下车库现金流</vt:lpstr>
      <vt:lpstr>地下商业现金流</vt:lpstr>
      <vt:lpstr>地上商业现金流</vt:lpstr>
      <vt:lpstr>取值表</vt:lpstr>
      <vt:lpstr>基础资料</vt:lpstr>
      <vt:lpstr>前3年整理</vt:lpstr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sony</cp:lastModifiedBy>
  <dcterms:created xsi:type="dcterms:W3CDTF">2018-01-23T07:56:45Z</dcterms:created>
  <dcterms:modified xsi:type="dcterms:W3CDTF">2018-02-11T02:19:28Z</dcterms:modified>
</cp:coreProperties>
</file>