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
    </mc:Choice>
  </mc:AlternateContent>
  <bookViews>
    <workbookView xWindow="480" yWindow="210" windowWidth="12120" windowHeight="7620" tabRatio="875" firstSheet="12"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土地案例" sheetId="70" r:id="rId30"/>
    <sheet name="不动产收益法-车库" sheetId="69" r:id="rId31"/>
    <sheet name="不动产收益法-商业" sheetId="68" r:id="rId32"/>
    <sheet name="不动产收益法-仓储"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L8" i="1" l="1"/>
  <c r="L14" i="1"/>
  <c r="I40" i="39"/>
  <c r="G40" i="39"/>
  <c r="E40" i="39"/>
  <c r="C40" i="39"/>
  <c r="I13" i="39"/>
  <c r="G13" i="39"/>
  <c r="I7" i="39"/>
  <c r="G7" i="39"/>
  <c r="I48" i="39"/>
  <c r="G48" i="39"/>
  <c r="E48" i="39"/>
  <c r="E13" i="39"/>
  <c r="B3" i="3"/>
  <c r="AY6" i="3"/>
  <c r="D3" i="6"/>
  <c r="D19" i="6"/>
  <c r="D20" i="6"/>
  <c r="D21" i="6"/>
  <c r="D22" i="6"/>
  <c r="D23" i="6"/>
  <c r="D24" i="6"/>
  <c r="D25" i="6"/>
  <c r="D26" i="6"/>
  <c r="D27" i="6"/>
  <c r="D28" i="6"/>
  <c r="D29" i="6"/>
  <c r="D30" i="6"/>
  <c r="D31" i="6"/>
  <c r="I6" i="6"/>
  <c r="C13" i="39"/>
  <c r="E9" i="6"/>
  <c r="I9" i="39"/>
  <c r="G9" i="39"/>
  <c r="E9" i="39"/>
  <c r="I8" i="39"/>
  <c r="G8" i="39"/>
  <c r="E7" i="39"/>
  <c r="E8" i="39"/>
  <c r="F6" i="68"/>
  <c r="F8" i="68"/>
  <c r="F7" i="68"/>
  <c r="F9" i="68"/>
  <c r="C6" i="68"/>
  <c r="N4" i="65"/>
  <c r="C4" i="65"/>
  <c r="B39" i="1"/>
  <c r="F11" i="68"/>
  <c r="C10" i="68"/>
  <c r="C5" i="68"/>
  <c r="C32" i="68"/>
  <c r="M14" i="1"/>
  <c r="T9" i="1"/>
  <c r="M9" i="1"/>
  <c r="C14" i="68"/>
  <c r="C15" i="68"/>
  <c r="F16" i="68"/>
  <c r="C16" i="68"/>
  <c r="F43" i="68"/>
  <c r="C17" i="68"/>
  <c r="C18" i="68"/>
  <c r="C19" i="68"/>
  <c r="C20" i="68"/>
  <c r="I6" i="65"/>
  <c r="I1" i="65"/>
  <c r="I5" i="65"/>
  <c r="E2" i="65"/>
  <c r="B40" i="1"/>
  <c r="F24" i="68"/>
  <c r="C23" i="68"/>
  <c r="F26" i="68"/>
  <c r="C26" i="68"/>
  <c r="C24" i="68"/>
  <c r="C27" i="68"/>
  <c r="C29" i="68"/>
  <c r="C33" i="68"/>
  <c r="H22" i="6"/>
  <c r="R22" i="6"/>
  <c r="R9" i="1"/>
  <c r="F35" i="68"/>
  <c r="C34" i="68"/>
  <c r="C31" i="68"/>
  <c r="AK9" i="1"/>
  <c r="F36" i="68"/>
  <c r="C36" i="68"/>
  <c r="F13" i="68"/>
  <c r="C13" i="68"/>
  <c r="AL9" i="1"/>
  <c r="F37" i="68"/>
  <c r="C37" i="68"/>
  <c r="AM9" i="1"/>
  <c r="F38" i="68"/>
  <c r="C38" i="68"/>
  <c r="C30" i="68"/>
  <c r="C39" i="68"/>
  <c r="F42" i="68"/>
  <c r="F40" i="68"/>
  <c r="L48" i="68"/>
  <c r="J53" i="68"/>
  <c r="F1" i="68"/>
  <c r="AE9" i="1"/>
  <c r="F41" i="68"/>
  <c r="C40" i="68"/>
  <c r="M6" i="68"/>
  <c r="M8" i="68"/>
  <c r="M7" i="68"/>
  <c r="M9" i="68"/>
  <c r="J6" i="68"/>
  <c r="M11" i="68"/>
  <c r="J10" i="68"/>
  <c r="J5" i="68"/>
  <c r="J26" i="68"/>
  <c r="J29" i="68"/>
  <c r="B2" i="68"/>
  <c r="B3" i="68"/>
  <c r="F8" i="12"/>
  <c r="F10" i="12"/>
  <c r="F6" i="69"/>
  <c r="F8" i="69"/>
  <c r="F7" i="69"/>
  <c r="F9" i="69"/>
  <c r="C6" i="69"/>
  <c r="F11" i="69"/>
  <c r="C10" i="69"/>
  <c r="C5" i="69"/>
  <c r="C32" i="69"/>
  <c r="T8" i="1"/>
  <c r="M8" i="1"/>
  <c r="C14" i="69"/>
  <c r="C15" i="69"/>
  <c r="F16" i="69"/>
  <c r="C16" i="69"/>
  <c r="F43" i="69"/>
  <c r="C17" i="69"/>
  <c r="C18" i="69"/>
  <c r="C19" i="69"/>
  <c r="C20" i="69"/>
  <c r="F24" i="69"/>
  <c r="C23" i="69"/>
  <c r="F26" i="69"/>
  <c r="C26" i="69"/>
  <c r="C24" i="69"/>
  <c r="C27" i="69"/>
  <c r="C29" i="69"/>
  <c r="C33" i="69"/>
  <c r="H21" i="6"/>
  <c r="R21" i="6"/>
  <c r="R8" i="1"/>
  <c r="F35" i="69"/>
  <c r="C34" i="69"/>
  <c r="C31" i="69"/>
  <c r="AK8" i="1"/>
  <c r="F36" i="69"/>
  <c r="C36" i="69"/>
  <c r="F13" i="69"/>
  <c r="C13" i="69"/>
  <c r="AL8" i="1"/>
  <c r="F37" i="69"/>
  <c r="C37" i="69"/>
  <c r="AM8" i="1"/>
  <c r="F38" i="69"/>
  <c r="C38" i="69"/>
  <c r="C30" i="69"/>
  <c r="C39" i="69"/>
  <c r="F42" i="69"/>
  <c r="F40" i="69"/>
  <c r="L48" i="69"/>
  <c r="J53" i="69"/>
  <c r="F1" i="69"/>
  <c r="AE8" i="1"/>
  <c r="F41" i="69"/>
  <c r="C40" i="69"/>
  <c r="M6" i="69"/>
  <c r="M8" i="69"/>
  <c r="M7" i="69"/>
  <c r="M9" i="69"/>
  <c r="J6" i="69"/>
  <c r="M11" i="69"/>
  <c r="J10" i="69"/>
  <c r="J5" i="69"/>
  <c r="J26" i="69"/>
  <c r="J29" i="69"/>
  <c r="B2" i="69"/>
  <c r="B3" i="69"/>
  <c r="E8" i="12"/>
  <c r="E10" i="12"/>
  <c r="F6" i="15"/>
  <c r="F8" i="15"/>
  <c r="F7" i="15"/>
  <c r="F9" i="15"/>
  <c r="C6" i="15"/>
  <c r="F11" i="15"/>
  <c r="C10" i="15"/>
  <c r="C5" i="15"/>
  <c r="C32" i="15"/>
  <c r="T7" i="1"/>
  <c r="M7" i="1"/>
  <c r="C14" i="15"/>
  <c r="C15" i="15"/>
  <c r="F16" i="15"/>
  <c r="C16" i="15"/>
  <c r="F43" i="15"/>
  <c r="C17" i="15"/>
  <c r="C18" i="15"/>
  <c r="C19" i="15"/>
  <c r="C20" i="15"/>
  <c r="F24" i="15"/>
  <c r="C23" i="15"/>
  <c r="F26" i="15"/>
  <c r="C26" i="15"/>
  <c r="C24" i="15"/>
  <c r="C27" i="15"/>
  <c r="C29" i="15"/>
  <c r="C33" i="15"/>
  <c r="H20" i="6"/>
  <c r="R20" i="6"/>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8" i="12"/>
  <c r="D10" i="12"/>
  <c r="W9" i="1"/>
  <c r="W8" i="1"/>
  <c r="Y9" i="1"/>
  <c r="Y8" i="1"/>
  <c r="AO8" i="1"/>
  <c r="G1" i="69"/>
  <c r="F32" i="69"/>
  <c r="F15" i="69"/>
  <c r="F17" i="69"/>
  <c r="F18" i="69"/>
  <c r="F20" i="69"/>
  <c r="F23" i="69"/>
  <c r="F21" i="69"/>
  <c r="F28" i="69"/>
  <c r="C28" i="69"/>
  <c r="F33" i="69"/>
  <c r="B52" i="1"/>
  <c r="F34" i="69"/>
  <c r="AE10" i="1"/>
  <c r="M47" i="69"/>
  <c r="J50" i="69"/>
  <c r="J51" i="69"/>
  <c r="Q66" i="69"/>
  <c r="J36" i="69"/>
  <c r="L51" i="69"/>
  <c r="L57" i="69"/>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60" i="69"/>
  <c r="Q59" i="69"/>
  <c r="J59" i="69"/>
  <c r="J57" i="69"/>
  <c r="J55" i="69"/>
  <c r="J58"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G1" i="68"/>
  <c r="F32" i="68"/>
  <c r="F15" i="68"/>
  <c r="F17" i="68"/>
  <c r="F18" i="68"/>
  <c r="F20" i="68"/>
  <c r="F23" i="68"/>
  <c r="F21" i="68"/>
  <c r="F28" i="68"/>
  <c r="C28" i="68"/>
  <c r="F33" i="68"/>
  <c r="F34" i="68"/>
  <c r="M47" i="68"/>
  <c r="J50" i="68"/>
  <c r="J51"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60" i="68"/>
  <c r="Q59" i="68"/>
  <c r="J59" i="68"/>
  <c r="J57" i="68"/>
  <c r="J55" i="68"/>
  <c r="J58"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G35" i="9"/>
  <c r="E38" i="9"/>
  <c r="E37" i="9"/>
  <c r="C38" i="9"/>
  <c r="C37" i="9"/>
  <c r="B38" i="9"/>
  <c r="B37" i="9"/>
  <c r="H20" i="12"/>
  <c r="C10" i="12"/>
  <c r="N14" i="1"/>
  <c r="N9" i="1"/>
  <c r="N8" i="1"/>
  <c r="N7" i="1"/>
  <c r="F22" i="6"/>
  <c r="G21" i="6"/>
  <c r="G20" i="6"/>
  <c r="F19" i="6"/>
  <c r="M41" i="3"/>
  <c r="AN41" i="3"/>
  <c r="AT41" i="3"/>
  <c r="M40" i="3"/>
  <c r="AN40" i="3"/>
  <c r="AH35" i="3"/>
  <c r="AF35" i="3"/>
  <c r="AD35" i="3"/>
  <c r="I20" i="3"/>
  <c r="K25" i="3"/>
  <c r="I25" i="3"/>
  <c r="C11" i="4"/>
  <c r="B7" i="4"/>
  <c r="D3" i="4"/>
  <c r="D7" i="59"/>
  <c r="AH5" i="59"/>
  <c r="AG5" i="59"/>
  <c r="AE5" i="59"/>
  <c r="AF5" i="59"/>
  <c r="AD5" i="59"/>
  <c r="Q5" i="59"/>
  <c r="P5" i="59"/>
  <c r="O5" i="59"/>
  <c r="N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K38" i="9"/>
  <c r="C14" i="66"/>
  <c r="E3" i="6"/>
  <c r="L38" i="9"/>
  <c r="B14" i="66"/>
  <c r="AE6" i="59"/>
  <c r="AF6" i="59"/>
  <c r="AG6" i="59"/>
  <c r="AH6" i="59"/>
  <c r="AD6"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C43" i="9"/>
  <c r="K47" i="9"/>
  <c r="A14" i="55"/>
  <c r="L26" i="4"/>
  <c r="A11" i="55"/>
  <c r="A10" i="55"/>
  <c r="A9" i="55"/>
  <c r="A8" i="55"/>
  <c r="A6" i="54"/>
  <c r="A8" i="54"/>
  <c r="A7" i="54"/>
  <c r="C57" i="10"/>
  <c r="A28" i="51"/>
  <c r="A27" i="51"/>
  <c r="D5" i="46"/>
  <c r="AB6" i="59"/>
  <c r="Y6" i="59"/>
  <c r="Z6" i="59"/>
  <c r="X6" i="59"/>
  <c r="AA6" i="59"/>
  <c r="B10" i="59"/>
  <c r="C10" i="59"/>
  <c r="D10" i="59"/>
  <c r="E10" i="59"/>
  <c r="F10" i="59"/>
  <c r="E8" i="67"/>
  <c r="B14" i="67"/>
  <c r="E11" i="67"/>
  <c r="F11" i="67"/>
  <c r="F14" i="67"/>
  <c r="B9" i="67"/>
  <c r="E9" i="67"/>
  <c r="B8" i="67"/>
  <c r="B13" i="67"/>
  <c r="E12" i="67"/>
  <c r="B12" i="67"/>
  <c r="E10" i="67"/>
  <c r="F13" i="67"/>
  <c r="F12" i="67"/>
  <c r="F9" i="67"/>
  <c r="F8" i="67"/>
  <c r="F10" i="67"/>
  <c r="B11" i="67"/>
  <c r="E14" i="67"/>
  <c r="E13"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N7" i="65"/>
  <c r="C5" i="59"/>
  <c r="D5" i="59"/>
  <c r="T6" i="59"/>
  <c r="B2" i="1"/>
  <c r="G19" i="46"/>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H1" i="65"/>
  <c r="B76" i="63"/>
  <c r="I4" i="65"/>
  <c r="I3" i="65"/>
  <c r="J7" i="65"/>
  <c r="I7" i="65"/>
  <c r="N5" i="65"/>
  <c r="J6" i="65"/>
  <c r="N3" i="65"/>
  <c r="J5" i="65"/>
  <c r="N6" i="65"/>
  <c r="J4" i="65"/>
  <c r="J3"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B7" i="1"/>
  <c r="E7" i="1"/>
  <c r="K7" i="1"/>
  <c r="O7" i="1"/>
  <c r="P7" i="1"/>
  <c r="C20" i="43"/>
  <c r="C52" i="15"/>
  <c r="F6" i="1"/>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19" i="46"/>
  <c r="C24" i="12"/>
  <c r="F3" i="35"/>
  <c r="K1" i="43"/>
  <c r="K1" i="12"/>
  <c r="G1" i="44"/>
  <c r="I4" i="6"/>
  <c r="G3" i="46"/>
  <c r="H22" i="46"/>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9" i="6"/>
  <c r="F28" i="6"/>
  <c r="Q73"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6" i="44"/>
  <c r="C26" i="44"/>
  <c r="F26" i="12"/>
  <c r="F21" i="43"/>
  <c r="C23" i="43"/>
  <c r="D21" i="43"/>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61" i="15"/>
  <c r="Q62" i="15"/>
  <c r="Q53" i="15"/>
  <c r="C48" i="15"/>
  <c r="AB12" i="39"/>
  <c r="C20" i="11"/>
  <c r="C21" i="11"/>
  <c r="C22" i="11"/>
  <c r="C23" i="11"/>
  <c r="B2" i="11"/>
  <c r="AC12" i="40"/>
  <c r="W12" i="40"/>
  <c r="E46" i="37"/>
  <c r="F46" i="37"/>
  <c r="C48" i="33"/>
  <c r="C49" i="33"/>
  <c r="B3" i="33"/>
  <c r="B2" i="33"/>
  <c r="F7" i="67"/>
  <c r="L52" i="44"/>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D33" i="12"/>
  <c r="K16" i="1"/>
  <c r="M20" i="6"/>
  <c r="I20" i="6"/>
  <c r="S20" i="6"/>
  <c r="S7" i="1"/>
  <c r="K27" i="6"/>
  <c r="M19" i="6"/>
  <c r="S6" i="1"/>
  <c r="M21" i="6"/>
  <c r="I21" i="6"/>
  <c r="S21" i="6"/>
  <c r="S8" i="1"/>
  <c r="M22" i="6"/>
  <c r="I22" i="6"/>
  <c r="S22" i="6"/>
  <c r="S9" i="1"/>
  <c r="B1" i="66"/>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E7" i="67"/>
  <c r="C19" i="44"/>
  <c r="G46" i="37"/>
  <c r="H46" i="37"/>
  <c r="E47" i="37"/>
  <c r="F47" i="37"/>
  <c r="L47" i="44"/>
  <c r="Q59" i="44"/>
  <c r="Q68" i="44"/>
  <c r="E3" i="67"/>
  <c r="B2" i="46"/>
  <c r="D4" i="46"/>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C43" i="37"/>
  <c r="B3" i="37"/>
  <c r="B2" i="37"/>
  <c r="C42" i="37"/>
  <c r="C49" i="34"/>
  <c r="E54" i="34"/>
  <c r="F54" i="34"/>
  <c r="I54" i="34"/>
  <c r="J54" i="34"/>
  <c r="E53" i="34"/>
  <c r="F53" i="34"/>
  <c r="I52" i="21"/>
  <c r="J52" i="21"/>
  <c r="E48" i="21"/>
  <c r="R49" i="21"/>
  <c r="G52" i="21"/>
  <c r="H52" i="21"/>
  <c r="G53" i="21"/>
  <c r="H53" i="21"/>
  <c r="G67" i="40"/>
  <c r="H65" i="40"/>
  <c r="G72" i="39"/>
  <c r="H70" i="39"/>
  <c r="B7" i="67"/>
  <c r="B2" i="66"/>
  <c r="E68" i="39"/>
  <c r="E63" i="40"/>
  <c r="B2" i="67"/>
  <c r="B4" i="46"/>
  <c r="B3" i="46"/>
  <c r="T10" i="1"/>
  <c r="T6" i="1"/>
  <c r="T11" i="1"/>
  <c r="T12" i="1"/>
  <c r="O16" i="1"/>
  <c r="P14" i="1"/>
  <c r="P16" i="1"/>
  <c r="C13" i="12"/>
  <c r="C13" i="43"/>
  <c r="L16" i="1"/>
  <c r="N16" i="1"/>
  <c r="C29" i="43"/>
  <c r="D22" i="12"/>
  <c r="C22" i="12"/>
  <c r="C20" i="12"/>
  <c r="D13" i="11"/>
  <c r="C13" i="11"/>
  <c r="D19" i="12"/>
  <c r="C19" i="12"/>
  <c r="C16" i="12"/>
  <c r="I27" i="6"/>
  <c r="S19" i="6"/>
  <c r="S27" i="6"/>
  <c r="H19" i="6"/>
  <c r="C22" i="4"/>
  <c r="D10" i="6"/>
  <c r="D11" i="6"/>
  <c r="D13" i="6"/>
  <c r="D12" i="6"/>
  <c r="H24" i="6"/>
  <c r="H25" i="6"/>
  <c r="D6" i="6"/>
  <c r="D9" i="6"/>
  <c r="D5" i="6"/>
  <c r="D14"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C17" i="12"/>
  <c r="C14" i="12"/>
  <c r="H27" i="6"/>
  <c r="R24" i="6"/>
  <c r="D16" i="6"/>
  <c r="R23"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C23" i="12"/>
  <c r="C35" i="12"/>
  <c r="C33" i="12"/>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S5" i="46"/>
  <c r="T5" i="46"/>
  <c r="V5" i="46"/>
  <c r="S6" i="46"/>
  <c r="T6" i="46"/>
  <c r="V6" i="46"/>
  <c r="S4" i="46"/>
  <c r="T4" i="46"/>
  <c r="V4" i="46"/>
  <c r="S7" i="46"/>
  <c r="T7" i="46"/>
  <c r="V7" i="46"/>
  <c r="S3" i="46"/>
  <c r="T3" i="46"/>
  <c r="V3" i="46"/>
  <c r="S2" i="46"/>
  <c r="T2" i="46"/>
  <c r="V2" i="4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<sst xmlns="http://schemas.openxmlformats.org/spreadsheetml/2006/main" count="8699" uniqueCount="3368">
  <si>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</si>
  <si>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</si>
  <si>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</si>
  <si>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</si>
  <si>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</si>
  <si>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</si>
  <si>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</si>
  <si>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</si>
  <si>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</si>
  <si>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</si>
  <si>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</si>
  <si>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</si>
  <si>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</si>
  <si>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</si>
  <si>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</si>
  <si>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</si>
  <si>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</si>
  <si>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</si>
  <si>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</si>
  <si>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</si>
  <si>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</si>
  <si>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</si>
  <si>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</si>
  <si>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</si>
  <si>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</si>
  <si>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</si>
  <si>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</si>
  <si>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</si>
  <si>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</si>
  <si>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</si>
  <si>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</si>
  <si>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</si>
  <si>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</si>
  <si>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</si>
  <si>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</si>
  <si>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</si>
  <si>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</si>
  <si>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</si>
  <si>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</si>
  <si>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</si>
  <si>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</si>
  <si>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</si>
  <si>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</si>
  <si>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</si>
  <si>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</si>
  <si>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</si>
  <si>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</si>
  <si>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</si>
  <si>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</si>
  <si>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</si>
  <si>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</si>
  <si>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</si>
  <si>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</si>
  <si>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</si>
  <si>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</si>
  <si>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</si>
  <si>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</si>
  <si>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</si>
  <si>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</si>
  <si>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</si>
  <si>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</si>
  <si>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</si>
  <si>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</si>
  <si>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</si>
  <si>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</si>
  <si>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</si>
  <si>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</si>
  <si>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</si>
  <si>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</si>
  <si>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</si>
  <si>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</si>
  <si>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</si>
  <si>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</si>
  <si>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</si>
  <si>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</si>
  <si>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</si>
  <si>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</si>
  <si>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</si>
  <si>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</si>
  <si>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</si>
  <si>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</si>
  <si>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</si>
  <si>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</si>
  <si>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</si>
  <si>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</si>
  <si>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</si>
  <si>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</si>
  <si>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</si>
  <si>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</si>
  <si>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</si>
  <si>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</si>
  <si>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</si>
  <si>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</si>
  <si>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</si>
  <si>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</si>
  <si>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</si>
  <si>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</si>
  <si>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</si>
  <si>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</si>
  <si>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</si>
  <si>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</si>
  <si>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</si>
  <si>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</si>
  <si>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</si>
  <si>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</si>
  <si>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</si>
  <si>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</si>
  <si>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</si>
  <si>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</si>
  <si>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</si>
  <si>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</si>
  <si>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</si>
  <si>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</si>
  <si>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</si>
  <si>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</si>
  <si>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</si>
  <si>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</si>
  <si>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</si>
  <si>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</si>
  <si>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</si>
  <si>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</si>
  <si>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</si>
  <si>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</si>
  <si>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</si>
  <si>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</si>
  <si>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</si>
  <si>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</si>
  <si>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</si>
  <si>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</si>
  <si>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</si>
  <si>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</si>
  <si>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</si>
  <si>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</si>
  <si>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</si>
  <si>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</si>
  <si>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</si>
  <si>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</si>
  <si>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</si>
  <si>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</si>
  <si>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</si>
  <si>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</si>
  <si>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</si>
  <si>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</si>
  <si>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</si>
  <si>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</si>
  <si>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</si>
  <si>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</si>
  <si>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</si>
  <si>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</si>
  <si>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</si>
  <si>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</si>
  <si>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</si>
  <si>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</si>
  <si>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</si>
  <si>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</si>
  <si>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</si>
  <si>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</si>
  <si>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</si>
  <si>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</si>
  <si>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</si>
  <si>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</si>
  <si>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</si>
  <si>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</si>
  <si>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</si>
  <si>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</si>
  <si>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</si>
  <si>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</si>
  <si>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</si>
  <si>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</si>
  <si>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</si>
  <si>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</si>
  <si>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</si>
  <si>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</si>
  <si>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</si>
  <si>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</si>
  <si>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</si>
  <si>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</si>
  <si>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</si>
  <si>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</si>
  <si>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</si>
  <si>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</si>
  <si>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</si>
  <si>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</si>
  <si>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</si>
  <si>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</si>
  <si>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</si>
  <si>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</si>
  <si>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</si>
  <si>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</si>
  <si>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</si>
  <si>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</si>
  <si>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</si>
  <si>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</si>
  <si>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</si>
  <si>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</si>
  <si>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</si>
  <si>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</si>
  <si>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</si>
  <si>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</si>
  <si>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</si>
  <si>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</si>
  <si>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</si>
  <si>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</si>
  <si>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</si>
  <si>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</si>
  <si>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</si>
  <si>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</si>
  <si>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</si>
  <si>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</si>
  <si>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</si>
  <si>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</si>
  <si>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</si>
  <si>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</si>
  <si>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</si>
  <si>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</si>
  <si>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</si>
  <si>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</si>
  <si>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</si>
  <si>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</si>
  <si>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</si>
  <si>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</si>
  <si>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</si>
  <si>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</si>
  <si>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</si>
  <si>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</si>
  <si>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</si>
  <si>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</si>
  <si>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</si>
  <si>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</si>
  <si>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</si>
  <si>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</si>
  <si>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</si>
  <si>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</si>
  <si>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</si>
  <si>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</si>
  <si>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</si>
  <si>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</si>
  <si>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</si>
  <si>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</si>
  <si>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</si>
  <si>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</si>
  <si>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</si>
  <si>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</si>
  <si>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</si>
  <si>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</si>
  <si>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</si>
  <si>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</si>
  <si>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</si>
  <si>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</si>
  <si>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</si>
  <si>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</si>
  <si>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</si>
  <si>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</si>
  <si>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</si>
  <si>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</si>
  <si>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</si>
  <si>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</si>
  <si>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</si>
  <si>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</si>
  <si>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</si>
  <si>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</si>
  <si>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</si>
  <si>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</si>
  <si>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</si>
  <si>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</si>
  <si>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</si>
  <si>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</si>
  <si>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</si>
  <si>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</si>
  <si>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</si>
  <si>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</si>
  <si>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</si>
  <si>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</si>
  <si>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</si>
  <si>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</si>
  <si>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</si>
  <si>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</si>
  <si>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</si>
  <si>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</si>
  <si>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</si>
  <si>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</si>
  <si>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</si>
  <si>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</si>
  <si>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</si>
  <si>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</si>
  <si>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</si>
  <si>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</si>
  <si>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</si>
  <si>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</si>
  <si>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</si>
  <si>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</si>
  <si>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</si>
  <si>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</si>
  <si>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</si>
  <si>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</si>
  <si>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</si>
  <si>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</si>
  <si>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</si>
  <si>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</si>
  <si>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</si>
  <si>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</si>
  <si>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</si>
  <si>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</si>
  <si>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</si>
  <si>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</si>
  <si>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</si>
  <si>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</si>
  <si>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</si>
  <si>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</si>
  <si>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</si>
  <si>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</si>
  <si>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</si>
  <si>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</si>
  <si>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</si>
  <si>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</si>
  <si>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</si>
  <si>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</si>
  <si>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</si>
  <si>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</si>
  <si>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</si>
  <si>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</si>
  <si>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</si>
  <si>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</si>
  <si>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</si>
  <si>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</si>
  <si>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</si>
  <si>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</si>
  <si>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</si>
  <si>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</si>
  <si>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</si>
  <si>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</si>
  <si>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</si>
  <si>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</si>
  <si>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</si>
  <si>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</si>
  <si>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</si>
  <si>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</si>
  <si>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</si>
  <si>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</si>
  <si>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</si>
  <si>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</si>
  <si>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</si>
  <si>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</si>
  <si>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</si>
  <si>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</si>
  <si>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</si>
  <si>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</si>
  <si>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</si>
  <si>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</si>
  <si>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</si>
  <si>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</si>
  <si>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</si>
  <si>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</si>
  <si>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</si>
  <si>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</si>
  <si>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</si>
  <si>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</si>
  <si>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</si>
  <si>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</si>
  <si>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</si>
  <si>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</si>
  <si>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</si>
  <si>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</si>
  <si>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</si>
  <si>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</si>
  <si>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</si>
  <si>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</si>
  <si>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</si>
  <si>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</si>
  <si>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</si>
  <si>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</si>
  <si>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</si>
  <si>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</si>
  <si>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</si>
  <si>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</si>
  <si>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</si>
  <si>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</si>
  <si>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</si>
  <si>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</si>
  <si>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</si>
  <si>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</si>
  <si>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</si>
  <si>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</si>
  <si>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</si>
  <si>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</si>
  <si>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</si>
  <si>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</si>
  <si>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</si>
  <si>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</si>
  <si>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</si>
  <si>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</si>
  <si>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</si>
  <si>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</si>
  <si>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</si>
  <si>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</si>
  <si>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</si>
  <si>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</si>
  <si>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</si>
  <si>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</si>
  <si>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</si>
  <si>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</si>
  <si>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</si>
  <si>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</si>
  <si>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</si>
  <si>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</si>
  <si>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</si>
  <si>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</si>
  <si>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</si>
  <si>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</si>
  <si>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</si>
  <si>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</si>
  <si>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</si>
  <si>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</si>
  <si>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</si>
  <si>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</si>
  <si>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</si>
  <si>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</si>
  <si>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</si>
  <si>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</si>
  <si>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</si>
  <si>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</si>
  <si>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</si>
  <si>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</si>
  <si>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</si>
  <si>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</si>
  <si>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</si>
  <si>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</si>
  <si>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</si>
  <si>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</si>
  <si>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</si>
  <si>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</si>
  <si>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</si>
  <si>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</si>
  <si>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</si>
  <si>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</si>
  <si>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</si>
  <si>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</si>
  <si>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</si>
  <si>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</si>
  <si>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</si>
  <si>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</si>
  <si>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</si>
  <si>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</si>
  <si>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</si>
  <si>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</si>
  <si>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</si>
  <si>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</si>
  <si>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</si>
  <si>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</si>
  <si>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</si>
  <si>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</si>
  <si>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</si>
  <si>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</si>
  <si>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</si>
  <si>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</si>
  <si>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</si>
  <si>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</si>
  <si>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</si>
  <si>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</si>
  <si>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</si>
  <si>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</si>
  <si>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</si>
  <si>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</si>
  <si>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</si>
  <si>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</si>
  <si>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</si>
  <si>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</si>
  <si>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</si>
  <si>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</si>
  <si>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</si>
  <si>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</si>
  <si>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</si>
  <si>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</si>
  <si>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</si>
  <si>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</si>
  <si>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</si>
  <si>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</si>
  <si>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</si>
  <si>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</si>
  <si>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</si>
  <si>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</si>
  <si>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</si>
  <si>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</si>
  <si>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</si>
  <si>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</si>
  <si>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</si>
  <si>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</si>
  <si>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</si>
  <si>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</si>
  <si>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</si>
  <si>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</si>
  <si>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</si>
  <si>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</si>
  <si>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</si>
  <si>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</si>
  <si>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</si>
  <si>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</si>
  <si>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</si>
  <si>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</si>
  <si>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</si>
  <si>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</si>
  <si>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</si>
  <si>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</si>
  <si>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</si>
  <si>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</si>
  <si>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</si>
  <si>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</si>
  <si>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</si>
  <si>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</si>
  <si>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</si>
  <si>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</si>
  <si>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</si>
  <si>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</si>
  <si>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</si>
  <si>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</si>
  <si>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</si>
  <si>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</si>
  <si>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</si>
  <si>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</si>
  <si>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</si>
  <si>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</si>
  <si>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</si>
  <si>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</si>
  <si>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</si>
  <si>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</si>
  <si>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</si>
  <si>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</si>
  <si>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</si>
  <si>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</si>
  <si>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</si>
  <si>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</si>
  <si>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</si>
  <si>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</si>
  <si>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</si>
  <si>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</si>
  <si>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</si>
  <si>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</si>
  <si>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</si>
  <si>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</si>
  <si>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</si>
  <si>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</si>
  <si>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</si>
  <si>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</si>
  <si>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</si>
  <si>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</si>
  <si>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</si>
  <si>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</si>
  <si>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</si>
  <si>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</si>
  <si>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</si>
  <si>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</si>
  <si>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</si>
  <si>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</si>
  <si>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</si>
  <si>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</si>
  <si>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</si>
  <si>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</si>
  <si>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</si>
  <si>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</si>
  <si>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</si>
  <si>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</si>
  <si>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</si>
  <si>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</si>
  <si>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</si>
  <si>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</si>
  <si>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</si>
  <si>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</si>
  <si>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</si>
  <si>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</si>
  <si>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</si>
  <si>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</si>
  <si>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</si>
  <si>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</si>
  <si>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</si>
  <si>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</si>
  <si>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</si>
  <si>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</si>
  <si>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</si>
  <si>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</si>
  <si>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</si>
  <si>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</si>
  <si>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</si>
  <si>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</si>
  <si>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</si>
  <si>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</si>
  <si>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</si>
  <si>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</si>
  <si>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</si>
  <si>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</si>
  <si>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</si>
  <si>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</si>
  <si>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</si>
  <si>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</si>
  <si>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</si>
  <si>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</si>
  <si>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</si>
  <si>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</si>
  <si>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</si>
  <si>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</si>
  <si>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</si>
  <si>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</si>
  <si>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</si>
  <si>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</si>
  <si>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</si>
  <si>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</si>
  <si>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</si>
  <si>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</si>
  <si>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</si>
  <si>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</si>
  <si>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</si>
  <si>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</si>
  <si>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</si>
  <si>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</si>
  <si>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</si>
  <si>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</si>
  <si>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</si>
  <si>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</si>
  <si>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</si>
  <si>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</si>
  <si>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</si>
  <si>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</si>
  <si>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</si>
  <si>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</si>
  <si>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</si>
  <si>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</si>
  <si>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</si>
  <si>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</si>
  <si>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</si>
  <si>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</si>
  <si>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</si>
  <si>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</si>
  <si>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</si>
  <si>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</si>
  <si>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</si>
  <si>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</si>
  <si>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</si>
  <si>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</si>
  <si>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</si>
  <si>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</si>
  <si>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</si>
  <si>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</si>
  <si>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</si>
  <si>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</si>
  <si>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</si>
  <si>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</si>
  <si>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</si>
  <si>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</si>
  <si>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</si>
  <si>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</si>
  <si>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</si>
  <si>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</si>
  <si>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</si>
  <si>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</si>
  <si>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</si>
  <si>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</si>
  <si>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</si>
  <si>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</si>
  <si>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</si>
  <si>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</si>
  <si>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</si>
  <si>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</si>
  <si>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</si>
  <si>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</si>
  <si>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</si>
  <si>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</si>
  <si>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</si>
  <si>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</si>
  <si>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</si>
  <si>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</si>
  <si>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</si>
  <si>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</si>
  <si>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</si>
  <si>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</si>
  <si>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</si>
  <si>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</si>
  <si>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</si>
  <si>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</si>
  <si>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</si>
  <si>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</si>
  <si>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</si>
  <si>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</si>
  <si>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</si>
  <si>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</si>
  <si>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</si>
  <si>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</si>
  <si>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</si>
  <si>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</si>
  <si>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</si>
  <si>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</si>
  <si>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</si>
  <si>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</si>
  <si>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</si>
  <si>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</si>
  <si>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</si>
  <si>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</si>
  <si>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</si>
  <si>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</si>
  <si>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</si>
  <si>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</si>
  <si>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</si>
  <si>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</si>
  <si>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</si>
  <si>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</si>
  <si>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</si>
  <si>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</si>
  <si>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</si>
  <si>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</si>
  <si>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</si>
  <si>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</si>
  <si>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</si>
  <si>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</si>
  <si>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</si>
  <si>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</si>
  <si>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</si>
  <si>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</si>
  <si>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</si>
  <si>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</si>
  <si>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</si>
  <si>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</si>
  <si>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</si>
  <si>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</si>
  <si>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</si>
  <si>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</si>
  <si>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</si>
  <si>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</si>
  <si>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</si>
  <si>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</si>
  <si>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</si>
  <si>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</si>
  <si>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</si>
  <si>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</si>
  <si>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</si>
  <si>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</si>
  <si>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</si>
  <si>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</si>
  <si>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</si>
  <si>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</si>
  <si>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</si>
  <si>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</si>
  <si>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</si>
  <si>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</si>
  <si>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</si>
  <si>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</si>
  <si>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</si>
  <si>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</si>
  <si>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</si>
  <si>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</si>
  <si>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</si>
  <si>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</si>
  <si>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</si>
  <si>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</si>
  <si>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</si>
  <si>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</si>
  <si>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</si>
  <si>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</si>
  <si>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</si>
  <si>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</si>
  <si>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</si>
  <si>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</si>
  <si>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</si>
  <si>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</si>
  <si>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</si>
  <si>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</si>
  <si>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</si>
  <si>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</si>
  <si>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</si>
  <si>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</si>
  <si>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</si>
  <si>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</si>
  <si>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</si>
  <si>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</si>
  <si>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</si>
  <si>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</si>
  <si>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</si>
  <si>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</si>
  <si>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</si>
  <si>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</si>
  <si>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</si>
  <si>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</si>
  <si>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</si>
  <si>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</si>
  <si>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</si>
  <si>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</si>
  <si>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</si>
  <si>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</si>
  <si>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</si>
  <si>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</si>
  <si>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</si>
  <si>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</si>
  <si>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</si>
  <si>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</si>
  <si>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</si>
  <si>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</si>
  <si>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</si>
  <si>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</si>
  <si>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</si>
  <si>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</si>
  <si>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</si>
  <si>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</si>
  <si>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</si>
  <si>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</si>
  <si>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</si>
  <si>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</si>
  <si>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</si>
  <si>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</si>
  <si>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</si>
  <si>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</si>
  <si>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</si>
  <si>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</si>
  <si>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</si>
  <si>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</si>
  <si>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</si>
  <si>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</si>
  <si>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</si>
  <si>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</si>
  <si>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</si>
  <si>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</si>
  <si>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</si>
  <si>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</si>
  <si>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</si>
  <si>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</si>
  <si>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</si>
  <si>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</si>
  <si>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</si>
  <si>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</si>
  <si>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</si>
  <si>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</si>
  <si>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</si>
  <si>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</si>
  <si>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</si>
  <si>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</si>
  <si>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</si>
  <si>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</si>
  <si>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</si>
  <si>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</si>
  <si>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</si>
  <si>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</si>
  <si>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</si>
  <si>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</si>
  <si>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</si>
  <si>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</si>
  <si>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</si>
  <si>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</si>
  <si>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</si>
  <si>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</si>
  <si>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</si>
  <si>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</si>
  <si>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</si>
  <si>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</si>
  <si>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</si>
  <si>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</si>
  <si>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</si>
  <si>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</si>
  <si>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</si>
  <si>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</si>
  <si>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</si>
  <si>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</si>
  <si>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</si>
  <si>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</si>
  <si>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</si>
  <si>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</si>
  <si>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</si>
  <si>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</si>
  <si>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</si>
  <si>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</si>
  <si>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</si>
  <si>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</si>
  <si>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</si>
  <si>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</si>
  <si>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</si>
  <si>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</si>
  <si>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</si>
  <si>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</si>
  <si>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</si>
  <si>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</si>
  <si>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</si>
  <si>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</si>
  <si>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</si>
  <si>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</si>
  <si>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</si>
  <si>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</si>
  <si>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</si>
  <si>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</si>
  <si>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</si>
  <si>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</si>
  <si>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</si>
  <si>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</si>
  <si>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</si>
  <si>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</si>
  <si>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</si>
  <si>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</si>
  <si>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</si>
  <si>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</si>
  <si>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</si>
  <si>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</si>
  <si>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</si>
  <si>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</si>
  <si>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</si>
  <si>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</si>
  <si>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</si>
  <si>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</si>
  <si>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</si>
  <si>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</si>
  <si>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</si>
  <si>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</si>
  <si>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</si>
  <si>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</si>
  <si>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</si>
  <si>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</si>
  <si>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</si>
  <si>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</si>
  <si>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</si>
  <si>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</si>
  <si>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</si>
  <si>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</si>
  <si>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</si>
  <si>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</si>
  <si>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</si>
  <si>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</si>
  <si>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</si>
  <si>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</si>
  <si>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</si>
  <si>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</si>
  <si>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</si>
  <si>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</si>
  <si>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</si>
  <si>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</si>
  <si>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</si>
  <si>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</si>
  <si>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</si>
  <si>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</si>
  <si>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</si>
  <si>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</si>
  <si>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</si>
  <si>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</si>
  <si>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</si>
  <si>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</si>
  <si>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</si>
  <si>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</si>
  <si>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</si>
  <si>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</si>
  <si>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</si>
  <si>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</si>
  <si>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</si>
  <si>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</si>
  <si>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</si>
  <si>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</si>
  <si>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</si>
  <si>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</si>
  <si>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</si>
  <si>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</si>
  <si>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</si>
  <si>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</si>
  <si>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</si>
  <si>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</si>
  <si>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</si>
  <si>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</si>
  <si>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</si>
  <si>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</si>
  <si>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</si>
  <si>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</si>
  <si>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</si>
  <si>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</si>
  <si>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</si>
  <si>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</si>
  <si>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</si>
  <si>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</si>
  <si>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</si>
  <si>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</si>
  <si>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</si>
  <si>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</si>
  <si>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</si>
  <si>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</si>
  <si>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</si>
  <si>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</si>
  <si>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</si>
  <si>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</si>
  <si>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</si>
  <si>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</si>
  <si>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</si>
  <si>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</si>
  <si>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</si>
  <si>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</si>
  <si>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</si>
  <si>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</si>
  <si>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</si>
  <si>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</si>
  <si>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</si>
  <si>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</si>
  <si>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</si>
  <si>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</si>
  <si>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</si>
  <si>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</si>
  <si>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</si>
  <si>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</si>
  <si>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</si>
  <si>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</si>
  <si>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</si>
  <si>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</si>
  <si>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</si>
  <si>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</si>
  <si>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</si>
  <si>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</si>
  <si>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</si>
  <si>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</si>
  <si>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</si>
  <si>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</si>
  <si>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</si>
  <si>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</si>
  <si>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</si>
  <si>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</si>
  <si>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</si>
  <si>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</si>
  <si>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</si>
  <si>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</si>
  <si>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</si>
  <si>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</si>
  <si>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</si>
  <si>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</si>
  <si>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</si>
  <si>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</si>
  <si>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</si>
  <si>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</si>
  <si>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</si>
  <si>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</si>
  <si>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</si>
  <si>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</si>
  <si>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</si>
  <si>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</si>
  <si>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</si>
  <si>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</si>
  <si>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</si>
  <si>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</si>
  <si>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</si>
  <si>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</si>
  <si>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</si>
  <si>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</si>
  <si>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</si>
  <si>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</si>
  <si>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</si>
  <si>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</si>
  <si>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</si>
  <si>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</si>
  <si>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</si>
  <si>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</si>
  <si>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</si>
  <si>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</si>
  <si>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</si>
  <si>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</si>
  <si>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</si>
  <si>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</si>
  <si>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</si>
  <si>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</si>
  <si>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</si>
  <si>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</si>
  <si>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</si>
  <si>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</si>
  <si>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</si>
  <si>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</si>
  <si>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</si>
  <si>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</si>
  <si>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</si>
  <si>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</si>
  <si>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</si>
  <si>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</si>
  <si>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</si>
  <si>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</si>
  <si>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</si>
  <si>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</si>
  <si>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</si>
  <si>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</si>
  <si>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</si>
  <si>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</si>
  <si>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</si>
  <si>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</si>
  <si>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</si>
  <si>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</si>
  <si>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</si>
  <si>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</si>
  <si>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</si>
  <si>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</si>
  <si>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</si>
  <si>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</si>
  <si>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</si>
  <si>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</si>
  <si>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</si>
  <si>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</si>
  <si>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</si>
  <si>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</si>
  <si>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</si>
  <si>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</si>
  <si>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</si>
  <si>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</si>
  <si>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</si>
  <si>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</si>
  <si>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</si>
  <si>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</si>
  <si>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</si>
  <si>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</si>
  <si>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</si>
  <si>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</si>
  <si>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</si>
  <si>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</si>
  <si>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</si>
  <si>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</si>
  <si>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</si>
  <si>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</si>
  <si>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</si>
  <si>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</si>
  <si>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</si>
  <si>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</si>
  <si>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</si>
  <si>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</si>
  <si>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</si>
  <si>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</si>
  <si>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</si>
  <si>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</si>
  <si>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</si>
  <si>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</si>
  <si>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</si>
  <si>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</si>
  <si>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</si>
  <si>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</si>
  <si>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</si>
  <si>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</si>
  <si>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</si>
  <si>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</si>
  <si>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</si>
  <si>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</si>
  <si>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</si>
  <si>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</si>
  <si>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</si>
  <si>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</si>
  <si>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</si>
  <si>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</si>
  <si>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</si>
  <si>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</si>
  <si>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</si>
  <si>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</si>
  <si>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</si>
  <si>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</si>
  <si>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</si>
  <si>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</si>
  <si>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</si>
  <si>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</si>
  <si>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</si>
  <si>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</si>
  <si>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</si>
  <si>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</si>
  <si>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</si>
  <si>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</si>
  <si>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</si>
  <si>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</si>
  <si>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</si>
  <si>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</si>
  <si>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</si>
  <si>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</si>
  <si>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</si>
  <si>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</si>
  <si>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</si>
  <si>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</si>
  <si>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</si>
  <si>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</si>
  <si>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</si>
  <si>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</si>
  <si>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</si>
  <si>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</si>
  <si>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</si>
  <si>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</si>
  <si>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</si>
  <si>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</si>
  <si>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</si>
  <si>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</si>
  <si>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</si>
  <si>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</si>
  <si>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</si>
  <si>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</si>
  <si>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</si>
  <si>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</si>
  <si>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</si>
  <si>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</si>
  <si>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</si>
  <si>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</si>
  <si>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</si>
  <si>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</si>
  <si>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</si>
  <si>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</si>
  <si>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</si>
  <si>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</si>
  <si>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</si>
  <si>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</si>
  <si>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</si>
  <si>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</si>
  <si>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</si>
  <si>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</si>
  <si>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</si>
  <si>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</si>
  <si>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</si>
  <si>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</si>
  <si>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</si>
  <si>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</si>
  <si>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</si>
  <si>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</si>
  <si>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</si>
  <si>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</si>
  <si>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</si>
  <si>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</si>
  <si>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</si>
  <si>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</si>
  <si>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</si>
  <si>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</si>
  <si>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</si>
  <si>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</si>
  <si>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</si>
  <si>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</si>
  <si>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</si>
  <si>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</si>
  <si>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</si>
  <si>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</si>
  <si>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</si>
  <si>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</si>
  <si>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</si>
  <si>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</si>
  <si>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</si>
  <si>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</si>
  <si>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</si>
  <si>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</si>
  <si>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</si>
  <si>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</si>
  <si>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</si>
  <si>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</si>
  <si>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</si>
  <si>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</si>
  <si>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</si>
  <si>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</si>
  <si>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</si>
  <si>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</si>
  <si>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</si>
  <si>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</si>
  <si>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</si>
  <si>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</si>
  <si>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</si>
  <si>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</si>
  <si>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</si>
  <si>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</si>
  <si>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</si>
  <si>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</si>
  <si>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</si>
  <si>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</si>
  <si>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</si>
  <si>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</si>
  <si>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</si>
  <si>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</si>
  <si>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</si>
  <si>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</si>
  <si>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</si>
  <si>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</si>
  <si>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</si>
  <si>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</si>
  <si>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</si>
  <si>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</si>
  <si>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</si>
  <si>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</si>
  <si>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</si>
  <si>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</si>
  <si>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</si>
  <si>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</si>
  <si>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</si>
  <si>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</si>
  <si>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</si>
  <si>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</si>
  <si>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</si>
  <si>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</si>
  <si>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</si>
  <si>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</si>
  <si>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</si>
  <si>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</si>
  <si>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</si>
  <si>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</si>
  <si>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</si>
  <si>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</si>
  <si>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</si>
  <si>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</si>
  <si>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</si>
  <si>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</si>
  <si>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</si>
  <si>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</si>
  <si>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</si>
  <si>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</si>
  <si>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</si>
  <si>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</si>
  <si>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</si>
  <si>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</si>
  <si>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</si>
  <si>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</si>
  <si>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</si>
  <si>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</si>
  <si>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</si>
  <si>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</si>
  <si>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</si>
  <si>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</si>
  <si>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</si>
  <si>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</si>
  <si>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</si>
  <si>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</si>
  <si>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</si>
  <si>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</si>
  <si>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</si>
  <si>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</si>
  <si>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</si>
  <si>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</si>
  <si>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</si>
  <si>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</si>
  <si>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</si>
  <si>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</si>
  <si>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</si>
  <si>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</si>
  <si>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</si>
  <si>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</si>
  <si>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</si>
  <si>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</si>
  <si>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</si>
  <si>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</si>
  <si>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</si>
  <si>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</si>
  <si>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</si>
  <si>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</si>
  <si>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</si>
  <si>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</si>
  <si>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</si>
  <si>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</si>
  <si>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</si>
  <si>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</si>
  <si>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</si>
  <si>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</si>
  <si>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</si>
  <si>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</si>
  <si>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</si>
  <si>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</si>
  <si>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</si>
  <si>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</si>
  <si>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</si>
  <si>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</si>
  <si>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</si>
  <si>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</si>
  <si>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</si>
  <si>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</si>
  <si>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</si>
  <si>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</si>
  <si>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</si>
  <si>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</si>
  <si>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</si>
  <si>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</si>
  <si>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</si>
  <si>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</si>
  <si>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</si>
  <si>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</si>
  <si>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</si>
  <si>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</si>
  <si>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</si>
  <si>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</si>
  <si>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</si>
  <si>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</si>
  <si>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</si>
  <si>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</si>
  <si>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</si>
  <si>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</si>
  <si>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</si>
  <si>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</si>
  <si>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</si>
  <si>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</si>
  <si>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</si>
  <si>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</si>
  <si>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</si>
  <si>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</si>
  <si>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</si>
  <si>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</si>
  <si>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</si>
  <si>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</si>
  <si>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</si>
  <si>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</si>
  <si>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</si>
  <si>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</si>
  <si>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</si>
  <si>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</si>
  <si>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</si>
  <si>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</si>
  <si>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</si>
  <si>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</si>
  <si>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</si>
  <si>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</si>
  <si>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</si>
  <si>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</si>
  <si>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</si>
  <si>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</si>
  <si>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</si>
  <si>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</si>
  <si>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</si>
  <si>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</si>
  <si>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</si>
  <si>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</si>
  <si>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</si>
  <si>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</si>
  <si>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</si>
  <si>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</si>
  <si>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</si>
  <si>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</si>
  <si>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</si>
  <si>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</si>
  <si>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</si>
  <si>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</si>
  <si>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</si>
  <si>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</si>
  <si>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</si>
  <si>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</si>
  <si>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</si>
  <si>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</si>
  <si>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</si>
  <si>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</si>
  <si>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</si>
  <si>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</si>
  <si>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</si>
  <si>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</si>
  <si>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</si>
  <si>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</si>
  <si>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</si>
  <si>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</si>
  <si>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</si>
  <si>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</si>
  <si>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</si>
  <si>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</si>
  <si>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</si>
  <si>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</si>
  <si>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</si>
  <si>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</si>
  <si>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</si>
  <si>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</si>
  <si>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</si>
  <si>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</si>
  <si>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</si>
  <si>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</si>
  <si>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</si>
  <si>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</si>
  <si>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</si>
  <si>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</si>
  <si>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</si>
  <si>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</si>
  <si>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</si>
  <si>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</si>
  <si>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</si>
  <si>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</si>
  <si>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</si>
  <si>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</si>
  <si>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</si>
  <si>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</si>
  <si>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</si>
  <si>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</si>
  <si>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</si>
  <si>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</si>
  <si>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</si>
  <si>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</si>
  <si>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</si>
  <si>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</si>
  <si>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</si>
  <si>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</si>
  <si>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</si>
  <si>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</si>
  <si>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</si>
  <si>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</si>
  <si>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</si>
  <si>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</si>
  <si>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</si>
  <si>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</si>
  <si>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</si>
  <si>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</si>
  <si>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</si>
  <si>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</si>
  <si>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</si>
  <si>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</si>
  <si>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</si>
  <si>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</si>
  <si>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</si>
  <si>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</si>
  <si>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</si>
  <si>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</si>
  <si>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</si>
  <si>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</si>
  <si>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</si>
  <si>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</si>
  <si>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</si>
  <si>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</si>
  <si>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</si>
  <si>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</si>
  <si>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</si>
  <si>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</si>
  <si>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</si>
  <si>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</si>
  <si>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</si>
  <si>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</si>
  <si>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</si>
  <si>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</si>
  <si>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</si>
  <si>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</si>
  <si>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</si>
  <si>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</si>
  <si>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</si>
  <si>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</si>
  <si>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</si>
  <si>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</si>
  <si>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</si>
  <si>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</si>
  <si>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</si>
  <si>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</si>
  <si>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</si>
  <si>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</si>
  <si>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</si>
  <si>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</si>
  <si>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</si>
  <si>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</si>
  <si>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</si>
  <si>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</si>
  <si>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</si>
  <si>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</si>
  <si>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</si>
  <si>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</si>
  <si>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</si>
  <si>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</si>
  <si>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</si>
  <si>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</si>
  <si>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</si>
  <si>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</si>
  <si>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</si>
  <si>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</si>
  <si>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</si>
  <si>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</si>
  <si>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</si>
  <si>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</si>
  <si>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</si>
  <si>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</si>
  <si>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</si>
  <si>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</si>
  <si>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</si>
  <si>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</si>
  <si>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</si>
  <si>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</si>
  <si>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</si>
  <si>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</si>
  <si>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</si>
  <si>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</si>
  <si>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</si>
  <si>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</si>
  <si>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</si>
  <si>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</si>
  <si>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</si>
  <si>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</si>
  <si>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</si>
  <si>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</si>
  <si>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</si>
  <si>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</si>
  <si>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</si>
  <si>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</si>
  <si>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</si>
  <si>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</si>
  <si>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</si>
  <si>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</si>
  <si>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</si>
  <si>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</si>
  <si>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</si>
  <si>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</si>
  <si>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</si>
  <si>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</si>
  <si>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</si>
  <si>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</si>
  <si>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</si>
  <si>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</si>
  <si>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</si>
  <si>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</si>
  <si>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</si>
  <si>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</si>
  <si>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</si>
  <si>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</si>
  <si>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</si>
  <si>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</si>
  <si>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</si>
  <si>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</si>
  <si>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</si>
  <si>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</si>
  <si>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</si>
  <si>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</si>
  <si>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</si>
  <si>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</si>
  <si>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</si>
  <si>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</si>
  <si>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</si>
  <si>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</si>
  <si>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</si>
  <si>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</si>
  <si>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</si>
  <si>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</si>
  <si>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</si>
  <si>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</si>
  <si>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</si>
  <si>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</si>
  <si>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</si>
  <si>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</si>
  <si>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</si>
  <si>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</si>
  <si>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</si>
  <si>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</si>
  <si>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</si>
  <si>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</si>
  <si>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</si>
  <si>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</si>
  <si>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</si>
  <si>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</si>
  <si>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</si>
  <si>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</si>
  <si>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</si>
  <si>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</si>
  <si>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</si>
  <si>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</si>
  <si>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</si>
  <si>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</si>
  <si>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</si>
  <si>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</si>
  <si>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</si>
  <si>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</si>
  <si>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</si>
  <si>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</si>
  <si>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</si>
  <si>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</si>
  <si>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</si>
  <si>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</si>
  <si>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</si>
  <si>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</si>
  <si>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</si>
  <si>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</si>
  <si>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</si>
  <si>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</si>
  <si>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</si>
  <si>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</si>
  <si>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</si>
  <si>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</si>
  <si>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</si>
  <si>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</si>
  <si>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</si>
  <si>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</si>
  <si>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</si>
  <si>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</si>
  <si>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</si>
  <si>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</si>
  <si>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</si>
  <si>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</si>
  <si>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</si>
  <si>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</si>
  <si>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</si>
  <si>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</si>
  <si>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</si>
  <si>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</si>
  <si>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</si>
  <si>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</si>
  <si>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</si>
  <si>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</si>
  <si>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</si>
  <si>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</si>
  <si>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</si>
  <si>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</si>
  <si>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</si>
  <si>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</si>
  <si>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</si>
  <si>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</si>
  <si>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</si>
  <si>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</si>
  <si>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</si>
  <si>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</si>
  <si>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</si>
  <si>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</si>
  <si>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</si>
  <si>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</si>
  <si>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</si>
  <si>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</si>
  <si>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</si>
  <si>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</si>
  <si>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</si>
  <si>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</si>
  <si>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</si>
  <si>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</si>
  <si>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</si>
  <si>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</si>
  <si>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</si>
  <si>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</si>
  <si>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</si>
  <si>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</si>
  <si>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</si>
  <si>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</si>
  <si>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</si>
  <si>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</si>
  <si>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</si>
  <si>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</si>
  <si>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</si>
  <si>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</si>
  <si>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</si>
  <si>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</si>
  <si>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</si>
  <si>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</si>
  <si>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</si>
  <si>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</si>
  <si>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</si>
  <si>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</si>
  <si>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</si>
  <si>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</si>
  <si>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</si>
  <si>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</si>
  <si>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</si>
  <si>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</si>
  <si>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</si>
  <si>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</si>
  <si>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</si>
  <si>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</si>
  <si>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</si>
  <si>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</si>
  <si>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</si>
  <si>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</si>
  <si>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</si>
  <si>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</si>
  <si>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</si>
  <si>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</si>
  <si>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</si>
  <si>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</si>
  <si>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</si>
  <si>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</si>
  <si>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</si>
  <si>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</si>
  <si>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</si>
  <si>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</si>
  <si>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</si>
  <si>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</si>
  <si>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</si>
  <si>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</si>
  <si>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</si>
  <si>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</si>
  <si>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</si>
  <si>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</si>
  <si>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</si>
  <si>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</si>
  <si>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</si>
  <si>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</si>
  <si>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</si>
  <si>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</si>
  <si>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</si>
  <si>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</si>
  <si>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</si>
  <si>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</si>
  <si>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</si>
  <si>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</si>
  <si>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</si>
  <si>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</si>
  <si>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</si>
  <si>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</si>
  <si>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</si>
  <si>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</si>
  <si>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</si>
  <si>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</si>
  <si>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</si>
  <si>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</si>
  <si>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</si>
  <si>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</si>
  <si>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</si>
  <si>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</si>
  <si>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</si>
  <si>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</si>
  <si>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</si>
  <si>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</si>
  <si>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</si>
  <si>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</si>
  <si>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</si>
  <si>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</si>
  <si>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</si>
  <si>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</si>
  <si>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</si>
  <si>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</si>
  <si>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</si>
  <si>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</si>
  <si>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</si>
  <si>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</si>
  <si>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</si>
  <si>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</si>
  <si>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</si>
  <si>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</si>
  <si>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</si>
  <si>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</si>
  <si>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</si>
  <si>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</si>
  <si>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</si>
  <si>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</si>
  <si>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</si>
  <si>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</si>
  <si>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</si>
  <si>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</si>
  <si>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</si>
  <si>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</si>
  <si>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</si>
  <si>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</si>
  <si>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</si>
  <si>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</si>
  <si>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</si>
  <si>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</si>
  <si>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</si>
  <si>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</si>
  <si>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</si>
  <si>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</si>
  <si>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</si>
  <si>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</si>
  <si>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</si>
  <si>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</si>
  <si>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</si>
  <si>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</si>
  <si>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</si>
  <si>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</si>
  <si>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</si>
  <si>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</si>
  <si>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</si>
  <si>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</si>
  <si>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</si>
  <si>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</si>
  <si>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</si>
  <si>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</si>
  <si>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</si>
  <si>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</si>
  <si>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</si>
  <si>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</si>
  <si>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</si>
  <si>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</si>
  <si>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</si>
  <si>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</si>
  <si>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</si>
  <si>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</si>
  <si>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</si>
  <si>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</si>
  <si>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</si>
  <si>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</si>
  <si>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</si>
  <si>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</si>
  <si>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</si>
  <si>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</si>
  <si>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</si>
  <si>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</si>
  <si>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</si>
  <si>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</si>
  <si>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</si>
  <si>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</si>
  <si>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</si>
  <si>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</si>
  <si>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</si>
  <si>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</si>
  <si>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</si>
  <si>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</si>
  <si>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</si>
  <si>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</si>
  <si>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</si>
  <si>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</si>
  <si>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</si>
  <si>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</si>
  <si>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</si>
  <si>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</si>
  <si>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</si>
  <si>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</si>
  <si>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</si>
  <si>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</si>
  <si>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</si>
  <si>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</si>
  <si>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</si>
  <si>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</si>
  <si>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</si>
  <si>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</si>
  <si>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</si>
  <si>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</si>
  <si>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</si>
  <si>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</si>
  <si>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</si>
  <si>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</si>
  <si>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</si>
  <si>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</si>
  <si>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</si>
  <si>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</si>
  <si>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</si>
  <si>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</si>
  <si>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</si>
  <si>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</si>
  <si>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</si>
  <si>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</si>
  <si>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</si>
  <si>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</si>
  <si>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</si>
  <si>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</si>
  <si>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</si>
  <si>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</si>
  <si>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</si>
  <si>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</si>
  <si>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</si>
  <si>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</si>
  <si>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</si>
  <si>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</si>
  <si>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</si>
  <si>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</si>
  <si>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</si>
  <si>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</si>
  <si>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</si>
  <si>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</si>
  <si>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</si>
  <si>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</si>
  <si>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</si>
  <si>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</si>
  <si>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</si>
  <si>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</si>
  <si>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</si>
  <si>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</si>
  <si>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</si>
  <si>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</si>
  <si>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</si>
  <si>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</si>
  <si>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</si>
  <si>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</si>
  <si>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</si>
  <si>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</si>
  <si>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</si>
  <si>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</si>
  <si>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</si>
  <si>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</si>
  <si>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</si>
  <si>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</si>
  <si>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</si>
  <si>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</si>
  <si>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</si>
  <si>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</si>
  <si>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</si>
  <si>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</si>
  <si>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</si>
  <si>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</si>
  <si>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</si>
  <si>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</si>
  <si>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</si>
  <si>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</si>
  <si>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</si>
  <si>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</si>
  <si>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</si>
  <si>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</si>
  <si>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</si>
  <si>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</si>
  <si>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</si>
  <si>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</si>
  <si>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</si>
  <si>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</si>
  <si>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</si>
  <si>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</si>
  <si>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</si>
  <si>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</si>
  <si>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</si>
  <si>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</si>
  <si>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</si>
  <si>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</si>
  <si>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</si>
  <si>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</si>
  <si>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</si>
  <si>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</si>
  <si>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</si>
  <si>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</si>
  <si>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</si>
  <si>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</si>
  <si>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</si>
  <si>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</si>
  <si>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</si>
  <si>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</si>
  <si>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</si>
  <si>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</si>
  <si>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</si>
  <si>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</si>
  <si>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</si>
  <si>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</si>
  <si>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</si>
  <si>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</si>
  <si>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</si>
  <si>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</si>
  <si>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</si>
  <si>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</si>
  <si>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</si>
  <si>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</si>
  <si>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</si>
  <si>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</si>
  <si>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</si>
  <si>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</si>
  <si>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</si>
  <si>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</si>
  <si>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</si>
  <si>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</si>
  <si>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</si>
  <si>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</si>
  <si>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</si>
  <si>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</si>
  <si>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</si>
  <si>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</si>
  <si>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</si>
  <si>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</si>
  <si>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</si>
  <si>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</si>
  <si>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</si>
  <si>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</si>
  <si>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</si>
  <si>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</si>
  <si>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</si>
  <si>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</si>
  <si>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</si>
  <si>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</si>
  <si>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</si>
  <si>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</si>
  <si>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</si>
  <si>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</si>
  <si>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</si>
  <si>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</si>
  <si>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</si>
  <si>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</si>
  <si>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</si>
  <si>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</si>
  <si>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</si>
  <si>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</si>
  <si>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</si>
  <si>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</si>
  <si>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</si>
  <si>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</si>
  <si>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</si>
  <si>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</si>
  <si>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</si>
  <si>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</si>
  <si>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</si>
  <si>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</si>
  <si>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</si>
  <si>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</si>
  <si>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</si>
  <si>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</si>
  <si>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</si>
  <si>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</si>
  <si>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</si>
  <si>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</si>
  <si>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</si>
  <si>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</si>
  <si>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</si>
  <si>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</si>
  <si>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</si>
  <si>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</si>
  <si>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</si>
  <si>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</si>
  <si>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</si>
  <si>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</si>
  <si>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</si>
  <si>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</si>
  <si>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</si>
  <si>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</si>
  <si>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</si>
  <si>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</si>
  <si>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</si>
  <si>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</si>
  <si>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</si>
  <si>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</si>
  <si>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</si>
  <si>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</si>
  <si>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</si>
  <si>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</si>
  <si>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</si>
  <si>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</si>
  <si>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</si>
  <si>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</si>
  <si>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</si>
  <si>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</si>
  <si>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</si>
  <si>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</si>
  <si>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</si>
  <si>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</si>
  <si>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</si>
  <si>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</si>
  <si>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</si>
  <si>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</si>
  <si>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</si>
  <si>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</si>
  <si>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</si>
  <si>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</si>
  <si>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</si>
  <si>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</si>
  <si>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</si>
  <si>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</si>
  <si>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</si>
  <si>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</si>
  <si>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</si>
  <si>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</si>
  <si>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</si>
  <si>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</si>
  <si>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</si>
  <si>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</si>
  <si>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</si>
  <si>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</si>
  <si>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</si>
  <si>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</si>
  <si>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</si>
  <si>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</si>
  <si>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</si>
  <si>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</si>
  <si>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</si>
  <si>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</si>
  <si>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</si>
  <si>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</si>
  <si>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</si>
  <si>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</si>
  <si>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</si>
  <si>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</si>
  <si>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</si>
  <si>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</si>
  <si>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</si>
  <si>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</si>
  <si>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</si>
  <si>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</si>
  <si>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</si>
  <si>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</si>
  <si>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</si>
  <si>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</si>
  <si>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</si>
  <si>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</si>
  <si>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</si>
  <si>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</si>
  <si>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</si>
  <si>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</si>
  <si>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</si>
  <si>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</si>
  <si>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</si>
  <si>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</si>
  <si>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</si>
  <si>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</si>
  <si>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</si>
  <si>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</si>
  <si>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</si>
  <si>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</si>
  <si>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</si>
  <si>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</si>
  <si>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</si>
  <si>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</si>
  <si>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</si>
  <si>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</si>
  <si>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</si>
  <si>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</si>
  <si>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</si>
  <si>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</si>
  <si>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</si>
  <si>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</si>
  <si>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</si>
  <si>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</si>
  <si>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</si>
  <si>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</si>
  <si>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</si>
  <si>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</si>
  <si>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</si>
  <si>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</si>
  <si>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</si>
  <si>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</si>
  <si>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</si>
  <si>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</si>
  <si>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</si>
  <si>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</si>
  <si>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</si>
  <si>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</si>
  <si>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</si>
  <si>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</si>
  <si>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</si>
  <si>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</si>
  <si>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</si>
  <si>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</si>
  <si>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</si>
  <si>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</si>
  <si>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</si>
  <si>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</si>
  <si>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</si>
  <si>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</si>
  <si>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</si>
  <si>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</si>
  <si>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</si>
  <si>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</si>
  <si>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</si>
  <si>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</si>
  <si>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</si>
  <si>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</si>
  <si>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</si>
  <si>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</si>
  <si>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</si>
  <si>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</si>
  <si>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</si>
  <si>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</si>
  <si>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</si>
  <si>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</si>
  <si>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</si>
  <si>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</si>
  <si>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</si>
  <si>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</si>
  <si>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</si>
  <si>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</si>
  <si>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</si>
  <si>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</si>
  <si>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</si>
  <si>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</si>
  <si>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</si>
  <si>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</si>
  <si>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</si>
  <si>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</si>
  <si>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</si>
  <si>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</si>
  <si>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</si>
  <si>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</si>
  <si>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</si>
  <si>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</si>
  <si>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</si>
  <si>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</si>
  <si>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</si>
  <si>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</si>
  <si>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</si>
  <si>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</si>
  <si>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</si>
  <si>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</si>
  <si>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</si>
  <si>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</si>
  <si>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</si>
  <si>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</si>
  <si>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</si>
  <si>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</si>
  <si>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</si>
  <si>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</si>
  <si>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</si>
  <si>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</si>
  <si>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</si>
  <si>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</si>
  <si>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</si>
  <si>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</si>
  <si>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</si>
  <si>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</si>
  <si>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</si>
  <si>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</si>
  <si>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</si>
  <si>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</si>
  <si>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</si>
  <si>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</si>
  <si>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</si>
  <si>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</si>
  <si>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</si>
  <si>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</si>
  <si>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</si>
  <si>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</si>
  <si>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</si>
  <si>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</si>
  <si>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</si>
  <si>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</si>
  <si>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</si>
  <si>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</si>
  <si>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</si>
  <si>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</si>
  <si>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</si>
  <si>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</si>
  <si>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</si>
  <si>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</si>
  <si>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</si>
  <si>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</si>
  <si>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</si>
  <si>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</si>
  <si>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</si>
  <si>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</si>
  <si>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</si>
  <si>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</si>
  <si>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</si>
  <si>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</si>
  <si>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</si>
  <si>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</si>
  <si>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</si>
  <si>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</si>
  <si>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</si>
  <si>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</si>
  <si>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</si>
  <si>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</si>
  <si>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</si>
  <si>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</si>
  <si>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</si>
  <si>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</si>
  <si>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</si>
  <si>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</si>
  <si>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</si>
  <si>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</si>
  <si>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</si>
  <si>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</si>
  <si>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</si>
  <si>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</si>
  <si>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</si>
  <si>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</si>
  <si>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</si>
  <si>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</si>
  <si>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</si>
  <si>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</si>
  <si>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</si>
  <si>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</si>
  <si>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</si>
  <si>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</si>
  <si>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</si>
  <si>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</si>
  <si>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</si>
  <si>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</si>
  <si>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</si>
  <si>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</si>
  <si>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</si>
  <si>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</si>
  <si>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</si>
  <si>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</si>
  <si>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</si>
  <si>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</si>
  <si>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</si>
  <si>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</si>
  <si>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</si>
  <si>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</si>
  <si>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</si>
  <si>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</si>
  <si>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</si>
  <si>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</si>
  <si>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</si>
  <si>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</si>
  <si>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</si>
  <si>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</si>
  <si>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</si>
  <si>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</si>
  <si>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</si>
  <si>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</si>
  <si>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</si>
  <si>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</si>
  <si>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</si>
  <si>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</si>
  <si>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</si>
  <si>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</si>
  <si>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</si>
  <si>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</si>
  <si>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</si>
  <si>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</si>
  <si>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</si>
  <si>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</si>
  <si>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</si>
  <si>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</si>
  <si>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</si>
  <si>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</si>
  <si>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</si>
  <si>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</si>
  <si>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</si>
  <si>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</si>
  <si>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</si>
  <si>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</si>
  <si>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</si>
  <si>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</si>
  <si>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</si>
  <si>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</si>
  <si>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</si>
  <si>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</si>
  <si>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</si>
  <si>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</si>
  <si>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</si>
  <si>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</si>
  <si>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</si>
  <si>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</si>
  <si>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</si>
  <si>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</si>
  <si>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</si>
  <si>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</si>
  <si>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</si>
  <si>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</si>
  <si>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</si>
  <si>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</si>
  <si>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</si>
  <si>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</si>
  <si>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</si>
  <si>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</si>
  <si>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</si>
  <si>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</si>
  <si>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</si>
  <si>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</si>
  <si>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</si>
  <si>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</si>
  <si>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</si>
  <si>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</si>
  <si>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</si>
  <si>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</si>
  <si>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</si>
  <si>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</si>
  <si>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</si>
  <si>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</si>
  <si>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</si>
  <si>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</si>
  <si>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</si>
  <si>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</si>
  <si>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</si>
  <si>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</si>
  <si>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</si>
  <si>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</si>
  <si>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</si>
  <si>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</si>
  <si>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</si>
  <si>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</si>
  <si>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</si>
  <si>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</si>
  <si>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</si>
  <si>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</si>
  <si>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</si>
  <si>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</si>
  <si>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</si>
  <si>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</si>
  <si>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</si>
  <si>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</si>
  <si>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</si>
  <si>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</si>
  <si>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</si>
  <si>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</si>
  <si>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</si>
  <si>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</si>
  <si>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</si>
  <si>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</si>
  <si>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</si>
  <si>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</si>
  <si>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</si>
  <si>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</si>
  <si>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</si>
  <si>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</si>
  <si>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</si>
  <si>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</si>
  <si>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</si>
  <si>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</si>
  <si>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</si>
  <si>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</si>
  <si>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</si>
  <si>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</si>
  <si>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</si>
  <si>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</si>
  <si>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</si>
  <si>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</si>
  <si>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</si>
  <si>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</si>
  <si>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</si>
  <si>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</si>
  <si>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</si>
  <si>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</si>
  <si>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</si>
  <si>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</si>
  <si>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</si>
  <si>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</si>
  <si>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</si>
  <si>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</si>
  <si>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</si>
  <si>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</si>
  <si>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</si>
  <si>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</si>
  <si>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</si>
  <si>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</si>
  <si>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</si>
  <si>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</si>
  <si>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</si>
  <si>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</si>
  <si>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</si>
  <si>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</si>
  <si>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</si>
  <si>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</si>
  <si>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</si>
  <si>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</si>
  <si>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</si>
  <si>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</si>
  <si>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</si>
  <si>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</si>
  <si>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</si>
  <si>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</si>
  <si>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</si>
  <si>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</si>
  <si>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</si>
  <si>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</si>
  <si>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</si>
  <si>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</si>
  <si>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</si>
  <si>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</si>
  <si>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</si>
  <si>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</si>
  <si>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</si>
  <si>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</si>
  <si>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</si>
  <si>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</si>
  <si>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</si>
  <si>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</si>
  <si>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</si>
  <si>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</si>
  <si>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</si>
  <si>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</si>
  <si>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</si>
  <si>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</si>
  <si>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</si>
  <si>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</si>
  <si>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</si>
  <si>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</si>
  <si>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</si>
  <si>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</si>
  <si>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</si>
  <si>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</si>
  <si>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</si>
  <si>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</si>
  <si>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</si>
  <si>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</si>
  <si>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</si>
  <si>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</si>
  <si>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</si>
  <si>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</si>
  <si>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</si>
  <si>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</si>
  <si>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</si>
  <si>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</si>
  <si>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</si>
  <si>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</si>
  <si>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</si>
  <si>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</si>
  <si>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</si>
  <si>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</si>
  <si>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</si>
  <si>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</si>
  <si>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</si>
  <si>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</si>
  <si>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</si>
  <si>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</si>
  <si>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</si>
  <si>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</si>
  <si>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</si>
  <si>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</si>
  <si>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</si>
  <si>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</si>
  <si>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</si>
  <si>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</si>
  <si>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</si>
  <si>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</si>
  <si>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</si>
  <si>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</si>
  <si>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</si>
  <si>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</si>
  <si>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</si>
  <si>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</si>
  <si>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</si>
  <si>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</si>
  <si>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</si>
  <si>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</si>
  <si>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</si>
  <si>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</si>
  <si>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</si>
  <si>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</si>
  <si>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</si>
  <si>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</si>
  <si>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</si>
  <si>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</si>
  <si>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</si>
  <si>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</si>
  <si>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</si>
  <si>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</si>
  <si>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</si>
  <si>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</si>
  <si>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</si>
  <si>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</si>
  <si>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</si>
  <si>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</si>
  <si>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</si>
  <si>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</si>
  <si>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</si>
  <si>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</si>
  <si>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</si>
  <si>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</si>
  <si>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</si>
  <si>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</si>
  <si>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</si>
  <si>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</si>
  <si>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</si>
  <si>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</si>
  <si>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</si>
  <si>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</si>
  <si>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</si>
  <si>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</si>
  <si>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</si>
  <si>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</si>
  <si>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</si>
  <si>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</si>
  <si>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</si>
  <si>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</si>
  <si>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</si>
  <si>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</si>
  <si>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</si>
  <si>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</si>
  <si>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</si>
  <si>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</si>
  <si>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</si>
  <si>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</si>
  <si>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</si>
  <si>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</si>
  <si>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</si>
  <si>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</si>
  <si>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</si>
  <si>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</si>
  <si>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</si>
  <si>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</si>
  <si>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</si>
  <si>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</si>
  <si>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</si>
  <si>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</si>
  <si>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</si>
  <si>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</si>
  <si>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</si>
  <si>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</si>
  <si>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</si>
  <si>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</si>
  <si>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</si>
  <si>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</si>
  <si>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</si>
  <si>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</si>
  <si>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</si>
  <si>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</si>
  <si>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</si>
  <si>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</si>
  <si>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</si>
  <si>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</si>
  <si>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</si>
  <si>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</si>
  <si>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</si>
  <si>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</si>
  <si>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</si>
  <si>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</si>
  <si>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</si>
  <si>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</si>
  <si>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</si>
  <si>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</si>
  <si>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</si>
  <si>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</si>
  <si>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</si>
  <si>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</si>
  <si>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</si>
  <si>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</si>
  <si>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</si>
  <si>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</si>
  <si>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</si>
  <si>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</si>
  <si>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</si>
  <si>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</si>
  <si>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</si>
  <si>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</si>
  <si>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</si>
  <si>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</si>
  <si>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</si>
  <si>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</si>
  <si>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</si>
  <si>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</si>
  <si>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</si>
  <si>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</si>
  <si>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</si>
  <si>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</si>
  <si>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</si>
  <si>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</si>
  <si>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</si>
  <si>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</si>
  <si>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</si>
  <si>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</si>
  <si>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</si>
  <si>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</si>
  <si>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</si>
  <si>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</si>
  <si>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</si>
  <si>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</si>
  <si>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</si>
  <si>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</si>
  <si>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</si>
  <si>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</si>
  <si>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</si>
  <si>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</si>
  <si>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</si>
  <si>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</si>
  <si>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</si>
  <si>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</si>
  <si>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</si>
  <si>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</si>
  <si>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</si>
  <si>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</si>
  <si>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</si>
  <si>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</si>
  <si>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</si>
  <si>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</si>
  <si>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</si>
  <si>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</si>
  <si>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</si>
  <si>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</si>
  <si>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</si>
  <si>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</si>
  <si>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</si>
  <si>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</si>
  <si>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</si>
  <si>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</si>
  <si>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</si>
  <si>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</si>
  <si>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</si>
  <si>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</si>
  <si>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</si>
  <si>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</si>
  <si>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</si>
  <si>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</si>
  <si>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</si>
  <si>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</si>
  <si>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</si>
  <si>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</si>
  <si>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</si>
  <si>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</si>
  <si>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</si>
  <si>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</si>
  <si>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</si>
  <si>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</si>
  <si>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</si>
  <si>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</si>
  <si>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</si>
  <si>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</si>
  <si>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</si>
  <si>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</si>
  <si>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</si>
  <si>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</si>
  <si>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</si>
  <si>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</si>
  <si>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</si>
  <si>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</si>
  <si>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</si>
  <si>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</si>
  <si>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</si>
  <si>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</si>
  <si>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</si>
  <si>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</si>
  <si>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</si>
  <si>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</si>
  <si>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</si>
  <si>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</si>
  <si>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</si>
  <si>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</si>
  <si>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</si>
  <si>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</si>
  <si>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</si>
  <si>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</si>
  <si>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</si>
  <si>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</si>
  <si>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</si>
  <si>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</si>
  <si>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</si>
  <si>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</si>
  <si>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</si>
  <si>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</si>
  <si>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</si>
  <si>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</si>
  <si>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</si>
  <si>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</si>
  <si>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</si>
  <si>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</si>
  <si>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</si>
  <si>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</si>
  <si>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</si>
  <si>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</si>
  <si>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</si>
  <si>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</si>
  <si>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</si>
  <si>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</si>
  <si>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</si>
  <si>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</si>
  <si>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</si>
  <si>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</si>
  <si>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</si>
  <si>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</si>
  <si>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</si>
  <si>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</si>
  <si>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</si>
  <si>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</si>
  <si>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</si>
  <si>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</si>
  <si>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</si>
  <si>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</si>
  <si>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</si>
  <si>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</si>
  <si>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</si>
  <si>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</si>
  <si>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</si>
  <si>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</si>
  <si>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</si>
  <si>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</si>
  <si>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</si>
  <si>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</si>
  <si>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</si>
  <si>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</si>
  <si>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</si>
  <si>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</si>
  <si>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</si>
  <si>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</si>
  <si>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</si>
  <si>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</si>
  <si>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</si>
  <si>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</si>
  <si>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</si>
  <si>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</si>
  <si>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</si>
  <si>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</si>
  <si>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</si>
  <si>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</si>
  <si>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</si>
  <si>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</si>
  <si>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</si>
  <si>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</si>
  <si>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</si>
  <si>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</si>
  <si>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</si>
  <si>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</si>
  <si>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</si>
  <si>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</si>
  <si>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</si>
  <si>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</si>
  <si>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</si>
  <si>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</si>
  <si>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</si>
  <si>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</si>
  <si>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</si>
  <si>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</si>
  <si>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</si>
  <si>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</si>
  <si>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</si>
  <si>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</si>
  <si>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</si>
  <si>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</si>
  <si>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</si>
  <si>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</si>
  <si>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</si>
  <si>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</si>
  <si>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</si>
  <si>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</si>
  <si>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</si>
  <si>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</si>
  <si>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</si>
  <si>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</si>
  <si>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</si>
  <si>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</si>
  <si>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</si>
  <si>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</si>
  <si>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</si>
  <si>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</si>
  <si>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</si>
  <si>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</si>
  <si>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</si>
  <si>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</si>
  <si>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</si>
  <si>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</si>
  <si>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</si>
  <si>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</si>
  <si>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</si>
  <si>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</si>
  <si>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</si>
  <si>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</si>
  <si>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</si>
  <si>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</si>
  <si>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</si>
  <si>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</si>
  <si>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</si>
  <si>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</si>
  <si>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</si>
  <si>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</si>
  <si>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</si>
  <si>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</si>
  <si>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</si>
  <si>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</si>
  <si>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</si>
  <si>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</si>
  <si>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</si>
  <si>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</si>
  <si>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</si>
  <si>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</si>
  <si>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</si>
  <si>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</si>
  <si>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</si>
  <si>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</si>
  <si>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</si>
  <si>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</si>
  <si>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</si>
  <si>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</si>
  <si>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</si>
  <si>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</si>
  <si>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</si>
  <si>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</si>
  <si>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</si>
  <si>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</si>
  <si>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</si>
  <si>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</si>
  <si>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</si>
  <si>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</si>
  <si>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</si>
  <si>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</si>
  <si>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</si>
  <si>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</si>
  <si>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</si>
  <si>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</si>
  <si>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</si>
  <si>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</si>
  <si>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</si>
  <si>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</si>
  <si>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</si>
  <si>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</si>
  <si>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</si>
  <si>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</si>
  <si>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</si>
  <si>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</si>
  <si>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</si>
  <si>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</si>
  <si>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</si>
  <si>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</si>
  <si>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</si>
  <si>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</si>
  <si>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</si>
  <si>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</si>
  <si>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</si>
  <si>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</si>
  <si>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</si>
  <si>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</si>
  <si>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</si>
  <si>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</si>
  <si>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</si>
  <si>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</si>
  <si>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</si>
  <si>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</si>
  <si>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</si>
  <si>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</si>
  <si>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</si>
  <si>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</si>
  <si>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</si>
  <si>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</si>
  <si>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</si>
  <si>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</si>
  <si>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</si>
  <si>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</si>
  <si>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</si>
  <si>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</si>
  <si>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</si>
  <si>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</si>
  <si>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</si>
  <si>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</si>
  <si>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</si>
  <si>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</si>
  <si>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</si>
  <si>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</si>
  <si>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</si>
  <si>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</si>
  <si>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</si>
  <si>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</si>
  <si>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</si>
  <si>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</si>
  <si>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</si>
  <si>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</si>
  <si>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</si>
  <si>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</si>
  <si>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</si>
  <si>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</si>
  <si>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</si>
  <si>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</si>
  <si>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</si>
  <si>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</si>
  <si>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</si>
  <si>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</si>
  <si>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</si>
  <si>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</si>
  <si>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</si>
  <si>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</si>
  <si>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</si>
  <si>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</si>
  <si>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</si>
  <si>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</si>
  <si>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</si>
  <si>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</si>
  <si>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</si>
  <si>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</si>
  <si>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</si>
  <si>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</si>
  <si>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</si>
  <si>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</si>
  <si>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</si>
  <si>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</si>
  <si>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</si>
  <si>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</si>
  <si>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</si>
  <si>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</si>
  <si>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</si>
  <si>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</si>
  <si>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</si>
  <si>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</si>
  <si>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</si>
  <si>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</si>
  <si>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</si>
  <si>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</si>
  <si>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</si>
  <si>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</si>
  <si>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</si>
  <si>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</si>
  <si>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</si>
  <si>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</si>
  <si>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</si>
  <si>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</si>
  <si>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</si>
  <si>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</si>
  <si>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</si>
  <si>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</si>
  <si>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</si>
  <si>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</si>
  <si>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</si>
  <si>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</si>
  <si>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</si>
  <si>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</si>
  <si>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</si>
  <si>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</si>
  <si>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</si>
  <si>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</si>
  <si>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</si>
  <si>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</si>
  <si>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</si>
  <si>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</si>
  <si>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</si>
  <si>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</si>
  <si>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</si>
  <si>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</si>
  <si>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</si>
  <si>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</si>
  <si>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</si>
  <si>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</si>
  <si>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</si>
  <si>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</si>
  <si>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</si>
  <si>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</si>
  <si>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</si>
  <si>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</si>
  <si>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</si>
  <si>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</si>
  <si>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</si>
  <si>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</si>
  <si>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</si>
  <si>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</si>
  <si>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</si>
  <si>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</si>
  <si>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</si>
  <si>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</si>
  <si>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</si>
  <si>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</si>
  <si>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</si>
  <si>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</si>
  <si>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</si>
  <si>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</si>
  <si>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</si>
  <si>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</si>
  <si>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</si>
  <si>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</si>
  <si>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</si>
  <si>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</si>
  <si>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</si>
  <si>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</si>
  <si>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</si>
  <si>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</si>
  <si>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</si>
  <si>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</si>
  <si>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</si>
  <si>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</si>
  <si>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</si>
  <si>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</si>
  <si>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</si>
  <si>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</si>
  <si>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</si>
  <si>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</si>
  <si>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</si>
  <si>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</si>
  <si>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</si>
  <si>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</si>
  <si>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</si>
  <si>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</si>
  <si>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</si>
  <si>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</si>
  <si>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</si>
  <si>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</si>
  <si>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</si>
  <si>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</si>
  <si>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</si>
  <si>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</si>
  <si>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</si>
  <si>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</si>
  <si>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</si>
  <si>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</si>
  <si>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</si>
  <si>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</si>
  <si>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</si>
  <si>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</si>
  <si>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</si>
  <si>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</si>
  <si>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</si>
  <si>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</si>
  <si>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</si>
  <si>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</si>
  <si>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</si>
  <si>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</si>
  <si>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</si>
  <si>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</si>
  <si>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</si>
  <si>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</si>
  <si>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</si>
  <si>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</si>
  <si>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</si>
  <si>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</si>
  <si>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</si>
  <si>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</si>
  <si>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</si>
  <si>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</si>
  <si>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</si>
  <si>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</si>
  <si>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</si>
  <si>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</si>
  <si>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</si>
  <si>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</si>
  <si>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</si>
  <si>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</si>
  <si>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</si>
  <si>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</si>
  <si>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</si>
  <si>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</si>
  <si>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</si>
  <si>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</si>
  <si>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</si>
  <si>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</si>
  <si>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</si>
  <si>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</si>
  <si>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</si>
  <si>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</si>
  <si>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</si>
  <si>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</si>
  <si>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</si>
  <si>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</si>
  <si>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</si>
  <si>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</si>
  <si>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</si>
  <si>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</si>
  <si>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</si>
  <si>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</si>
  <si>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</si>
  <si>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</si>
  <si>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</si>
  <si>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</si>
  <si>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</si>
  <si>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</si>
  <si>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</si>
  <si>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</si>
  <si>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</si>
  <si>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</si>
  <si>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</si>
  <si>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</si>
  <si>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</si>
  <si>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</si>
  <si>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</si>
  <si>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</si>
  <si>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</si>
  <si>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</si>
  <si>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</si>
  <si>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</si>
  <si>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</si>
  <si>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</si>
  <si>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</si>
  <si>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</si>
  <si>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</si>
  <si>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</si>
  <si>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</si>
  <si>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</si>
  <si>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</si>
  <si>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</si>
  <si>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</si>
  <si>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</si>
  <si>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</si>
  <si>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</si>
  <si>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</si>
  <si>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</si>
  <si>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</si>
  <si>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</si>
  <si>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</si>
  <si>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</si>
  <si>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</si>
  <si>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</si>
  <si>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</si>
  <si>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</si>
  <si>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</si>
  <si>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</si>
  <si>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</si>
  <si>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</si>
  <si>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</si>
  <si>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</si>
  <si>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</si>
  <si>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</si>
  <si>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</si>
  <si>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</si>
  <si>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</si>
  <si>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</si>
  <si>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</si>
  <si>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</si>
  <si>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</si>
  <si>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</si>
  <si>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</si>
  <si>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</si>
  <si>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</si>
  <si>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</si>
  <si>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</si>
  <si>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</si>
  <si>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</si>
  <si>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</si>
  <si>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</si>
  <si>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</si>
  <si>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</si>
  <si>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</si>
  <si>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</si>
  <si>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</si>
  <si>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</si>
  <si>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</si>
  <si>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</si>
  <si>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</si>
  <si>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</si>
  <si>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</si>
  <si>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</si>
  <si>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</si>
  <si>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</si>
  <si>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</si>
  <si>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</si>
  <si>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</si>
  <si>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</si>
  <si>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</si>
  <si>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</si>
  <si>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</si>
  <si>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</si>
  <si>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</si>
  <si>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</si>
  <si>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</si>
  <si>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</si>
  <si>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</si>
  <si>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</si>
  <si>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3" type="noConversion"/>
  </si>
  <si>
    <r>
      <t>R2</t>
    </r>
    <r>
      <rPr>
        <sz val="11"/>
        <rFont val="宋体"/>
        <family val="3"/>
        <charset val="134"/>
      </rPr>
      <t>二类居住用地</t>
    </r>
    <phoneticPr fontId="26" type="noConversion"/>
  </si>
  <si>
    <t>R2二类居住用地、F3其他类多功能用地、A33基础教育用地</t>
    <phoneticPr fontId="233"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</si>
  <si>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</si>
  <si>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3"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</si>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</sst>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2" xfId="0" applyFont="1" applyBorder="1" applyAlignment="1" applyProtection="1">
      <alignment horizontal="center" vertical="center" wrapText="1"/>
      <protection locked="0"/>
    </xf>
    <xf numFmtId="0" fontId="153" fillId="0" borderId="2" xfId="0" applyFont="1" applyBorder="1" applyAlignment="1" applyProtection="1">
      <alignment horizontal="center" vertical="center" wrapText="1"/>
      <protection locked="0"/>
    </xf>
    <xf numFmtId="0" fontId="153" fillId="0" borderId="21" xfId="0" applyFont="1" applyBorder="1" applyAlignment="1" applyProtection="1">
      <alignment horizontal="center" vertical="center" wrapText="1"/>
      <protection locked="0"/>
    </xf>
    <xf numFmtId="0" fontId="277" fillId="2" borderId="21" xfId="0" applyFont="1" applyFill="1" applyBorder="1" applyAlignment="1" applyProtection="1">
      <alignment horizontal="center" vertical="center" wrapText="1"/>
      <protection locked="0"/>
    </xf>
    <xf numFmtId="177" fontId="153" fillId="5" borderId="2" xfId="0" applyNumberFormat="1" applyFont="1" applyFill="1" applyBorder="1" applyAlignment="1" applyProtection="1">
      <alignment horizontal="center" vertical="center" wrapText="1"/>
    </xf>
    <xf numFmtId="177" fontId="153" fillId="0" borderId="21" xfId="0" applyNumberFormat="1" applyFont="1" applyFill="1" applyBorder="1" applyAlignment="1" applyProtection="1">
      <alignment horizontal="center" vertical="center" wrapText="1"/>
      <protection locked="0"/>
    </xf>
    <xf numFmtId="177" fontId="153" fillId="5" borderId="21" xfId="0" applyNumberFormat="1" applyFont="1" applyFill="1" applyBorder="1" applyAlignment="1" applyProtection="1">
      <alignment horizontal="center" vertical="center" wrapText="1"/>
    </xf>
    <xf numFmtId="177" fontId="153" fillId="5" borderId="10" xfId="0" applyNumberFormat="1" applyFont="1" applyFill="1" applyBorder="1" applyAlignment="1" applyProtection="1">
      <alignment horizontal="center" vertical="center" wrapText="1"/>
    </xf>
    <xf numFmtId="177" fontId="277" fillId="0" borderId="2" xfId="0" applyNumberFormat="1" applyFont="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177" fontId="153" fillId="0" borderId="2" xfId="0" applyNumberFormat="1" applyFont="1" applyBorder="1" applyAlignment="1" applyProtection="1">
      <alignment horizontal="center" vertical="center" wrapText="1"/>
      <protection locked="0"/>
    </xf>
    <xf numFmtId="177" fontId="277" fillId="0" borderId="2" xfId="0" applyNumberFormat="1" applyFont="1" applyBorder="1" applyAlignment="1" applyProtection="1">
      <alignment horizontal="center" vertical="center" wrapText="1"/>
      <protection locked="0"/>
    </xf>
    <xf numFmtId="177" fontId="153" fillId="0" borderId="21" xfId="0" applyNumberFormat="1" applyFont="1" applyBorder="1" applyAlignment="1" applyProtection="1">
      <alignment horizontal="center" vertical="center" wrapText="1"/>
      <protection locked="0"/>
    </xf>
    <xf numFmtId="0" fontId="153" fillId="0" borderId="17" xfId="0" applyFont="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xf>
    <xf numFmtId="0" fontId="153" fillId="5" borderId="9" xfId="0" applyFont="1" applyFill="1" applyBorder="1" applyAlignment="1" applyProtection="1">
      <alignment horizontal="center" vertical="center" wrapText="1"/>
    </xf>
    <xf numFmtId="177" fontId="153" fillId="5" borderId="12" xfId="0" applyNumberFormat="1" applyFont="1" applyFill="1" applyBorder="1" applyAlignment="1" applyProtection="1">
      <alignment horizontal="center" vertical="center" wrapText="1"/>
    </xf>
    <xf numFmtId="0" fontId="153" fillId="0" borderId="0" xfId="0" applyFont="1" applyAlignment="1" applyProtection="1">
      <alignment horizontal="center" vertical="center" wrapText="1"/>
      <protection locked="0"/>
    </xf>
    <xf numFmtId="0" fontId="202" fillId="0" borderId="2" xfId="1"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266" fillId="0" borderId="43" xfId="0" applyFont="1" applyFill="1" applyBorder="1" applyAlignment="1" applyProtection="1">
      <alignment horizontal="center" vertical="center" wrapText="1"/>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2658</v>
      </c>
      <c r="B1" s="2915" t="s">
        <v>2755</v>
      </c>
    </row>
    <row r="2" spans="1:55" s="2919" customFormat="1" ht="15" thickTop="1">
      <c r="A2" s="2917" t="s">
        <v>2662</v>
      </c>
      <c r="B2" s="2918" t="str">
        <f>'预评函-封皮'!B37</f>
        <v>北京市大兴区魏善庄镇2016年世界月季大会周边配套（国家新媒体产业基地B组团）土地一级开发项目AA-43（DX07-0102-6011）地块R2二类居住用地出让国有建设用地使用权抵押价格预评估</v>
      </c>
      <c r="AX2" s="2920"/>
      <c r="AZ2" s="2920"/>
      <c r="BA2" s="2921"/>
      <c r="BC2" s="2921"/>
    </row>
    <row r="3" spans="1:55" s="2922" customFormat="1">
      <c r="A3" s="2901" t="s">
        <v>2663</v>
      </c>
      <c r="B3" s="2904" t="str">
        <f>'预评函-封皮'!B40</f>
        <v>北京碧和信泰置业有限公司</v>
      </c>
    </row>
    <row r="4" spans="1:55" s="2903" customFormat="1">
      <c r="A4" s="2901" t="s">
        <v>2664</v>
      </c>
      <c r="B4" s="2902" t="str">
        <f>'预评函-封皮'!B46</f>
        <v>欧红伟、崔锴</v>
      </c>
      <c r="N4" s="2903" t="str">
        <f>'预评函-1'!A28</f>
        <v/>
      </c>
    </row>
    <row r="5" spans="1:55" s="2916" customFormat="1" ht="15" thickBot="1">
      <c r="A5" s="2923" t="s">
        <v>2665</v>
      </c>
      <c r="B5" s="2924" t="str">
        <f>'预评函-封皮'!B49</f>
        <v>康正预评字2018-1-0308号</v>
      </c>
    </row>
    <row r="6" spans="1:55" s="2925" customFormat="1" ht="15" thickTop="1">
      <c r="A6" s="2917" t="s">
        <v>2707</v>
      </c>
      <c r="B6" s="2918"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926"/>
    </row>
    <row r="7" spans="1:55" s="2900" customFormat="1">
      <c r="A7" s="2901" t="s">
        <v>2659</v>
      </c>
      <c r="B7" s="2902"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88475.28平方米。根据《建设工程规划许可证》[]、《出让合同》[]，估价对象规划建筑面积为279349.85平方米。</v>
      </c>
    </row>
    <row r="8" spans="1:55" s="2900" customFormat="1">
      <c r="A8" s="2901" t="s">
        <v>2660</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2710</v>
      </c>
      <c r="B9" s="2902"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2661</v>
      </c>
      <c r="B10" s="2902" t="str">
        <f>'预评函-1'!A11</f>
        <v>2018年5月8日（评估专业人员勘察现场之日）</v>
      </c>
    </row>
    <row r="11" spans="1:55" s="2900" customFormat="1">
      <c r="A11" s="2901" t="s">
        <v>2667</v>
      </c>
      <c r="B11" s="2902" t="str">
        <f>'预评函-1'!A14</f>
        <v>根据《国有土地使用证》[]，本次评估估价对象证载（地类）用途为城镇住宅用地。</v>
      </c>
    </row>
    <row r="12" spans="1:55" s="2900" customFormat="1">
      <c r="A12" s="2901" t="s">
        <v>2668</v>
      </c>
      <c r="B12" s="2902" t="str">
        <f>'预评函-1'!A15</f>
        <v>本次评估设定用途即为证载用途。</v>
      </c>
    </row>
    <row r="13" spans="1:55" s="2900" customFormat="1">
      <c r="A13" s="2901" t="s">
        <v>2669</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2670</v>
      </c>
      <c r="B14" s="2902" t="str">
        <f>'预评函-1'!A18</f>
        <v>本次评估设定土地开发程度为红线外市政基础设施达“七通”、宗地红线内场地平整。</v>
      </c>
    </row>
    <row r="15" spans="1:55" s="2900" customFormat="1">
      <c r="A15" s="2901" t="s">
        <v>2666</v>
      </c>
      <c r="B15" s="2902" t="str">
        <f>'预评函-1'!A20</f>
        <v>根据《国有土地使用证》[]，估价对象（分摊）出让国有建设用地使用权面积为88475.28平方米。根据《建设工程规划许可证》[]、《出让合同》[]，估价对象规划建筑面积为279349.85平方米。</v>
      </c>
    </row>
    <row r="16" spans="1:55" s="2900" customFormat="1">
      <c r="A16" s="2901" t="s">
        <v>2671</v>
      </c>
      <c r="B16" s="2902"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900" customFormat="1">
      <c r="A17" s="2901" t="s">
        <v>2672</v>
      </c>
      <c r="B17" s="2902" t="str">
        <f>'预评函-1'!A23</f>
        <v>本次评估设定估价对象剩余土地使用年限为。</v>
      </c>
    </row>
    <row r="18" spans="1:48" s="2900" customFormat="1">
      <c r="A18" s="2901" t="s">
        <v>2673</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900" customFormat="1">
      <c r="A19" s="2901" t="s">
        <v>2674</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2675</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2676</v>
      </c>
      <c r="B21" s="2924" t="str">
        <f>'预评函-1'!A28</f>
        <v/>
      </c>
    </row>
    <row r="22" spans="1:48" ht="15" thickTop="1">
      <c r="A22" s="2912" t="s">
        <v>2677</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2678</v>
      </c>
      <c r="B23" s="2902" t="str">
        <f>'预评函-2'!K2</f>
        <v>估价期日：2018年5月8日</v>
      </c>
    </row>
    <row r="24" spans="1:48">
      <c r="A24" s="2901" t="s">
        <v>2679</v>
      </c>
      <c r="B24" s="2902" t="str">
        <f>'预评函-2'!R2</f>
        <v>估价期日的国有建设用地使用权性质：出让</v>
      </c>
    </row>
    <row r="25" spans="1:48">
      <c r="A25" s="2901" t="s">
        <v>2735</v>
      </c>
      <c r="B25" s="2902" t="str">
        <f>'预评函-2'!A3</f>
        <v>估价期日土地使用者</v>
      </c>
    </row>
    <row r="26" spans="1:48">
      <c r="A26" s="2901" t="s">
        <v>2711</v>
      </c>
      <c r="B26" s="2902" t="str">
        <f>'预评函-2'!A5</f>
        <v>中信开发</v>
      </c>
    </row>
    <row r="27" spans="1:48">
      <c r="A27" s="2901" t="s">
        <v>2736</v>
      </c>
      <c r="B27" s="2902" t="str">
        <f>'预评函-2'!B3</f>
        <v>宗地编号/不动产单元号</v>
      </c>
    </row>
    <row r="28" spans="1:48">
      <c r="A28" s="2901" t="s">
        <v>2712</v>
      </c>
      <c r="B28" s="2902" t="str">
        <f>'预评函-2'!B5</f>
        <v>11111111111</v>
      </c>
    </row>
    <row r="29" spans="1:48">
      <c r="A29" s="2901" t="s">
        <v>2738</v>
      </c>
      <c r="B29" s="2902">
        <f>'预评函-2'!C5</f>
        <v>22</v>
      </c>
    </row>
    <row r="30" spans="1:48">
      <c r="A30" s="2901" t="s">
        <v>2739</v>
      </c>
      <c r="B30" s="2902" t="str">
        <f>'预评函-2'!D3</f>
        <v>土地使用证编号/不动产权证书编号</v>
      </c>
    </row>
    <row r="31" spans="1:48">
      <c r="A31" s="2901" t="s">
        <v>2713</v>
      </c>
      <c r="B31" s="2902" t="str">
        <f>'预评函-2'!D5</f>
        <v>京国土字第111号</v>
      </c>
    </row>
    <row r="32" spans="1:48">
      <c r="A32" s="2901" t="s">
        <v>2714</v>
      </c>
      <c r="B32" s="2902" t="str">
        <f>'预评函-2'!E5</f>
        <v>城镇住宅用地</v>
      </c>
      <c r="AV32" s="2906"/>
    </row>
    <row r="33" spans="1:2">
      <c r="A33" s="2901" t="s">
        <v>2715</v>
      </c>
      <c r="B33" s="2902">
        <f>'预评函-2'!F5</f>
        <v>258</v>
      </c>
    </row>
    <row r="34" spans="1:2">
      <c r="A34" s="2901" t="s">
        <v>2716</v>
      </c>
      <c r="B34" s="2902">
        <f>'预评函-2'!G5</f>
        <v>0</v>
      </c>
    </row>
    <row r="35" spans="1:2">
      <c r="A35" s="2901" t="s">
        <v>2717</v>
      </c>
      <c r="B35" s="2902">
        <f>'预评函-2'!H5</f>
        <v>1.5</v>
      </c>
    </row>
    <row r="36" spans="1:2">
      <c r="A36" s="2901" t="s">
        <v>2718</v>
      </c>
      <c r="B36" s="2902">
        <f>'预评函-2'!I5</f>
        <v>1.5</v>
      </c>
    </row>
    <row r="37" spans="1:2">
      <c r="A37" s="2901" t="s">
        <v>2719</v>
      </c>
      <c r="B37" s="2902">
        <f>'预评函-2'!J5</f>
        <v>1.5</v>
      </c>
    </row>
    <row r="38" spans="1:2">
      <c r="A38" s="2901" t="s">
        <v>2720</v>
      </c>
      <c r="B38" s="2902" t="str">
        <f>'预评函-2'!K5</f>
        <v>红线外七通、宗地红线内场地平整</v>
      </c>
    </row>
    <row r="39" spans="1:2">
      <c r="A39" s="2901" t="s">
        <v>2721</v>
      </c>
      <c r="B39" s="2902" t="str">
        <f>'预评函-2'!L5</f>
        <v>红线外七通、宗地红线内场地</v>
      </c>
    </row>
    <row r="40" spans="1:2">
      <c r="A40" s="2901" t="s">
        <v>2740</v>
      </c>
      <c r="B40" s="2902" t="str">
        <f>'预评函-2'!M3</f>
        <v>（剩余）土地使用年限/年</v>
      </c>
    </row>
    <row r="41" spans="1:2">
      <c r="A41" s="2901" t="s">
        <v>2722</v>
      </c>
      <c r="B41" s="2902">
        <f>'预评函-2'!M5</f>
        <v>0</v>
      </c>
    </row>
    <row r="42" spans="1:2">
      <c r="A42" s="2901" t="s">
        <v>2741</v>
      </c>
      <c r="B42" s="2902" t="str">
        <f>'预评函-2'!N3</f>
        <v>（分摊）出让国有建设用地使用权面积/㎡</v>
      </c>
    </row>
    <row r="43" spans="1:2">
      <c r="A43" s="2901" t="s">
        <v>2723</v>
      </c>
      <c r="B43" s="2902">
        <f>'预评函-2'!N5</f>
        <v>88475.28</v>
      </c>
    </row>
    <row r="44" spans="1:2">
      <c r="A44" s="2901" t="s">
        <v>2742</v>
      </c>
      <c r="B44" s="2902" t="str">
        <f>'预评函-2'!O3</f>
        <v>规划建筑面积/㎡</v>
      </c>
    </row>
    <row r="45" spans="1:2">
      <c r="A45" s="2901" t="s">
        <v>2724</v>
      </c>
      <c r="B45" s="2902">
        <f>'预评函-2'!O5</f>
        <v>279349.84999999998</v>
      </c>
    </row>
    <row r="46" spans="1:2">
      <c r="A46" s="2901" t="s">
        <v>2725</v>
      </c>
      <c r="B46" s="2902">
        <f ca="1">'预评函-2'!P5</f>
        <v>43572</v>
      </c>
    </row>
    <row r="47" spans="1:2">
      <c r="A47" s="2901" t="s">
        <v>2726</v>
      </c>
      <c r="B47" s="2902">
        <f ca="1">'预评函-2'!Q5</f>
        <v>13800</v>
      </c>
    </row>
    <row r="48" spans="1:2">
      <c r="A48" s="2901" t="s">
        <v>2727</v>
      </c>
      <c r="B48" s="2902">
        <f ca="1">'预评函-2'!R5</f>
        <v>385507</v>
      </c>
    </row>
    <row r="49" spans="1:2">
      <c r="A49" s="2901" t="s">
        <v>2743</v>
      </c>
      <c r="B49" s="2902" t="str">
        <f>'预评函-2'!A6</f>
        <v>抵押价格</v>
      </c>
    </row>
    <row r="50" spans="1:2">
      <c r="A50" s="2901" t="s">
        <v>2728</v>
      </c>
      <c r="B50" s="2902">
        <f ca="1">'预评函-2'!R6</f>
        <v>385377</v>
      </c>
    </row>
    <row r="51" spans="1:2">
      <c r="A51" s="2901" t="s">
        <v>2744</v>
      </c>
      <c r="B51" s="2902" t="str">
        <f>'预评函-2'!A7</f>
        <v>——</v>
      </c>
    </row>
    <row r="52" spans="1:2">
      <c r="A52" s="2901" t="s">
        <v>2729</v>
      </c>
      <c r="B52" s="2902" t="str">
        <f>'预评函-2'!R7</f>
        <v>——</v>
      </c>
    </row>
    <row r="53" spans="1:2">
      <c r="A53" s="2901" t="s">
        <v>2745</v>
      </c>
      <c r="B53" s="2902" t="str">
        <f>'预评函-2'!A8</f>
        <v>——</v>
      </c>
    </row>
    <row r="54" spans="1:2" s="2916" customFormat="1" ht="15" thickBot="1">
      <c r="A54" s="2923" t="s">
        <v>2730</v>
      </c>
      <c r="B54" s="2924" t="str">
        <f>'预评函-2'!R8</f>
        <v>——</v>
      </c>
    </row>
    <row r="55" spans="1:2" ht="15" thickTop="1">
      <c r="A55" s="2912" t="s">
        <v>2680</v>
      </c>
      <c r="B55" s="2913" t="str">
        <f>'预评函-3'!A2</f>
        <v>1.权利限制：根据估价对象《不动产权证书》原件、《国有土地使用权》复印件，截至估价期日，估价对象抵押权未见登记。未设定租赁等其他他项权利。</v>
      </c>
    </row>
    <row r="56" spans="1:2">
      <c r="A56" s="2901" t="s">
        <v>2681</v>
      </c>
      <c r="B56" s="2902" t="str">
        <f>'预评函-3'!A3</f>
        <v>2.基础设施条件：估价对象实际开发程度为红线外七通、宗地红线内场地平整；本次评估设定开发程度为红线外七通、宗地红线内场地。</v>
      </c>
    </row>
    <row r="57" spans="1:2">
      <c r="A57" s="2901" t="s">
        <v>2682</v>
      </c>
      <c r="B57" s="2902" t="str">
        <f>'预评函-3'!A4</f>
        <v>3.估价规划限制条件：详见《建设工程规划许可证》[]、《出让合同》[]。</v>
      </c>
    </row>
    <row r="58" spans="1:2" s="2916" customFormat="1" ht="15" thickBot="1">
      <c r="A58" s="2923" t="s">
        <v>2731</v>
      </c>
      <c r="B58" s="2924" t="str">
        <f>'预评函-3'!A5</f>
        <v>4.影响价格的其他限定条件：无。</v>
      </c>
    </row>
    <row r="59" spans="1:2" ht="15" thickTop="1">
      <c r="A59" s="2912" t="s">
        <v>2683</v>
      </c>
      <c r="B59" s="2913" t="str">
        <f>'预评函-3'!A8</f>
        <v>2.本《评估意见函》仅供金融机构进行内部审核使用，不做其他目的之用。</v>
      </c>
    </row>
    <row r="60" spans="1:2">
      <c r="A60" s="2901" t="s">
        <v>2684</v>
      </c>
      <c r="B60" s="2902" t="str">
        <f>'预评函-3'!A9</f>
        <v>3.抵押双方在办理抵押登记手续时，应使用本公司出具的正式《土地估价报告》，特提请报告使用者注意。</v>
      </c>
    </row>
    <row r="61" spans="1:2">
      <c r="A61" s="2901" t="s">
        <v>2686</v>
      </c>
      <c r="B61" s="2902" t="str">
        <f>'预评函-3'!A10</f>
        <v>4.估价师所知悉的法定优先受偿款情况为：</v>
      </c>
    </row>
    <row r="62" spans="1:2">
      <c r="A62" s="2901" t="s">
        <v>2685</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2687</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2688</v>
      </c>
      <c r="B64" s="2907" t="str">
        <f>'预评函-3'!A13</f>
        <v>（3）。</v>
      </c>
    </row>
    <row r="65" spans="1:2">
      <c r="A65" s="2901" t="s">
        <v>2689</v>
      </c>
      <c r="B65" s="2908" t="str">
        <f>'预评函-3'!A14</f>
        <v>综上，本次评估估价师知悉的法定优先受偿款为人民币130万元整。</v>
      </c>
    </row>
    <row r="66" spans="1:2">
      <c r="A66" s="2901" t="s">
        <v>2690</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2691</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2694</v>
      </c>
      <c r="B68" s="2927">
        <f>'预评函-3'!D30</f>
        <v>42558</v>
      </c>
    </row>
    <row r="69" spans="1:2" ht="15" thickTop="1">
      <c r="A69" s="2912" t="s">
        <v>2692</v>
      </c>
      <c r="B69" s="2913" t="str">
        <f>'预评函-3'!A20</f>
        <v>欧红伟</v>
      </c>
    </row>
    <row r="70" spans="1:2">
      <c r="A70" s="2901" t="s">
        <v>2692</v>
      </c>
      <c r="B70" s="2908">
        <f ca="1">'预评函-3'!B20</f>
        <v>2000110082</v>
      </c>
    </row>
    <row r="71" spans="1:2">
      <c r="A71" s="2901" t="s">
        <v>2693</v>
      </c>
      <c r="B71" s="2902" t="str">
        <f>'预评函-3'!A21</f>
        <v>崔锴</v>
      </c>
    </row>
    <row r="72" spans="1:2" s="2916" customFormat="1" ht="15" thickBot="1">
      <c r="A72" s="2923" t="s">
        <v>2693</v>
      </c>
      <c r="B72" s="2929">
        <f ca="1">'预评函-3'!B21</f>
        <v>2010110070</v>
      </c>
    </row>
    <row r="73" spans="1:2" ht="15" thickTop="1">
      <c r="A73" s="2912" t="s">
        <v>2752</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2753</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2754</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2789</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1" sqref="D2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16"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17"/>
      <c r="D1" s="3217"/>
      <c r="E1" s="3217"/>
      <c r="F1" s="3217"/>
      <c r="G1" s="3217"/>
      <c r="H1" s="3217"/>
      <c r="I1" s="3218"/>
      <c r="J1" s="1692"/>
      <c r="K1" s="2478"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721"/>
      <c r="M1" s="1721"/>
      <c r="N1" s="1692"/>
      <c r="O1" s="1693"/>
      <c r="P1" s="1692"/>
      <c r="Q1" s="1692"/>
      <c r="R1" s="1692"/>
      <c r="S1" s="1692"/>
      <c r="T1" s="1692"/>
      <c r="U1" s="1692"/>
    </row>
    <row r="2" spans="1:21">
      <c r="A2" s="1658" t="s">
        <v>1940</v>
      </c>
      <c r="B2" s="1840" t="s">
        <v>2985</v>
      </c>
      <c r="D2" s="1692"/>
      <c r="E2" s="1692"/>
      <c r="F2" s="1692"/>
      <c r="G2" s="1692"/>
      <c r="H2" s="1658"/>
      <c r="I2" s="1693"/>
      <c r="J2" s="1692"/>
      <c r="K2" s="2478"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721"/>
      <c r="M2" s="1721"/>
      <c r="N2" s="1692"/>
      <c r="O2" s="1693"/>
      <c r="P2" s="1692"/>
      <c r="Q2" s="1692"/>
      <c r="R2" s="1692"/>
      <c r="S2" s="1692"/>
      <c r="T2" s="1692"/>
      <c r="U2" s="1692"/>
    </row>
    <row r="3" spans="1:21">
      <c r="A3" s="1659" t="s">
        <v>1941</v>
      </c>
      <c r="B3" s="1660">
        <v>43228</v>
      </c>
      <c r="C3" s="1661" t="s">
        <v>1997</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2986</v>
      </c>
      <c r="C4" s="1844">
        <f ca="1">SUMIF(土地估价师,B4,估价师及机构信息!E3:E24)</f>
        <v>2000110082</v>
      </c>
      <c r="D4" s="1841" t="s">
        <v>2987</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欧红伟、崔锴</v>
      </c>
      <c r="L4" s="1721"/>
      <c r="M4" s="1721"/>
      <c r="N4" s="1692"/>
      <c r="O4" s="1693"/>
      <c r="P4" s="1692"/>
      <c r="Q4" s="1692"/>
      <c r="R4" s="1692"/>
      <c r="S4" s="1692"/>
      <c r="T4" s="1692"/>
      <c r="U4" s="1692"/>
    </row>
    <row r="5" spans="1:21" ht="15" thickTop="1">
      <c r="A5" s="1663" t="s">
        <v>1943</v>
      </c>
      <c r="B5" s="1787" t="s">
        <v>2988</v>
      </c>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t="s">
        <v>2989</v>
      </c>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2709</v>
      </c>
      <c r="B7" s="1787" t="str">
        <f>B5</f>
        <v>北京碧和信泰置业有限公司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2990</v>
      </c>
      <c r="C8" s="1669"/>
      <c r="D8" s="3222" t="s">
        <v>1946</v>
      </c>
      <c r="E8" s="1842" t="s">
        <v>2991</v>
      </c>
      <c r="F8" s="1670"/>
      <c r="G8" s="1658"/>
      <c r="H8" s="1658"/>
      <c r="I8" s="1705"/>
      <c r="J8" s="1692"/>
      <c r="K8" s="1772"/>
      <c r="L8" s="1721"/>
      <c r="M8" s="1721"/>
      <c r="N8" s="1692"/>
      <c r="O8" s="1693"/>
      <c r="P8" s="1692"/>
      <c r="Q8" s="1692"/>
      <c r="R8" s="1692"/>
      <c r="S8" s="1692"/>
      <c r="T8" s="1692"/>
      <c r="U8" s="1692"/>
    </row>
    <row r="9" spans="1:21" ht="15" thickBot="1">
      <c r="A9" s="1671" t="s">
        <v>1945</v>
      </c>
      <c r="B9" s="1672" t="s">
        <v>2991</v>
      </c>
      <c r="C9" s="1673"/>
      <c r="D9" s="3223"/>
      <c r="E9" s="1672" t="s">
        <v>952</v>
      </c>
      <c r="F9" s="1745"/>
      <c r="G9" s="1740"/>
      <c r="H9" s="1740"/>
      <c r="I9" s="1741"/>
      <c r="J9" s="1692"/>
      <c r="K9" s="1772"/>
      <c r="L9" s="1721"/>
      <c r="M9" s="1721"/>
      <c r="N9" s="1692"/>
      <c r="O9" s="1693"/>
      <c r="P9" s="1692"/>
      <c r="Q9" s="1692"/>
      <c r="R9" s="1692"/>
      <c r="S9" s="1692"/>
      <c r="T9" s="1692"/>
      <c r="U9" s="1692"/>
    </row>
    <row r="10" spans="1:21" ht="15" thickTop="1">
      <c r="A10" s="1742" t="s">
        <v>2001</v>
      </c>
      <c r="B10" s="1717" t="s">
        <v>1947</v>
      </c>
      <c r="C10" s="1674"/>
      <c r="D10" s="1665"/>
      <c r="E10" s="1675" t="s">
        <v>1948</v>
      </c>
      <c r="F10" s="1676" t="s">
        <v>2992</v>
      </c>
      <c r="G10" s="1743"/>
      <c r="H10" s="1744"/>
      <c r="I10" s="1665"/>
      <c r="J10" s="1692"/>
      <c r="K10" s="1772"/>
      <c r="L10" s="1721"/>
      <c r="M10" s="1721"/>
      <c r="N10" s="1692"/>
      <c r="O10" s="1693"/>
      <c r="P10" s="1692"/>
      <c r="Q10" s="1692"/>
      <c r="R10" s="1692"/>
      <c r="S10" s="1692"/>
      <c r="T10" s="1692"/>
      <c r="U10" s="1692"/>
    </row>
    <row r="11" spans="1:21">
      <c r="A11" s="1695" t="s">
        <v>2002</v>
      </c>
      <c r="B11" s="1696" t="s">
        <v>2993</v>
      </c>
      <c r="C11" s="1677" t="str">
        <f>B5</f>
        <v>北京碧和信泰置业有限公司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19" t="s">
        <v>2994</v>
      </c>
      <c r="C12" s="3220"/>
      <c r="D12" s="3221"/>
      <c r="E12" s="1697" t="s">
        <v>2063</v>
      </c>
      <c r="F12" s="3237" t="s">
        <v>2891</v>
      </c>
      <c r="G12" s="3238"/>
      <c r="H12" s="3238"/>
      <c r="I12" s="3239"/>
      <c r="J12" s="1692"/>
      <c r="K12" s="1772"/>
      <c r="L12" s="1721"/>
      <c r="M12" s="1721"/>
      <c r="N12" s="1692"/>
      <c r="O12" s="1693"/>
      <c r="P12" s="1692"/>
      <c r="Q12" s="1692"/>
      <c r="R12" s="1692"/>
      <c r="S12" s="1692"/>
      <c r="T12" s="1692"/>
      <c r="U12" s="1692"/>
    </row>
    <row r="13" spans="1:21">
      <c r="A13" s="1685" t="s">
        <v>2061</v>
      </c>
      <c r="B13" s="3219"/>
      <c r="C13" s="3220"/>
      <c r="D13" s="3221"/>
      <c r="E13" s="1697" t="s">
        <v>2063</v>
      </c>
      <c r="F13" s="3237" t="s">
        <v>2892</v>
      </c>
      <c r="G13" s="3238"/>
      <c r="H13" s="3238"/>
      <c r="I13" s="3239"/>
      <c r="J13" s="1692"/>
      <c r="K13" s="1772"/>
      <c r="L13" s="1721"/>
      <c r="M13" s="1721"/>
      <c r="N13" s="1692"/>
      <c r="O13" s="1693"/>
      <c r="P13" s="1692"/>
      <c r="Q13" s="1692"/>
      <c r="R13" s="1692"/>
      <c r="S13" s="1692"/>
      <c r="T13" s="1692"/>
      <c r="U13" s="1692"/>
    </row>
    <row r="14" spans="1:21">
      <c r="A14" s="1659" t="s">
        <v>2064</v>
      </c>
      <c r="B14" s="1697"/>
      <c r="C14" s="1843" t="s">
        <v>2995</v>
      </c>
      <c r="D14" s="1731" t="str">
        <f>IF(C14="不一致","是否符合证载地类范围","")</f>
        <v/>
      </c>
      <c r="E14" s="1697"/>
      <c r="F14" s="1788" t="s">
        <v>2996</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2997</v>
      </c>
      <c r="C16" s="1697" t="s">
        <v>1950</v>
      </c>
      <c r="D16" s="2669" t="s">
        <v>1951</v>
      </c>
      <c r="E16" s="1720" t="s">
        <v>2998</v>
      </c>
      <c r="F16" s="1720" t="s">
        <v>1678</v>
      </c>
      <c r="G16" s="1720" t="s">
        <v>3032</v>
      </c>
      <c r="H16" s="1720" t="s">
        <v>3008</v>
      </c>
      <c r="I16" s="1684" t="s">
        <v>1956</v>
      </c>
      <c r="J16" s="1692"/>
      <c r="K16" s="2479" t="str">
        <f>IF(D17="","",D16&amp;TEXT(D17,"yyyy年m月d日;;"))</f>
        <v>住宅2087年12月17日</v>
      </c>
      <c r="L16" s="1697" t="str">
        <f>IF(OR(K16="",M16=""),"","、")</f>
        <v>、</v>
      </c>
      <c r="M16" s="2479" t="str">
        <f>IF(E17="","",E16&amp;TEXT(E17,"yyyy年m月d日;;"))</f>
        <v>商业2057年12月17日</v>
      </c>
      <c r="N16" s="1697" t="str">
        <f>IF(OR(M16="",O16=""),"","、")</f>
        <v>、</v>
      </c>
      <c r="O16" s="2479" t="str">
        <f>IF(F17="","",F16&amp;TEXT(F17,"yyyy年m月d日;;"))</f>
        <v>办公2067年12月17日</v>
      </c>
      <c r="P16" s="1697" t="str">
        <f>IF(OR(O16="",Q16=""),"","、")</f>
        <v>、</v>
      </c>
      <c r="Q16" s="2479" t="str">
        <f>IF(G17="","",G16&amp;TEXT(G17,"yyyy年m月d日;;"))</f>
        <v>车库2067年12月17日</v>
      </c>
      <c r="R16" s="1697" t="str">
        <f>IF(OR(Q16="",S16=""),"","、")</f>
        <v>、</v>
      </c>
      <c r="S16" s="2479" t="str">
        <f>IF(H17="","",H16&amp;TEXT(H17,"yyyy年m月d日;;"))</f>
        <v>仓储2067年12月17日</v>
      </c>
      <c r="T16" s="1697" t="str">
        <f>IF(OR(S16="",U16=""),"","、")</f>
        <v/>
      </c>
      <c r="U16" s="2479" t="str">
        <f>IF(I17="","",I16&amp;TEXT(I17,"yyyy年m月d日;;"))</f>
        <v/>
      </c>
    </row>
    <row r="17" spans="1:21">
      <c r="A17" s="1761"/>
      <c r="B17" s="1680"/>
      <c r="C17" s="1681" t="s">
        <v>1957</v>
      </c>
      <c r="D17" s="1698">
        <v>68653</v>
      </c>
      <c r="E17" s="1698">
        <v>57696</v>
      </c>
      <c r="F17" s="1698">
        <v>61348</v>
      </c>
      <c r="G17" s="1698">
        <v>61348</v>
      </c>
      <c r="H17" s="1698">
        <v>61348</v>
      </c>
      <c r="I17" s="1698"/>
      <c r="J17" s="1692"/>
      <c r="K17" s="2478" t="str">
        <f>CONCATENATE(K16,L16,M16,N16,O16,P16,Q16,R16,S16,T16,,U16)</f>
        <v>住宅2087年12月17日、商业2057年12月17日、办公2067年12月17日、车库2067年12月17日、仓储2067年12月17日</v>
      </c>
      <c r="L17" s="1721"/>
      <c r="M17" s="1721"/>
      <c r="N17" s="1692"/>
      <c r="O17" s="1693"/>
      <c r="P17" s="1692"/>
      <c r="Q17" s="1692"/>
      <c r="R17" s="1692"/>
      <c r="S17" s="1692"/>
      <c r="T17" s="1692"/>
      <c r="U17" s="1692"/>
    </row>
    <row r="18" spans="1:21">
      <c r="A18" s="1761"/>
      <c r="B18" s="1680"/>
      <c r="C18" s="1681" t="s">
        <v>1958</v>
      </c>
      <c r="D18" s="1682">
        <v>70</v>
      </c>
      <c r="E18" s="1682">
        <v>40</v>
      </c>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69.650000000000006</v>
      </c>
      <c r="E19" s="1683">
        <f>IF(B16="出让",IF(E17="","",ROUNDDOWN(MIN((E17-$D$3)/365,E18),2)),E18)</f>
        <v>39.630000000000003</v>
      </c>
      <c r="F19" s="1683">
        <f>IF(B16="出让",IF(F17="","",ROUNDDOWN(MIN((F17-$D$3)/365,F18),2)),F18)</f>
        <v>49.64</v>
      </c>
      <c r="G19" s="1683">
        <f>IF(B16="出让",IF(G17="","",ROUNDDOWN(MIN((G17-$D$3)/365,G18),2)),G18)</f>
        <v>49.64</v>
      </c>
      <c r="H19" s="1683">
        <f>IF(B16="出让",IF(H17="","",ROUNDDOWN(MIN((H17-$D$3)/365,H18),2)),H18)</f>
        <v>49.64</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34"/>
      <c r="E20" s="3235"/>
      <c r="F20" s="3235"/>
      <c r="G20" s="3235"/>
      <c r="H20" s="3235"/>
      <c r="I20" s="3236"/>
      <c r="J20" s="1692"/>
      <c r="K20" s="1772"/>
      <c r="L20" s="1721"/>
      <c r="M20" s="1721"/>
      <c r="N20" s="1692"/>
      <c r="O20" s="1693"/>
      <c r="P20" s="1692"/>
      <c r="Q20" s="1692"/>
      <c r="R20" s="1692"/>
      <c r="S20" s="1692"/>
      <c r="T20" s="1692"/>
      <c r="U20" s="1692"/>
    </row>
    <row r="21" spans="1:21">
      <c r="A21" s="1761" t="s">
        <v>1960</v>
      </c>
      <c r="B21" s="1762" t="s">
        <v>1961</v>
      </c>
      <c r="C21" s="1757">
        <f>'数据-汇总表'!E3</f>
        <v>279349.84999999998</v>
      </c>
      <c r="D21" s="1758" t="s">
        <v>1962</v>
      </c>
      <c r="E21" s="3224" t="s">
        <v>2000</v>
      </c>
      <c r="F21" s="3225"/>
      <c r="G21" s="3225"/>
      <c r="H21" s="3225"/>
      <c r="I21" s="3226"/>
      <c r="J21" s="1692"/>
      <c r="K21" s="1772"/>
      <c r="L21" s="1721"/>
      <c r="M21" s="1721"/>
      <c r="N21" s="1692"/>
      <c r="O21" s="1693"/>
      <c r="P21" s="1692"/>
      <c r="Q21" s="1692"/>
      <c r="R21" s="1692"/>
      <c r="S21" s="1692"/>
      <c r="T21" s="1692"/>
      <c r="U21" s="1692"/>
    </row>
    <row r="22" spans="1:21">
      <c r="A22" s="3176" t="s">
        <v>952</v>
      </c>
      <c r="B22" s="1659" t="s">
        <v>1963</v>
      </c>
      <c r="C22" s="1684">
        <f>'数据-汇总表'!D3</f>
        <v>88475.28</v>
      </c>
      <c r="D22" s="1685" t="s">
        <v>1962</v>
      </c>
      <c r="E22" s="3224" t="s">
        <v>2893</v>
      </c>
      <c r="F22" s="3225"/>
      <c r="G22" s="3225"/>
      <c r="H22" s="3225"/>
      <c r="I22" s="3226"/>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27" t="s">
        <v>1968</v>
      </c>
      <c r="C24" s="3228"/>
      <c r="D24" s="3229" t="s">
        <v>1969</v>
      </c>
      <c r="E24" s="3230"/>
      <c r="F24" s="1706" t="s">
        <v>1970</v>
      </c>
      <c r="G24" s="1692"/>
      <c r="H24" s="1692"/>
      <c r="I24" s="1705"/>
      <c r="J24" s="1692"/>
      <c r="K24" s="3215" t="s">
        <v>1971</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952</v>
      </c>
      <c r="F25" s="1710"/>
      <c r="G25" s="1692"/>
      <c r="H25" s="1692"/>
      <c r="I25" s="1705"/>
      <c r="J25" s="1692"/>
      <c r="K25" s="321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1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4"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5"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5"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6"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42" t="s">
        <v>2003</v>
      </c>
      <c r="B31" s="1762" t="s">
        <v>2004</v>
      </c>
      <c r="C31" s="3240" t="s">
        <v>2999</v>
      </c>
      <c r="D31" s="3241"/>
      <c r="E31" s="1692"/>
      <c r="F31" s="1692"/>
      <c r="G31" s="1692"/>
      <c r="H31" s="1692"/>
      <c r="I31" s="1705"/>
      <c r="J31" s="1692"/>
      <c r="K31" s="2481"/>
      <c r="L31" s="1692"/>
      <c r="M31" s="1692"/>
      <c r="N31" s="1692"/>
      <c r="O31" s="1692"/>
      <c r="P31" s="1692"/>
      <c r="Q31" s="1692"/>
      <c r="R31" s="1692"/>
      <c r="S31" s="1692"/>
      <c r="T31" s="1692"/>
      <c r="U31" s="1692"/>
    </row>
    <row r="32" spans="1:21">
      <c r="A32" s="3242"/>
      <c r="B32" s="1659" t="s">
        <v>2005</v>
      </c>
      <c r="C32" s="1717" t="s">
        <v>3000</v>
      </c>
      <c r="D32" s="1718"/>
      <c r="E32" s="1692"/>
      <c r="F32" s="1692"/>
      <c r="G32" s="1692"/>
      <c r="H32" s="1692"/>
      <c r="I32" s="1705"/>
      <c r="J32" s="1692"/>
      <c r="K32" s="2481"/>
      <c r="L32" s="1692"/>
      <c r="M32" s="1692"/>
      <c r="N32" s="1692"/>
      <c r="O32" s="1692"/>
      <c r="P32" s="1692"/>
      <c r="Q32" s="1692"/>
      <c r="R32" s="1692"/>
      <c r="S32" s="1692"/>
      <c r="T32" s="1692"/>
      <c r="U32" s="1692"/>
    </row>
    <row r="33" spans="1:21">
      <c r="A33" s="3242"/>
      <c r="B33" s="1659" t="s">
        <v>2006</v>
      </c>
      <c r="C33" s="1719" t="s">
        <v>3001</v>
      </c>
      <c r="D33" s="1836"/>
      <c r="E33" s="1692"/>
      <c r="F33" s="1692"/>
      <c r="G33" s="1692"/>
      <c r="H33" s="1692"/>
      <c r="I33" s="1705"/>
      <c r="J33" s="1692"/>
      <c r="K33" s="2481"/>
      <c r="L33" s="1692"/>
      <c r="M33" s="1692"/>
      <c r="N33" s="1692"/>
      <c r="O33" s="1692"/>
      <c r="P33" s="1692"/>
      <c r="Q33" s="1692"/>
      <c r="R33" s="1692"/>
      <c r="S33" s="1692"/>
      <c r="T33" s="1692"/>
      <c r="U33" s="1692"/>
    </row>
    <row r="34" spans="1:21">
      <c r="A34" s="3243"/>
      <c r="B34" s="1659" t="s">
        <v>2007</v>
      </c>
      <c r="C34" s="3244" t="s">
        <v>3002</v>
      </c>
      <c r="D34" s="3245"/>
      <c r="E34" s="1692"/>
      <c r="F34" s="1692"/>
      <c r="G34" s="1692"/>
      <c r="H34" s="1692"/>
      <c r="I34" s="1705"/>
      <c r="J34" s="1692"/>
      <c r="K34" s="2481"/>
      <c r="L34" s="1692"/>
      <c r="M34" s="1692"/>
      <c r="N34" s="1692"/>
      <c r="O34" s="1692"/>
      <c r="P34" s="1692"/>
      <c r="Q34" s="1692"/>
      <c r="R34" s="1692"/>
      <c r="S34" s="1692"/>
      <c r="T34" s="1692"/>
      <c r="U34" s="1692"/>
    </row>
    <row r="35" spans="1:21">
      <c r="A35" s="3246" t="s">
        <v>847</v>
      </c>
      <c r="B35" s="1720" t="s">
        <v>3003</v>
      </c>
      <c r="C35" s="1774" t="str">
        <f>IF(B35="场地平整","——","具体情况：")</f>
        <v>——</v>
      </c>
      <c r="D35" s="3248"/>
      <c r="E35" s="3249"/>
      <c r="F35" s="3249"/>
      <c r="G35" s="3249"/>
      <c r="H35" s="3249"/>
      <c r="I35" s="3250"/>
      <c r="J35" s="1692"/>
      <c r="K35" s="1773"/>
      <c r="L35" s="1721"/>
      <c r="M35" s="1721"/>
      <c r="N35" s="1692"/>
      <c r="O35" s="1693"/>
      <c r="P35" s="1692"/>
      <c r="Q35" s="1692"/>
      <c r="R35" s="1692"/>
      <c r="S35" s="1692"/>
      <c r="T35" s="1692"/>
      <c r="U35" s="1692"/>
    </row>
    <row r="36" spans="1:21">
      <c r="A36" s="3242"/>
      <c r="B36" s="3251" t="s">
        <v>2056</v>
      </c>
      <c r="C36" s="3252"/>
      <c r="D36" s="1790"/>
      <c r="E36" s="3253"/>
      <c r="F36" s="3253"/>
      <c r="G36" s="1685" t="str">
        <f>IF(B35="场地未平整","估价结果处理","")</f>
        <v/>
      </c>
      <c r="H36" s="3254"/>
      <c r="I36" s="3254"/>
      <c r="J36" s="1692"/>
      <c r="K36" s="1773"/>
      <c r="L36" s="1721"/>
      <c r="M36" s="1721"/>
      <c r="N36" s="1692"/>
      <c r="O36" s="1693"/>
      <c r="P36" s="1692"/>
      <c r="Q36" s="1692"/>
      <c r="R36" s="1692"/>
      <c r="S36" s="1692"/>
      <c r="T36" s="1692"/>
      <c r="U36" s="1692"/>
    </row>
    <row r="37" spans="1:21" ht="28.5">
      <c r="A37" s="3242"/>
      <c r="B37" s="323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2"/>
      <c r="B38" s="3232"/>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43"/>
      <c r="B39" s="323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3055</v>
      </c>
      <c r="C40" s="1688" t="s">
        <v>3056</v>
      </c>
      <c r="D40" s="1688" t="s">
        <v>3057</v>
      </c>
      <c r="E40" s="1688" t="s">
        <v>3058</v>
      </c>
      <c r="F40" s="1688" t="s">
        <v>3059</v>
      </c>
      <c r="G40" s="1688"/>
      <c r="H40" s="1688"/>
      <c r="I40" s="1705"/>
      <c r="J40" s="1692"/>
      <c r="K40" s="1728">
        <f>COUNTIF(B40:H40,"——")</f>
        <v>0</v>
      </c>
      <c r="L40" s="1697" t="s">
        <v>1980</v>
      </c>
      <c r="M40" s="1694" t="s">
        <v>1981</v>
      </c>
      <c r="N40" s="1694" t="s">
        <v>1982</v>
      </c>
      <c r="O40" s="1694" t="s">
        <v>1983</v>
      </c>
      <c r="P40" s="1694" t="s">
        <v>1984</v>
      </c>
      <c r="Q40" s="1694" t="s">
        <v>1985</v>
      </c>
      <c r="R40" s="1694" t="s">
        <v>1986</v>
      </c>
      <c r="S40" s="3214" t="s">
        <v>1987</v>
      </c>
      <c r="T40" s="1729" t="str">
        <f>NUMBERSTRING(7-K40,1)&amp;"通"</f>
        <v>七通</v>
      </c>
      <c r="U40" s="1692"/>
    </row>
    <row r="41" spans="1:21">
      <c r="A41" s="1661"/>
      <c r="B41" s="3247" t="s">
        <v>1721</v>
      </c>
      <c r="C41" s="3247"/>
      <c r="D41" s="3247"/>
      <c r="E41" s="3247"/>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14"/>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1416</v>
      </c>
      <c r="C43" s="1736" t="s">
        <v>1416</v>
      </c>
      <c r="D43" s="1736" t="s">
        <v>1416</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31"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95947</v>
      </c>
      <c r="B3" s="22">
        <f>IF(C3="否",G5-AT5,G5)</f>
        <v>302940.90000000002</v>
      </c>
      <c r="C3" s="23" t="s">
        <v>952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302940.90000000002</v>
      </c>
      <c r="H5" s="27">
        <f t="shared" ref="H5:AT5" si="0">SUM(H13:H641)</f>
        <v>268973.5</v>
      </c>
      <c r="I5" s="27">
        <f t="shared" si="0"/>
        <v>209359.93</v>
      </c>
      <c r="J5" s="27">
        <f t="shared" si="0"/>
        <v>0</v>
      </c>
      <c r="K5" s="27">
        <f t="shared" si="0"/>
        <v>15958.279999999999</v>
      </c>
      <c r="L5" s="27">
        <f t="shared" si="0"/>
        <v>0</v>
      </c>
      <c r="M5" s="27">
        <f t="shared" si="0"/>
        <v>43547.97</v>
      </c>
      <c r="N5" s="27">
        <f t="shared" si="0"/>
        <v>0</v>
      </c>
      <c r="O5" s="27">
        <f t="shared" si="0"/>
        <v>107.32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10376.35</v>
      </c>
      <c r="AD5" s="27">
        <f t="shared" si="0"/>
        <v>86.32</v>
      </c>
      <c r="AE5" s="27">
        <f t="shared" si="0"/>
        <v>0</v>
      </c>
      <c r="AF5" s="27">
        <f t="shared" si="0"/>
        <v>5085.34</v>
      </c>
      <c r="AG5" s="27">
        <f t="shared" si="0"/>
        <v>0</v>
      </c>
      <c r="AH5" s="27">
        <f t="shared" si="0"/>
        <v>493.08</v>
      </c>
      <c r="AI5" s="27">
        <f t="shared" si="0"/>
        <v>0</v>
      </c>
      <c r="AJ5" s="27">
        <f t="shared" si="0"/>
        <v>95.98</v>
      </c>
      <c r="AK5" s="27">
        <f t="shared" si="0"/>
        <v>0</v>
      </c>
      <c r="AL5" s="27">
        <f t="shared" si="0"/>
        <v>664.3</v>
      </c>
      <c r="AM5" s="27">
        <f t="shared" si="0"/>
        <v>0</v>
      </c>
      <c r="AN5" s="27">
        <f t="shared" si="0"/>
        <v>3951.33</v>
      </c>
      <c r="AO5" s="27">
        <f t="shared" si="0"/>
        <v>0</v>
      </c>
      <c r="AP5" s="27">
        <f t="shared" si="0"/>
        <v>0</v>
      </c>
      <c r="AQ5" s="27">
        <f t="shared" si="0"/>
        <v>0</v>
      </c>
      <c r="AR5" s="27">
        <f t="shared" si="0"/>
        <v>0</v>
      </c>
      <c r="AS5" s="27">
        <f t="shared" si="0"/>
        <v>0</v>
      </c>
      <c r="AT5" s="27">
        <f t="shared" si="0"/>
        <v>23591.05</v>
      </c>
      <c r="AU5" s="988"/>
      <c r="AV5" s="26" t="s">
        <v>168</v>
      </c>
      <c r="AW5" s="989"/>
      <c r="AX5" s="989"/>
      <c r="AY5" s="28" t="s">
        <v>3</v>
      </c>
      <c r="AZ5" s="29">
        <f t="shared" ref="AZ5:BT5" si="1">SUM(AZ13:AZ641)</f>
        <v>279349.84999999998</v>
      </c>
      <c r="BA5" s="29">
        <f t="shared" si="1"/>
        <v>268973.5</v>
      </c>
      <c r="BB5" s="29">
        <f t="shared" si="1"/>
        <v>209359.93</v>
      </c>
      <c r="BC5" s="29">
        <f t="shared" si="1"/>
        <v>15958.279999999999</v>
      </c>
      <c r="BD5" s="29">
        <f t="shared" si="1"/>
        <v>43547.97</v>
      </c>
      <c r="BE5" s="29">
        <f t="shared" si="1"/>
        <v>107.32</v>
      </c>
      <c r="BF5" s="29">
        <f t="shared" si="1"/>
        <v>0</v>
      </c>
      <c r="BG5" s="29">
        <f t="shared" si="1"/>
        <v>0</v>
      </c>
      <c r="BH5" s="29">
        <f t="shared" si="1"/>
        <v>0</v>
      </c>
      <c r="BI5" s="29">
        <f t="shared" si="1"/>
        <v>0</v>
      </c>
      <c r="BJ5" s="29">
        <f t="shared" si="1"/>
        <v>0</v>
      </c>
      <c r="BK5" s="29">
        <f t="shared" si="1"/>
        <v>0</v>
      </c>
      <c r="BL5" s="29">
        <f t="shared" si="1"/>
        <v>10376.35</v>
      </c>
      <c r="BM5" s="29">
        <f t="shared" si="1"/>
        <v>86.32</v>
      </c>
      <c r="BN5" s="29">
        <f t="shared" si="1"/>
        <v>5085.34</v>
      </c>
      <c r="BO5" s="29">
        <f t="shared" si="1"/>
        <v>493.08</v>
      </c>
      <c r="BP5" s="29">
        <f t="shared" si="1"/>
        <v>95.98</v>
      </c>
      <c r="BQ5" s="29">
        <f t="shared" si="1"/>
        <v>664.3</v>
      </c>
      <c r="BR5" s="29">
        <f t="shared" si="1"/>
        <v>3951.33</v>
      </c>
      <c r="BS5" s="29">
        <f t="shared" si="1"/>
        <v>0</v>
      </c>
      <c r="BT5" s="30">
        <f t="shared" si="1"/>
        <v>0</v>
      </c>
    </row>
    <row r="6" spans="1:72" s="37" customFormat="1" ht="12.75">
      <c r="A6" s="26" t="s">
        <v>169</v>
      </c>
      <c r="B6" s="31"/>
      <c r="C6" s="31"/>
      <c r="D6" s="32"/>
      <c r="E6" s="27">
        <f>H6+AC6+AT6</f>
        <v>88475.28</v>
      </c>
      <c r="F6" s="27" t="s">
        <v>1</v>
      </c>
      <c r="G6" s="27" t="s">
        <v>2</v>
      </c>
      <c r="H6" s="33">
        <f>SUMIF(I$12:AB$12,"总值",I6:AB6)</f>
        <v>85188.89</v>
      </c>
      <c r="I6" s="27">
        <f t="shared" ref="I6:AB6" si="2">ROUND($A$3*I5/$B$3,2)</f>
        <v>66308.17</v>
      </c>
      <c r="J6" s="27">
        <f t="shared" si="2"/>
        <v>0</v>
      </c>
      <c r="K6" s="27">
        <f t="shared" si="2"/>
        <v>5054.28</v>
      </c>
      <c r="L6" s="27">
        <f t="shared" si="2"/>
        <v>0</v>
      </c>
      <c r="M6" s="27">
        <f t="shared" si="2"/>
        <v>13792.45</v>
      </c>
      <c r="N6" s="27">
        <f t="shared" si="2"/>
        <v>0</v>
      </c>
      <c r="O6" s="27">
        <f t="shared" si="2"/>
        <v>33.99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3286.3900000000003</v>
      </c>
      <c r="AD6" s="27">
        <f t="shared" ref="AD6:AS6" si="3">ROUND($A$3*AD5/$B$3,2)</f>
        <v>27.34</v>
      </c>
      <c r="AE6" s="27">
        <f t="shared" si="3"/>
        <v>0</v>
      </c>
      <c r="AF6" s="27">
        <f t="shared" si="3"/>
        <v>1610.62</v>
      </c>
      <c r="AG6" s="27">
        <f t="shared" si="3"/>
        <v>0</v>
      </c>
      <c r="AH6" s="27">
        <f t="shared" si="3"/>
        <v>156.16999999999999</v>
      </c>
      <c r="AI6" s="27">
        <f t="shared" si="3"/>
        <v>0</v>
      </c>
      <c r="AJ6" s="27">
        <f t="shared" si="3"/>
        <v>30.4</v>
      </c>
      <c r="AK6" s="27">
        <f t="shared" si="3"/>
        <v>0</v>
      </c>
      <c r="AL6" s="27">
        <f t="shared" si="3"/>
        <v>210.4</v>
      </c>
      <c r="AM6" s="27">
        <f t="shared" si="3"/>
        <v>0</v>
      </c>
      <c r="AN6" s="27">
        <f t="shared" si="3"/>
        <v>1251.46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88475.28</v>
      </c>
      <c r="AZ6" s="27" t="s">
        <v>3</v>
      </c>
      <c r="BA6" s="27">
        <f>ROUND($AY$6*BA5/$AZ$5,2)</f>
        <v>85188.9</v>
      </c>
      <c r="BB6" s="27">
        <f>ROUND($AY$6*BB5/$AZ$5,2)</f>
        <v>66308.17</v>
      </c>
      <c r="BC6" s="27">
        <f t="shared" ref="BC6:BH6" si="4">ROUND($AY$6*BC5/$AZ$5,2)</f>
        <v>5054.28</v>
      </c>
      <c r="BD6" s="27">
        <f t="shared" si="4"/>
        <v>13792.45</v>
      </c>
      <c r="BE6" s="27">
        <f t="shared" si="4"/>
        <v>33.99</v>
      </c>
      <c r="BF6" s="27">
        <f t="shared" si="4"/>
        <v>0</v>
      </c>
      <c r="BG6" s="27">
        <f t="shared" si="4"/>
        <v>0</v>
      </c>
      <c r="BH6" s="27">
        <f t="shared" si="4"/>
        <v>0</v>
      </c>
      <c r="BI6" s="27">
        <f t="shared" ref="BI6:BT6" si="5">ROUND($AY$6*BI5/$AZ$5,2)</f>
        <v>0</v>
      </c>
      <c r="BJ6" s="27">
        <f t="shared" si="5"/>
        <v>0</v>
      </c>
      <c r="BK6" s="27">
        <f t="shared" si="5"/>
        <v>0</v>
      </c>
      <c r="BL6" s="27">
        <f t="shared" si="5"/>
        <v>3286.38</v>
      </c>
      <c r="BM6" s="27">
        <f t="shared" si="5"/>
        <v>27.34</v>
      </c>
      <c r="BN6" s="27">
        <f t="shared" si="5"/>
        <v>1610.62</v>
      </c>
      <c r="BO6" s="27">
        <f t="shared" si="5"/>
        <v>156.16999999999999</v>
      </c>
      <c r="BP6" s="27">
        <f t="shared" si="5"/>
        <v>30.4</v>
      </c>
      <c r="BQ6" s="27">
        <f t="shared" si="5"/>
        <v>210.4</v>
      </c>
      <c r="BR6" s="27">
        <f t="shared" si="5"/>
        <v>1251.46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3006</v>
      </c>
      <c r="J9" s="51"/>
      <c r="K9" s="3040" t="s">
        <v>3007</v>
      </c>
      <c r="L9" s="51"/>
      <c r="M9" s="3040" t="s">
        <v>3007</v>
      </c>
      <c r="N9" s="51"/>
      <c r="O9" s="59" t="s">
        <v>3006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923</v>
      </c>
      <c r="J10" s="51"/>
      <c r="K10" s="3042" t="s">
        <v>3008</v>
      </c>
      <c r="L10" s="51"/>
      <c r="M10" s="3042" t="s">
        <v>3032</v>
      </c>
      <c r="N10" s="51"/>
      <c r="O10" s="66" t="s">
        <v>2998</v>
      </c>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3009</v>
      </c>
      <c r="J11" s="71"/>
      <c r="K11" s="3041" t="s">
        <v>3010</v>
      </c>
      <c r="L11" s="71"/>
      <c r="M11" s="70" t="s">
        <v>3032</v>
      </c>
      <c r="N11" s="71"/>
      <c r="O11" s="70" t="s">
        <v>3040</v>
      </c>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37"/>
      <c r="B13" s="3037" t="s">
        <v>3004</v>
      </c>
      <c r="C13" s="3037" t="s">
        <v>3005</v>
      </c>
      <c r="D13" s="3038" t="s">
        <v>1679</v>
      </c>
      <c r="E13" s="27">
        <f t="shared" ref="E13:E20" si="6">IF($C$3="是",ROUND($A$3*G13/$B$3,2),ROUND($A$3*(G13-AT13)/$B$3,2))</f>
        <v>3814.97</v>
      </c>
      <c r="F13" s="81"/>
      <c r="G13" s="82">
        <f t="shared" ref="G13:G20" si="7">H13+AC13+AT13</f>
        <v>12045.310000000001</v>
      </c>
      <c r="H13" s="33">
        <f t="shared" ref="H13:H20" si="8">SUMIF(I$12:AB$12,"总值",I13:AB13)</f>
        <v>11911.900000000001</v>
      </c>
      <c r="I13" s="3039">
        <v>11276.53</v>
      </c>
      <c r="J13" s="3039"/>
      <c r="K13" s="3039">
        <v>635.37</v>
      </c>
      <c r="L13" s="3039"/>
      <c r="M13" s="3039"/>
      <c r="N13" s="83"/>
      <c r="O13" s="83"/>
      <c r="P13" s="83"/>
      <c r="Q13" s="83"/>
      <c r="R13" s="83"/>
      <c r="S13" s="83"/>
      <c r="T13" s="83"/>
      <c r="U13" s="83"/>
      <c r="V13" s="83"/>
      <c r="W13" s="83"/>
      <c r="X13" s="83"/>
      <c r="Y13" s="83"/>
      <c r="Z13" s="83"/>
      <c r="AA13" s="83"/>
      <c r="AB13" s="83"/>
      <c r="AC13" s="27">
        <f t="shared" ref="AC13:AC20" si="9">SUMIF(AD$12:AS$12,"总值",AD13:AS13)</f>
        <v>133.41</v>
      </c>
      <c r="AD13" s="3043"/>
      <c r="AE13" s="3043"/>
      <c r="AF13" s="3043"/>
      <c r="AG13" s="3043"/>
      <c r="AH13" s="3043"/>
      <c r="AI13" s="3043"/>
      <c r="AJ13" s="3043"/>
      <c r="AK13" s="3043"/>
      <c r="AL13" s="3043"/>
      <c r="AM13" s="3043"/>
      <c r="AN13" s="3043">
        <v>133.41</v>
      </c>
      <c r="AO13" s="3043"/>
      <c r="AP13" s="3043"/>
      <c r="AQ13" s="3043"/>
      <c r="AR13" s="3043"/>
      <c r="AS13" s="3043"/>
      <c r="AT13" s="3044"/>
      <c r="AU13" s="3045"/>
      <c r="AV13" s="17">
        <f t="shared" ref="AV13:AX20" si="10">A13</f>
        <v>0</v>
      </c>
      <c r="AW13" s="17" t="str">
        <f t="shared" si="10"/>
        <v>2018规土（大）建字007号</v>
      </c>
      <c r="AX13" s="17" t="str">
        <f t="shared" si="10"/>
        <v>1#住宅楼</v>
      </c>
      <c r="AY13" s="996">
        <f t="shared" ref="AY13:AY20" si="11">ROUND($AY$6*AZ13/$AZ$5,2)</f>
        <v>3814.97</v>
      </c>
      <c r="AZ13" s="27">
        <f t="shared" ref="AZ13:AZ20" si="12">BA13+BL13</f>
        <v>12045.310000000001</v>
      </c>
      <c r="BA13" s="27">
        <f t="shared" ref="BA13:BA20" si="13">SUM(BB13:BK13)</f>
        <v>11911.900000000001</v>
      </c>
      <c r="BB13" s="27">
        <f t="shared" ref="BB13:BB20" si="14">IF($D13="是",I13-J13,0)</f>
        <v>11276.53</v>
      </c>
      <c r="BC13" s="27">
        <f t="shared" ref="BC13:BC20" si="15">IF($D13="是",K13-L13,0)</f>
        <v>635.37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133.41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133.41</v>
      </c>
      <c r="BS13" s="27">
        <f t="shared" ref="BS13:BS20" si="31">IF($D13="是",AP13-AQ13,0)</f>
        <v>0</v>
      </c>
      <c r="BT13" s="36">
        <f t="shared" ref="BT13:BT20" si="32">IF($D13="是",AR13-AS13,0)</f>
        <v>0</v>
      </c>
    </row>
    <row r="14" spans="1:72" s="18" customFormat="1" ht="12.75">
      <c r="A14" s="3037"/>
      <c r="B14" s="3037"/>
      <c r="C14" s="3037" t="s">
        <v>3011</v>
      </c>
      <c r="D14" s="3038" t="s">
        <v>1679</v>
      </c>
      <c r="E14" s="27">
        <f t="shared" si="6"/>
        <v>1918.36</v>
      </c>
      <c r="F14" s="81"/>
      <c r="G14" s="82">
        <f t="shared" si="7"/>
        <v>6056.9800000000005</v>
      </c>
      <c r="H14" s="33">
        <f t="shared" si="8"/>
        <v>5979.97</v>
      </c>
      <c r="I14" s="3039">
        <v>5655.06</v>
      </c>
      <c r="J14" s="3039"/>
      <c r="K14" s="3039">
        <v>324.91000000000003</v>
      </c>
      <c r="L14" s="3039"/>
      <c r="M14" s="3039"/>
      <c r="N14" s="83"/>
      <c r="O14" s="83"/>
      <c r="P14" s="83"/>
      <c r="Q14" s="83"/>
      <c r="R14" s="83"/>
      <c r="S14" s="83"/>
      <c r="T14" s="83"/>
      <c r="U14" s="83"/>
      <c r="V14" s="83"/>
      <c r="W14" s="83"/>
      <c r="X14" s="83"/>
      <c r="Y14" s="83"/>
      <c r="Z14" s="83"/>
      <c r="AA14" s="83"/>
      <c r="AB14" s="83"/>
      <c r="AC14" s="27">
        <f t="shared" si="9"/>
        <v>77.010000000000005</v>
      </c>
      <c r="AD14" s="3043"/>
      <c r="AE14" s="3043"/>
      <c r="AF14" s="3043"/>
      <c r="AG14" s="3043"/>
      <c r="AH14" s="3043"/>
      <c r="AI14" s="3043"/>
      <c r="AJ14" s="3043"/>
      <c r="AK14" s="3043"/>
      <c r="AL14" s="3043"/>
      <c r="AM14" s="3043"/>
      <c r="AN14" s="3043">
        <v>77.010000000000005</v>
      </c>
      <c r="AO14" s="3043"/>
      <c r="AP14" s="3043"/>
      <c r="AQ14" s="3043"/>
      <c r="AR14" s="3043"/>
      <c r="AS14" s="3043"/>
      <c r="AT14" s="3044"/>
      <c r="AU14" s="3045"/>
      <c r="AV14" s="17">
        <f t="shared" si="10"/>
        <v>0</v>
      </c>
      <c r="AW14" s="17">
        <f t="shared" si="10"/>
        <v>0</v>
      </c>
      <c r="AX14" s="17" t="str">
        <f t="shared" si="10"/>
        <v>2#住宅楼</v>
      </c>
      <c r="AY14" s="996">
        <f t="shared" si="11"/>
        <v>1918.36</v>
      </c>
      <c r="AZ14" s="27">
        <f t="shared" si="12"/>
        <v>6056.9800000000005</v>
      </c>
      <c r="BA14" s="27">
        <f t="shared" si="13"/>
        <v>5979.97</v>
      </c>
      <c r="BB14" s="27">
        <f t="shared" si="14"/>
        <v>5655.06</v>
      </c>
      <c r="BC14" s="27">
        <f t="shared" si="15"/>
        <v>324.91000000000003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77.010000000000005</v>
      </c>
      <c r="BM14" s="27">
        <f t="shared" si="25"/>
        <v>0</v>
      </c>
      <c r="BN14" s="27">
        <f t="shared" si="26"/>
        <v>0</v>
      </c>
      <c r="BO14" s="27">
        <f t="shared" si="27"/>
        <v>0</v>
      </c>
      <c r="BP14" s="27">
        <f t="shared" si="28"/>
        <v>0</v>
      </c>
      <c r="BQ14" s="27">
        <f t="shared" si="29"/>
        <v>0</v>
      </c>
      <c r="BR14" s="27">
        <f t="shared" si="30"/>
        <v>77.010000000000005</v>
      </c>
      <c r="BS14" s="27">
        <f t="shared" si="31"/>
        <v>0</v>
      </c>
      <c r="BT14" s="36">
        <f t="shared" si="32"/>
        <v>0</v>
      </c>
    </row>
    <row r="15" spans="1:72" s="18" customFormat="1" ht="12.75">
      <c r="A15" s="3037"/>
      <c r="B15" s="3037"/>
      <c r="C15" s="3037" t="s">
        <v>3012</v>
      </c>
      <c r="D15" s="3038" t="s">
        <v>1679</v>
      </c>
      <c r="E15" s="27">
        <f t="shared" si="6"/>
        <v>3825.36</v>
      </c>
      <c r="F15" s="81"/>
      <c r="G15" s="82">
        <f t="shared" si="7"/>
        <v>12078.11</v>
      </c>
      <c r="H15" s="33">
        <f t="shared" si="8"/>
        <v>11944.7</v>
      </c>
      <c r="I15" s="3039">
        <v>11276.53</v>
      </c>
      <c r="J15" s="3039"/>
      <c r="K15" s="3039">
        <v>668.17</v>
      </c>
      <c r="L15" s="3039"/>
      <c r="M15" s="3039"/>
      <c r="N15" s="83"/>
      <c r="O15" s="83"/>
      <c r="P15" s="83"/>
      <c r="Q15" s="83"/>
      <c r="R15" s="83"/>
      <c r="S15" s="83"/>
      <c r="T15" s="83"/>
      <c r="U15" s="83"/>
      <c r="V15" s="83"/>
      <c r="W15" s="83"/>
      <c r="X15" s="83"/>
      <c r="Y15" s="83"/>
      <c r="Z15" s="83"/>
      <c r="AA15" s="83"/>
      <c r="AB15" s="83"/>
      <c r="AC15" s="27">
        <f t="shared" si="9"/>
        <v>133.41</v>
      </c>
      <c r="AD15" s="3043"/>
      <c r="AE15" s="3043"/>
      <c r="AF15" s="3043"/>
      <c r="AG15" s="3043"/>
      <c r="AH15" s="3043"/>
      <c r="AI15" s="3043"/>
      <c r="AJ15" s="3043"/>
      <c r="AK15" s="3043"/>
      <c r="AL15" s="3043"/>
      <c r="AM15" s="3043"/>
      <c r="AN15" s="3043">
        <v>133.41</v>
      </c>
      <c r="AO15" s="3043"/>
      <c r="AP15" s="3043"/>
      <c r="AQ15" s="3043"/>
      <c r="AR15" s="3043"/>
      <c r="AS15" s="3043"/>
      <c r="AT15" s="3044"/>
      <c r="AU15" s="3045"/>
      <c r="AV15" s="17">
        <f t="shared" si="10"/>
        <v>0</v>
      </c>
      <c r="AW15" s="17">
        <f t="shared" si="10"/>
        <v>0</v>
      </c>
      <c r="AX15" s="17" t="str">
        <f t="shared" si="10"/>
        <v>3#住宅楼</v>
      </c>
      <c r="AY15" s="996">
        <f t="shared" si="11"/>
        <v>3825.36</v>
      </c>
      <c r="AZ15" s="27">
        <f t="shared" si="12"/>
        <v>12078.11</v>
      </c>
      <c r="BA15" s="27">
        <f t="shared" si="13"/>
        <v>11944.7</v>
      </c>
      <c r="BB15" s="27">
        <f t="shared" si="14"/>
        <v>11276.53</v>
      </c>
      <c r="BC15" s="27">
        <f t="shared" si="15"/>
        <v>668.17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133.41</v>
      </c>
      <c r="BM15" s="27">
        <f t="shared" si="25"/>
        <v>0</v>
      </c>
      <c r="BN15" s="27">
        <f t="shared" si="26"/>
        <v>0</v>
      </c>
      <c r="BO15" s="27">
        <f t="shared" si="27"/>
        <v>0</v>
      </c>
      <c r="BP15" s="27">
        <f t="shared" si="28"/>
        <v>0</v>
      </c>
      <c r="BQ15" s="27">
        <f t="shared" si="29"/>
        <v>0</v>
      </c>
      <c r="BR15" s="27">
        <f t="shared" si="30"/>
        <v>133.41</v>
      </c>
      <c r="BS15" s="27">
        <f t="shared" si="31"/>
        <v>0</v>
      </c>
      <c r="BT15" s="36">
        <f t="shared" si="32"/>
        <v>0</v>
      </c>
    </row>
    <row r="16" spans="1:72" s="18" customFormat="1" ht="12.75">
      <c r="A16" s="3037"/>
      <c r="B16" s="3037"/>
      <c r="C16" s="3037" t="s">
        <v>3013</v>
      </c>
      <c r="D16" s="3038" t="s">
        <v>1679</v>
      </c>
      <c r="E16" s="27">
        <f t="shared" si="6"/>
        <v>1919.95</v>
      </c>
      <c r="F16" s="81"/>
      <c r="G16" s="82">
        <f t="shared" si="7"/>
        <v>6062.02</v>
      </c>
      <c r="H16" s="33">
        <f t="shared" si="8"/>
        <v>5985.01</v>
      </c>
      <c r="I16" s="3039">
        <v>5655.06</v>
      </c>
      <c r="J16" s="3039"/>
      <c r="K16" s="3039">
        <v>329.95</v>
      </c>
      <c r="L16" s="3039"/>
      <c r="M16" s="3039"/>
      <c r="N16" s="83"/>
      <c r="O16" s="83"/>
      <c r="P16" s="83"/>
      <c r="Q16" s="83"/>
      <c r="R16" s="83"/>
      <c r="S16" s="83"/>
      <c r="T16" s="83"/>
      <c r="U16" s="83"/>
      <c r="V16" s="83"/>
      <c r="W16" s="83"/>
      <c r="X16" s="83"/>
      <c r="Y16" s="83"/>
      <c r="Z16" s="83"/>
      <c r="AA16" s="83"/>
      <c r="AB16" s="83"/>
      <c r="AC16" s="27">
        <f t="shared" si="9"/>
        <v>77.010000000000005</v>
      </c>
      <c r="AD16" s="3043"/>
      <c r="AE16" s="3043"/>
      <c r="AF16" s="3043"/>
      <c r="AG16" s="3043"/>
      <c r="AH16" s="3043"/>
      <c r="AI16" s="3043"/>
      <c r="AJ16" s="3043"/>
      <c r="AK16" s="3043"/>
      <c r="AL16" s="3043"/>
      <c r="AM16" s="3043"/>
      <c r="AN16" s="3043">
        <v>77.010000000000005</v>
      </c>
      <c r="AO16" s="3043"/>
      <c r="AP16" s="3043"/>
      <c r="AQ16" s="3043"/>
      <c r="AR16" s="3043"/>
      <c r="AS16" s="3043"/>
      <c r="AT16" s="3044"/>
      <c r="AU16" s="3045"/>
      <c r="AV16" s="17">
        <f t="shared" si="10"/>
        <v>0</v>
      </c>
      <c r="AW16" s="17">
        <f t="shared" si="10"/>
        <v>0</v>
      </c>
      <c r="AX16" s="17" t="str">
        <f t="shared" si="10"/>
        <v>4#住宅楼</v>
      </c>
      <c r="AY16" s="996">
        <f t="shared" si="11"/>
        <v>1919.95</v>
      </c>
      <c r="AZ16" s="27">
        <f t="shared" si="12"/>
        <v>6062.02</v>
      </c>
      <c r="BA16" s="27">
        <f t="shared" si="13"/>
        <v>5985.01</v>
      </c>
      <c r="BB16" s="27">
        <f t="shared" si="14"/>
        <v>5655.06</v>
      </c>
      <c r="BC16" s="27">
        <f t="shared" si="15"/>
        <v>329.95</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77.010000000000005</v>
      </c>
      <c r="BM16" s="27">
        <f t="shared" si="25"/>
        <v>0</v>
      </c>
      <c r="BN16" s="27">
        <f t="shared" si="26"/>
        <v>0</v>
      </c>
      <c r="BO16" s="27">
        <f t="shared" si="27"/>
        <v>0</v>
      </c>
      <c r="BP16" s="27">
        <f t="shared" si="28"/>
        <v>0</v>
      </c>
      <c r="BQ16" s="27">
        <f t="shared" si="29"/>
        <v>0</v>
      </c>
      <c r="BR16" s="27">
        <f t="shared" si="30"/>
        <v>77.010000000000005</v>
      </c>
      <c r="BS16" s="27">
        <f t="shared" si="31"/>
        <v>0</v>
      </c>
      <c r="BT16" s="36">
        <f t="shared" si="32"/>
        <v>0</v>
      </c>
    </row>
    <row r="17" spans="1:72" s="18" customFormat="1" ht="12.75">
      <c r="A17" s="3037"/>
      <c r="B17" s="3037"/>
      <c r="C17" s="3037" t="s">
        <v>3014</v>
      </c>
      <c r="D17" s="3038" t="s">
        <v>1679</v>
      </c>
      <c r="E17" s="27">
        <f t="shared" si="6"/>
        <v>3818.05</v>
      </c>
      <c r="F17" s="81"/>
      <c r="G17" s="82">
        <f t="shared" si="7"/>
        <v>12055.01</v>
      </c>
      <c r="H17" s="33">
        <f t="shared" si="8"/>
        <v>11921.6</v>
      </c>
      <c r="I17" s="3039">
        <v>11276.53</v>
      </c>
      <c r="J17" s="3039"/>
      <c r="K17" s="3039">
        <v>645.07000000000005</v>
      </c>
      <c r="L17" s="3039"/>
      <c r="M17" s="3039"/>
      <c r="N17" s="83"/>
      <c r="O17" s="83"/>
      <c r="P17" s="83"/>
      <c r="Q17" s="83"/>
      <c r="R17" s="83"/>
      <c r="S17" s="83"/>
      <c r="T17" s="83"/>
      <c r="U17" s="83"/>
      <c r="V17" s="83"/>
      <c r="W17" s="83"/>
      <c r="X17" s="83"/>
      <c r="Y17" s="83"/>
      <c r="Z17" s="83"/>
      <c r="AA17" s="83"/>
      <c r="AB17" s="83"/>
      <c r="AC17" s="27">
        <f t="shared" si="9"/>
        <v>133.41</v>
      </c>
      <c r="AD17" s="3043"/>
      <c r="AE17" s="3043"/>
      <c r="AF17" s="3043"/>
      <c r="AG17" s="3043"/>
      <c r="AH17" s="3043"/>
      <c r="AI17" s="3043"/>
      <c r="AJ17" s="3043"/>
      <c r="AK17" s="3043"/>
      <c r="AL17" s="3043"/>
      <c r="AM17" s="3043"/>
      <c r="AN17" s="3043">
        <v>133.41</v>
      </c>
      <c r="AO17" s="3043"/>
      <c r="AP17" s="3043"/>
      <c r="AQ17" s="3043"/>
      <c r="AR17" s="3043"/>
      <c r="AS17" s="3043"/>
      <c r="AT17" s="3044"/>
      <c r="AU17" s="3045"/>
      <c r="AV17" s="17">
        <f t="shared" si="10"/>
        <v>0</v>
      </c>
      <c r="AW17" s="17">
        <f t="shared" si="10"/>
        <v>0</v>
      </c>
      <c r="AX17" s="17" t="str">
        <f t="shared" si="10"/>
        <v>5#住宅楼</v>
      </c>
      <c r="AY17" s="996">
        <f t="shared" si="11"/>
        <v>3818.05</v>
      </c>
      <c r="AZ17" s="27">
        <f t="shared" si="12"/>
        <v>12055.01</v>
      </c>
      <c r="BA17" s="27">
        <f t="shared" si="13"/>
        <v>11921.6</v>
      </c>
      <c r="BB17" s="27">
        <f t="shared" si="14"/>
        <v>11276.53</v>
      </c>
      <c r="BC17" s="27">
        <f t="shared" si="15"/>
        <v>645.07000000000005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133.41</v>
      </c>
      <c r="BM17" s="27">
        <f t="shared" si="25"/>
        <v>0</v>
      </c>
      <c r="BN17" s="27">
        <f t="shared" si="26"/>
        <v>0</v>
      </c>
      <c r="BO17" s="27">
        <f t="shared" si="27"/>
        <v>0</v>
      </c>
      <c r="BP17" s="27">
        <f t="shared" si="28"/>
        <v>0</v>
      </c>
      <c r="BQ17" s="27">
        <f t="shared" si="29"/>
        <v>0</v>
      </c>
      <c r="BR17" s="27">
        <f t="shared" si="30"/>
        <v>133.41</v>
      </c>
      <c r="BS17" s="27">
        <f t="shared" si="31"/>
        <v>0</v>
      </c>
      <c r="BT17" s="36">
        <f t="shared" si="32"/>
        <v>0</v>
      </c>
    </row>
    <row r="18" spans="1:72" s="3496" customFormat="1">
      <c r="A18" s="3480"/>
      <c r="B18" s="3481"/>
      <c r="C18" s="3479" t="s">
        <v>3015</v>
      </c>
      <c r="D18" s="3482" t="s">
        <v>1679</v>
      </c>
      <c r="E18" s="3483">
        <f t="shared" si="6"/>
        <v>1922.06</v>
      </c>
      <c r="F18" s="3484"/>
      <c r="G18" s="3485">
        <f t="shared" si="7"/>
        <v>6068.68</v>
      </c>
      <c r="H18" s="3486">
        <f t="shared" si="8"/>
        <v>5991.67</v>
      </c>
      <c r="I18" s="3487">
        <v>5667.41</v>
      </c>
      <c r="J18" s="3487"/>
      <c r="K18" s="3487">
        <v>324.26</v>
      </c>
      <c r="L18" s="3488"/>
      <c r="M18" s="3488"/>
      <c r="N18" s="3488"/>
      <c r="O18" s="3488"/>
      <c r="P18" s="3488"/>
      <c r="Q18" s="3488"/>
      <c r="R18" s="3488"/>
      <c r="S18" s="3488"/>
      <c r="T18" s="3488"/>
      <c r="U18" s="3488"/>
      <c r="V18" s="3488"/>
      <c r="W18" s="3488"/>
      <c r="X18" s="3488"/>
      <c r="Y18" s="3488"/>
      <c r="Z18" s="3488"/>
      <c r="AA18" s="3488"/>
      <c r="AB18" s="3488"/>
      <c r="AC18" s="3483">
        <f t="shared" si="9"/>
        <v>77.010000000000005</v>
      </c>
      <c r="AD18" s="3489"/>
      <c r="AE18" s="3489"/>
      <c r="AF18" s="3490"/>
      <c r="AG18" s="3490"/>
      <c r="AH18" s="3490"/>
      <c r="AI18" s="3490"/>
      <c r="AJ18" s="3490"/>
      <c r="AK18" s="3490"/>
      <c r="AL18" s="3490"/>
      <c r="AM18" s="3490"/>
      <c r="AN18" s="3490">
        <v>77.010000000000005</v>
      </c>
      <c r="AO18" s="3489"/>
      <c r="AP18" s="3489"/>
      <c r="AQ18" s="3489"/>
      <c r="AR18" s="3489"/>
      <c r="AS18" s="3489"/>
      <c r="AT18" s="3491"/>
      <c r="AU18" s="3492"/>
      <c r="AV18" s="3493">
        <f t="shared" si="10"/>
        <v>0</v>
      </c>
      <c r="AW18" s="3493">
        <f t="shared" si="10"/>
        <v>0</v>
      </c>
      <c r="AX18" s="3493" t="str">
        <f t="shared" si="10"/>
        <v>6#住宅楼</v>
      </c>
      <c r="AY18" s="3494">
        <f t="shared" si="11"/>
        <v>1922.06</v>
      </c>
      <c r="AZ18" s="3483">
        <f t="shared" si="12"/>
        <v>6068.68</v>
      </c>
      <c r="BA18" s="3483">
        <f t="shared" si="13"/>
        <v>5991.67</v>
      </c>
      <c r="BB18" s="3483">
        <f t="shared" si="14"/>
        <v>5667.41</v>
      </c>
      <c r="BC18" s="3483">
        <f t="shared" si="15"/>
        <v>324.26</v>
      </c>
      <c r="BD18" s="3483">
        <f t="shared" si="16"/>
        <v>0</v>
      </c>
      <c r="BE18" s="3483">
        <f t="shared" si="17"/>
        <v>0</v>
      </c>
      <c r="BF18" s="3483">
        <f t="shared" si="18"/>
        <v>0</v>
      </c>
      <c r="BG18" s="3483">
        <f t="shared" si="19"/>
        <v>0</v>
      </c>
      <c r="BH18" s="3483">
        <f t="shared" si="20"/>
        <v>0</v>
      </c>
      <c r="BI18" s="3483">
        <f t="shared" si="21"/>
        <v>0</v>
      </c>
      <c r="BJ18" s="3483">
        <f t="shared" si="22"/>
        <v>0</v>
      </c>
      <c r="BK18" s="3483">
        <f t="shared" si="23"/>
        <v>0</v>
      </c>
      <c r="BL18" s="3483">
        <f t="shared" si="24"/>
        <v>77.010000000000005</v>
      </c>
      <c r="BM18" s="3483">
        <f t="shared" si="25"/>
        <v>0</v>
      </c>
      <c r="BN18" s="3483">
        <f t="shared" si="26"/>
        <v>0</v>
      </c>
      <c r="BO18" s="3483">
        <f t="shared" si="27"/>
        <v>0</v>
      </c>
      <c r="BP18" s="3483">
        <f t="shared" si="28"/>
        <v>0</v>
      </c>
      <c r="BQ18" s="3483">
        <f t="shared" si="29"/>
        <v>0</v>
      </c>
      <c r="BR18" s="3483">
        <f t="shared" si="30"/>
        <v>77.010000000000005</v>
      </c>
      <c r="BS18" s="3483">
        <f t="shared" si="31"/>
        <v>0</v>
      </c>
      <c r="BT18" s="3495">
        <f t="shared" si="32"/>
        <v>0</v>
      </c>
    </row>
    <row r="19" spans="1:72">
      <c r="A19" s="84"/>
      <c r="B19" s="1397"/>
      <c r="C19" s="3037" t="s">
        <v>3016</v>
      </c>
      <c r="D19" s="3038" t="s">
        <v>1679</v>
      </c>
      <c r="E19" s="87">
        <f t="shared" si="6"/>
        <v>3675.31</v>
      </c>
      <c r="F19" s="88"/>
      <c r="G19" s="89">
        <f t="shared" si="7"/>
        <v>11604.34</v>
      </c>
      <c r="H19" s="90">
        <f t="shared" si="8"/>
        <v>10900.44</v>
      </c>
      <c r="I19" s="3039">
        <v>10196.540000000001</v>
      </c>
      <c r="J19" s="3039"/>
      <c r="K19" s="3039">
        <v>703.9</v>
      </c>
      <c r="L19" s="91"/>
      <c r="M19" s="91"/>
      <c r="N19" s="91"/>
      <c r="O19" s="91"/>
      <c r="P19" s="91"/>
      <c r="Q19" s="91"/>
      <c r="R19" s="91"/>
      <c r="S19" s="91"/>
      <c r="T19" s="91"/>
      <c r="U19" s="91"/>
      <c r="V19" s="91"/>
      <c r="W19" s="91"/>
      <c r="X19" s="91"/>
      <c r="Y19" s="91"/>
      <c r="Z19" s="91"/>
      <c r="AA19" s="91"/>
      <c r="AB19" s="91"/>
      <c r="AC19" s="87">
        <f t="shared" si="9"/>
        <v>703.9</v>
      </c>
      <c r="AD19" s="92"/>
      <c r="AE19" s="92"/>
      <c r="AF19" s="3043">
        <v>570.49</v>
      </c>
      <c r="AG19" s="3043"/>
      <c r="AH19" s="3043"/>
      <c r="AI19" s="3043"/>
      <c r="AJ19" s="3043"/>
      <c r="AK19" s="3043"/>
      <c r="AL19" s="3043"/>
      <c r="AM19" s="3043"/>
      <c r="AN19" s="3043">
        <v>133.41</v>
      </c>
      <c r="AO19" s="92"/>
      <c r="AP19" s="92"/>
      <c r="AQ19" s="92"/>
      <c r="AR19" s="92"/>
      <c r="AS19" s="92"/>
      <c r="AT19" s="93"/>
      <c r="AU19" s="94"/>
      <c r="AV19" s="992">
        <f t="shared" si="10"/>
        <v>0</v>
      </c>
      <c r="AW19" s="992">
        <f t="shared" si="10"/>
        <v>0</v>
      </c>
      <c r="AX19" s="992" t="str">
        <f t="shared" si="10"/>
        <v>7#住宅楼</v>
      </c>
      <c r="AY19" s="95">
        <f t="shared" si="11"/>
        <v>3675.31</v>
      </c>
      <c r="AZ19" s="87">
        <f t="shared" si="12"/>
        <v>11604.34</v>
      </c>
      <c r="BA19" s="87">
        <f t="shared" si="13"/>
        <v>10900.44</v>
      </c>
      <c r="BB19" s="87">
        <f t="shared" si="14"/>
        <v>10196.540000000001</v>
      </c>
      <c r="BC19" s="87">
        <f t="shared" si="15"/>
        <v>703.9</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703.9</v>
      </c>
      <c r="BM19" s="87">
        <f t="shared" si="25"/>
        <v>0</v>
      </c>
      <c r="BN19" s="87">
        <f t="shared" si="26"/>
        <v>570.49</v>
      </c>
      <c r="BO19" s="87">
        <f t="shared" si="27"/>
        <v>0</v>
      </c>
      <c r="BP19" s="87">
        <f t="shared" si="28"/>
        <v>0</v>
      </c>
      <c r="BQ19" s="87">
        <f t="shared" si="29"/>
        <v>0</v>
      </c>
      <c r="BR19" s="87">
        <f t="shared" si="30"/>
        <v>133.41</v>
      </c>
      <c r="BS19" s="87">
        <f t="shared" si="31"/>
        <v>0</v>
      </c>
      <c r="BT19" s="96">
        <f t="shared" si="32"/>
        <v>0</v>
      </c>
    </row>
    <row r="20" spans="1:72">
      <c r="A20" s="84"/>
      <c r="B20" s="1397"/>
      <c r="C20" s="3037" t="s">
        <v>3017</v>
      </c>
      <c r="D20" s="3038" t="s">
        <v>1679</v>
      </c>
      <c r="E20" s="87">
        <f t="shared" si="6"/>
        <v>4026.03</v>
      </c>
      <c r="F20" s="88"/>
      <c r="G20" s="89">
        <f t="shared" si="7"/>
        <v>12711.710000000001</v>
      </c>
      <c r="H20" s="90">
        <f t="shared" si="8"/>
        <v>12544.000000000002</v>
      </c>
      <c r="I20" s="3039">
        <f>11310.03-AL20</f>
        <v>11275.730000000001</v>
      </c>
      <c r="J20" s="3039"/>
      <c r="K20" s="3039">
        <v>1268.27</v>
      </c>
      <c r="L20" s="91"/>
      <c r="M20" s="91"/>
      <c r="N20" s="91"/>
      <c r="O20" s="91"/>
      <c r="P20" s="91"/>
      <c r="Q20" s="91"/>
      <c r="R20" s="91"/>
      <c r="S20" s="91"/>
      <c r="T20" s="91"/>
      <c r="U20" s="91"/>
      <c r="V20" s="91"/>
      <c r="W20" s="91"/>
      <c r="X20" s="91"/>
      <c r="Y20" s="91"/>
      <c r="Z20" s="91"/>
      <c r="AA20" s="91"/>
      <c r="AB20" s="91"/>
      <c r="AC20" s="87">
        <f t="shared" si="9"/>
        <v>167.70999999999998</v>
      </c>
      <c r="AD20" s="92"/>
      <c r="AE20" s="92"/>
      <c r="AF20" s="3043"/>
      <c r="AG20" s="3043"/>
      <c r="AH20" s="3043"/>
      <c r="AI20" s="3043"/>
      <c r="AJ20" s="3043"/>
      <c r="AK20" s="3043"/>
      <c r="AL20" s="3043">
        <v>34.299999999999997</v>
      </c>
      <c r="AM20" s="3043"/>
      <c r="AN20" s="3043">
        <v>133.41</v>
      </c>
      <c r="AO20" s="92"/>
      <c r="AP20" s="92"/>
      <c r="AQ20" s="92"/>
      <c r="AR20" s="92"/>
      <c r="AS20" s="92"/>
      <c r="AT20" s="93"/>
      <c r="AU20" s="94"/>
      <c r="AV20" s="992">
        <f t="shared" si="10"/>
        <v>0</v>
      </c>
      <c r="AW20" s="992">
        <f t="shared" si="10"/>
        <v>0</v>
      </c>
      <c r="AX20" s="992" t="str">
        <f t="shared" si="10"/>
        <v>8#住宅楼</v>
      </c>
      <c r="AY20" s="95">
        <f t="shared" si="11"/>
        <v>4026.03</v>
      </c>
      <c r="AZ20" s="87">
        <f t="shared" si="12"/>
        <v>12711.710000000001</v>
      </c>
      <c r="BA20" s="87">
        <f t="shared" si="13"/>
        <v>12544.000000000002</v>
      </c>
      <c r="BB20" s="87">
        <f t="shared" si="14"/>
        <v>11275.730000000001</v>
      </c>
      <c r="BC20" s="87">
        <f t="shared" si="15"/>
        <v>1268.27</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167.70999999999998</v>
      </c>
      <c r="BM20" s="87">
        <f t="shared" si="25"/>
        <v>0</v>
      </c>
      <c r="BN20" s="87">
        <f t="shared" si="26"/>
        <v>0</v>
      </c>
      <c r="BO20" s="87">
        <f t="shared" si="27"/>
        <v>0</v>
      </c>
      <c r="BP20" s="87">
        <f t="shared" si="28"/>
        <v>0</v>
      </c>
      <c r="BQ20" s="87">
        <f t="shared" si="29"/>
        <v>34.299999999999997</v>
      </c>
      <c r="BR20" s="87">
        <f t="shared" si="30"/>
        <v>133.41</v>
      </c>
      <c r="BS20" s="87">
        <f t="shared" si="31"/>
        <v>0</v>
      </c>
      <c r="BT20" s="96">
        <f t="shared" si="32"/>
        <v>0</v>
      </c>
    </row>
    <row r="21" spans="1:72">
      <c r="A21" s="84"/>
      <c r="B21" s="1392"/>
      <c r="C21" s="3037" t="s">
        <v>3018</v>
      </c>
      <c r="D21" s="3038" t="s">
        <v>1679</v>
      </c>
      <c r="E21" s="87">
        <f t="shared" ref="E21:E112" si="33">IF($C$3="是",ROUND($A$3*G21/$B$3,2),ROUND($A$3*(G21-AT21)/$B$3,2))</f>
        <v>3675.31</v>
      </c>
      <c r="F21" s="88"/>
      <c r="G21" s="89">
        <f t="shared" ref="G21:G109" si="34">H21+AC21+AT21</f>
        <v>11604.34</v>
      </c>
      <c r="H21" s="90">
        <f t="shared" ref="H21:H109" si="35">SUMIF(I$12:AB$12,"总值",I21:AB21)</f>
        <v>10900.44</v>
      </c>
      <c r="I21" s="3039">
        <v>10196.540000000001</v>
      </c>
      <c r="J21" s="3039"/>
      <c r="K21" s="3039">
        <v>703.9</v>
      </c>
      <c r="L21" s="91"/>
      <c r="M21" s="91"/>
      <c r="N21" s="91"/>
      <c r="O21" s="91"/>
      <c r="P21" s="91"/>
      <c r="Q21" s="91"/>
      <c r="R21" s="91"/>
      <c r="S21" s="91"/>
      <c r="T21" s="91"/>
      <c r="U21" s="91"/>
      <c r="V21" s="91"/>
      <c r="W21" s="91"/>
      <c r="X21" s="91"/>
      <c r="Y21" s="91"/>
      <c r="Z21" s="91"/>
      <c r="AA21" s="91"/>
      <c r="AB21" s="91"/>
      <c r="AC21" s="87">
        <f t="shared" ref="AC21:AC109" si="36">SUMIF(AD$12:AS$12,"总值",AD21:AS21)</f>
        <v>703.9</v>
      </c>
      <c r="AD21" s="92"/>
      <c r="AE21" s="92"/>
      <c r="AF21" s="3043">
        <v>570.49</v>
      </c>
      <c r="AG21" s="3043"/>
      <c r="AH21" s="3043"/>
      <c r="AI21" s="3043"/>
      <c r="AJ21" s="3043"/>
      <c r="AK21" s="3043"/>
      <c r="AL21" s="3043"/>
      <c r="AM21" s="3043"/>
      <c r="AN21" s="3043">
        <v>133.41</v>
      </c>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3675.31</v>
      </c>
      <c r="AZ21" s="87">
        <f t="shared" ref="AZ21:AZ109" si="41">BA21+BL21</f>
        <v>11604.34</v>
      </c>
      <c r="BA21" s="87">
        <f t="shared" ref="BA21:BA109" si="42">SUM(BB21:BK21)</f>
        <v>10900.44</v>
      </c>
      <c r="BB21" s="87">
        <f t="shared" ref="BB21:BB109" si="43">IF($D21="是",I21-J21,0)</f>
        <v>10196.540000000001</v>
      </c>
      <c r="BC21" s="87">
        <f t="shared" ref="BC21:BC109" si="44">IF($D21="是",K21-L21,0)</f>
        <v>703.9</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703.9</v>
      </c>
      <c r="BM21" s="87">
        <f t="shared" ref="BM21:BM109" si="54">IF($D21="是",AD21-AE21,0)</f>
        <v>0</v>
      </c>
      <c r="BN21" s="87">
        <f t="shared" ref="BN21:BN109" si="55">IF($D21="是",AF21-AG21,0)</f>
        <v>570.49</v>
      </c>
      <c r="BO21" s="87">
        <f t="shared" ref="BO21:BO109" si="56">IF($D21="是",AH21-AI21,0)</f>
        <v>0</v>
      </c>
      <c r="BP21" s="87">
        <f t="shared" ref="BP21:BP109" si="57">IF($D21="是",AJ21-AK21,0)</f>
        <v>0</v>
      </c>
      <c r="BQ21" s="87">
        <f t="shared" ref="BQ21:BQ109" si="58">IF($D21="是",AL21-AM21,0)</f>
        <v>0</v>
      </c>
      <c r="BR21" s="87">
        <f t="shared" ref="BR21:BR109" si="59">IF($D21="是",AN21-AO21,0)</f>
        <v>133.41</v>
      </c>
      <c r="BS21" s="87">
        <f t="shared" ref="BS21:BS109" si="60">IF($D21="是",AP21-AQ21,0)</f>
        <v>0</v>
      </c>
      <c r="BT21" s="96">
        <f t="shared" ref="BT21:BT109" si="61">IF($D21="是",AR21-AS21,0)</f>
        <v>0</v>
      </c>
    </row>
    <row r="22" spans="1:72">
      <c r="A22" s="84"/>
      <c r="B22" s="1392"/>
      <c r="C22" s="3037" t="s">
        <v>3019</v>
      </c>
      <c r="D22" s="3038" t="s">
        <v>1679</v>
      </c>
      <c r="E22" s="87">
        <f t="shared" si="33"/>
        <v>1920.75</v>
      </c>
      <c r="F22" s="88"/>
      <c r="G22" s="89">
        <f t="shared" si="34"/>
        <v>6064.53</v>
      </c>
      <c r="H22" s="90">
        <f t="shared" si="35"/>
        <v>5987.5199999999995</v>
      </c>
      <c r="I22" s="3039">
        <v>5667.41</v>
      </c>
      <c r="J22" s="3039"/>
      <c r="K22" s="3039">
        <v>320.11</v>
      </c>
      <c r="L22" s="91"/>
      <c r="M22" s="1364"/>
      <c r="N22" s="91"/>
      <c r="O22" s="91"/>
      <c r="P22" s="91"/>
      <c r="Q22" s="91"/>
      <c r="R22" s="91"/>
      <c r="S22" s="91"/>
      <c r="T22" s="91"/>
      <c r="U22" s="91"/>
      <c r="V22" s="91"/>
      <c r="W22" s="91"/>
      <c r="X22" s="91"/>
      <c r="Y22" s="91"/>
      <c r="Z22" s="91"/>
      <c r="AA22" s="91"/>
      <c r="AB22" s="91"/>
      <c r="AC22" s="87">
        <f t="shared" si="36"/>
        <v>77.010000000000005</v>
      </c>
      <c r="AD22" s="1364"/>
      <c r="AE22" s="92"/>
      <c r="AF22" s="3043"/>
      <c r="AG22" s="3043"/>
      <c r="AH22" s="3043"/>
      <c r="AI22" s="3043"/>
      <c r="AJ22" s="3043"/>
      <c r="AK22" s="3043"/>
      <c r="AL22" s="3043"/>
      <c r="AM22" s="3043"/>
      <c r="AN22" s="3043">
        <v>77.010000000000005</v>
      </c>
      <c r="AO22" s="92"/>
      <c r="AP22" s="92"/>
      <c r="AQ22" s="92"/>
      <c r="AR22" s="92"/>
      <c r="AS22" s="92"/>
      <c r="AT22" s="93"/>
      <c r="AU22" s="94"/>
      <c r="AV22" s="1978">
        <f t="shared" si="37"/>
        <v>0</v>
      </c>
      <c r="AW22" s="1978">
        <f t="shared" si="38"/>
        <v>0</v>
      </c>
      <c r="AX22" s="1978" t="str">
        <f t="shared" si="39"/>
        <v>10#住宅楼</v>
      </c>
      <c r="AY22" s="95">
        <f t="shared" si="40"/>
        <v>1920.75</v>
      </c>
      <c r="AZ22" s="87">
        <f t="shared" si="41"/>
        <v>6064.53</v>
      </c>
      <c r="BA22" s="87">
        <f t="shared" si="42"/>
        <v>5987.5199999999995</v>
      </c>
      <c r="BB22" s="87">
        <f t="shared" si="43"/>
        <v>5667.41</v>
      </c>
      <c r="BC22" s="87">
        <f t="shared" si="44"/>
        <v>320.11</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77.010000000000005</v>
      </c>
      <c r="BM22" s="87">
        <f t="shared" si="54"/>
        <v>0</v>
      </c>
      <c r="BN22" s="87">
        <f t="shared" si="55"/>
        <v>0</v>
      </c>
      <c r="BO22" s="87">
        <f t="shared" si="56"/>
        <v>0</v>
      </c>
      <c r="BP22" s="87">
        <f t="shared" si="57"/>
        <v>0</v>
      </c>
      <c r="BQ22" s="87">
        <f t="shared" si="58"/>
        <v>0</v>
      </c>
      <c r="BR22" s="87">
        <f t="shared" si="59"/>
        <v>77.010000000000005</v>
      </c>
      <c r="BS22" s="87">
        <f t="shared" si="60"/>
        <v>0</v>
      </c>
      <c r="BT22" s="96">
        <f t="shared" si="61"/>
        <v>0</v>
      </c>
    </row>
    <row r="23" spans="1:72">
      <c r="A23" s="84"/>
      <c r="B23" s="1392"/>
      <c r="C23" s="3037" t="s">
        <v>3020</v>
      </c>
      <c r="D23" s="3038" t="s">
        <v>1679</v>
      </c>
      <c r="E23" s="87">
        <f t="shared" si="33"/>
        <v>1923.66</v>
      </c>
      <c r="F23" s="88"/>
      <c r="G23" s="89">
        <f t="shared" si="34"/>
        <v>6073.7300000000005</v>
      </c>
      <c r="H23" s="90">
        <f t="shared" si="35"/>
        <v>5996.72</v>
      </c>
      <c r="I23" s="3039">
        <v>5655.06</v>
      </c>
      <c r="J23" s="3039"/>
      <c r="K23" s="3039">
        <v>341.66</v>
      </c>
      <c r="L23" s="91"/>
      <c r="M23" s="1364"/>
      <c r="N23" s="91"/>
      <c r="O23" s="91"/>
      <c r="P23" s="91"/>
      <c r="Q23" s="91"/>
      <c r="R23" s="91"/>
      <c r="S23" s="91"/>
      <c r="T23" s="91"/>
      <c r="U23" s="91"/>
      <c r="V23" s="91"/>
      <c r="W23" s="91"/>
      <c r="X23" s="91"/>
      <c r="Y23" s="91"/>
      <c r="Z23" s="91"/>
      <c r="AA23" s="91"/>
      <c r="AB23" s="91"/>
      <c r="AC23" s="87">
        <f t="shared" si="36"/>
        <v>77.010000000000005</v>
      </c>
      <c r="AD23" s="92"/>
      <c r="AE23" s="92"/>
      <c r="AF23" s="3043"/>
      <c r="AG23" s="3043"/>
      <c r="AH23" s="3043"/>
      <c r="AI23" s="3043"/>
      <c r="AJ23" s="3043"/>
      <c r="AK23" s="3043"/>
      <c r="AL23" s="3043"/>
      <c r="AM23" s="3043"/>
      <c r="AN23" s="3043">
        <v>77.010000000000005</v>
      </c>
      <c r="AO23" s="92"/>
      <c r="AP23" s="92"/>
      <c r="AQ23" s="92"/>
      <c r="AR23" s="92"/>
      <c r="AS23" s="92"/>
      <c r="AT23" s="93"/>
      <c r="AU23" s="94"/>
      <c r="AV23" s="1978">
        <f t="shared" si="37"/>
        <v>0</v>
      </c>
      <c r="AW23" s="1978">
        <f t="shared" si="38"/>
        <v>0</v>
      </c>
      <c r="AX23" s="1978" t="str">
        <f t="shared" si="39"/>
        <v>11#住宅楼</v>
      </c>
      <c r="AY23" s="95">
        <f t="shared" si="40"/>
        <v>1923.66</v>
      </c>
      <c r="AZ23" s="87">
        <f t="shared" si="41"/>
        <v>6073.7300000000005</v>
      </c>
      <c r="BA23" s="87">
        <f t="shared" si="42"/>
        <v>5996.72</v>
      </c>
      <c r="BB23" s="87">
        <f t="shared" si="43"/>
        <v>5655.06</v>
      </c>
      <c r="BC23" s="87">
        <f t="shared" si="44"/>
        <v>341.66</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77.010000000000005</v>
      </c>
      <c r="BM23" s="87">
        <f t="shared" si="54"/>
        <v>0</v>
      </c>
      <c r="BN23" s="87">
        <f t="shared" si="55"/>
        <v>0</v>
      </c>
      <c r="BO23" s="87">
        <f t="shared" si="56"/>
        <v>0</v>
      </c>
      <c r="BP23" s="87">
        <f t="shared" si="57"/>
        <v>0</v>
      </c>
      <c r="BQ23" s="87">
        <f t="shared" si="58"/>
        <v>0</v>
      </c>
      <c r="BR23" s="87">
        <f t="shared" si="59"/>
        <v>77.010000000000005</v>
      </c>
      <c r="BS23" s="87">
        <f t="shared" si="60"/>
        <v>0</v>
      </c>
      <c r="BT23" s="96">
        <f t="shared" si="61"/>
        <v>0</v>
      </c>
    </row>
    <row r="24" spans="1:72">
      <c r="A24" s="84"/>
      <c r="B24" s="1392"/>
      <c r="C24" s="3037" t="s">
        <v>3021</v>
      </c>
      <c r="D24" s="3038" t="s">
        <v>1679</v>
      </c>
      <c r="E24" s="87">
        <f t="shared" si="33"/>
        <v>6135.45</v>
      </c>
      <c r="F24" s="88"/>
      <c r="G24" s="89">
        <f t="shared" si="34"/>
        <v>19371.940000000002</v>
      </c>
      <c r="H24" s="90">
        <f t="shared" si="35"/>
        <v>18318.280000000002</v>
      </c>
      <c r="I24" s="3039">
        <v>16913.240000000002</v>
      </c>
      <c r="J24" s="3039"/>
      <c r="K24" s="3039">
        <v>1405.04</v>
      </c>
      <c r="L24" s="91"/>
      <c r="M24" s="91"/>
      <c r="N24" s="91"/>
      <c r="O24" s="1364"/>
      <c r="P24" s="91"/>
      <c r="Q24" s="91"/>
      <c r="R24" s="91"/>
      <c r="S24" s="91"/>
      <c r="T24" s="91"/>
      <c r="U24" s="91"/>
      <c r="V24" s="91"/>
      <c r="W24" s="91"/>
      <c r="X24" s="91"/>
      <c r="Y24" s="91"/>
      <c r="Z24" s="91"/>
      <c r="AA24" s="91"/>
      <c r="AB24" s="91"/>
      <c r="AC24" s="87">
        <f t="shared" si="36"/>
        <v>1053.6599999999999</v>
      </c>
      <c r="AD24" s="92"/>
      <c r="AE24" s="92"/>
      <c r="AF24" s="3043">
        <v>895.05</v>
      </c>
      <c r="AG24" s="3043"/>
      <c r="AH24" s="3043"/>
      <c r="AI24" s="3043"/>
      <c r="AJ24" s="3043"/>
      <c r="AK24" s="3043"/>
      <c r="AL24" s="3043"/>
      <c r="AM24" s="3043"/>
      <c r="AN24" s="3043">
        <v>158.61000000000001</v>
      </c>
      <c r="AO24" s="92"/>
      <c r="AP24" s="92"/>
      <c r="AQ24" s="92"/>
      <c r="AR24" s="92"/>
      <c r="AS24" s="92"/>
      <c r="AT24" s="93"/>
      <c r="AU24" s="94"/>
      <c r="AV24" s="1978">
        <f t="shared" si="37"/>
        <v>0</v>
      </c>
      <c r="AW24" s="1978">
        <f t="shared" si="38"/>
        <v>0</v>
      </c>
      <c r="AX24" s="1978" t="str">
        <f t="shared" si="39"/>
        <v>12#住宅楼</v>
      </c>
      <c r="AY24" s="95">
        <f t="shared" si="40"/>
        <v>6135.45</v>
      </c>
      <c r="AZ24" s="87">
        <f t="shared" si="41"/>
        <v>19371.940000000002</v>
      </c>
      <c r="BA24" s="87">
        <f t="shared" si="42"/>
        <v>18318.280000000002</v>
      </c>
      <c r="BB24" s="87">
        <f t="shared" si="43"/>
        <v>16913.240000000002</v>
      </c>
      <c r="BC24" s="87">
        <f t="shared" si="44"/>
        <v>1405.04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1053.6599999999999</v>
      </c>
      <c r="BM24" s="87">
        <f t="shared" si="54"/>
        <v>0</v>
      </c>
      <c r="BN24" s="87">
        <f t="shared" si="55"/>
        <v>895.05</v>
      </c>
      <c r="BO24" s="87">
        <f t="shared" si="56"/>
        <v>0</v>
      </c>
      <c r="BP24" s="87">
        <f t="shared" si="57"/>
        <v>0</v>
      </c>
      <c r="BQ24" s="87">
        <f t="shared" si="58"/>
        <v>0</v>
      </c>
      <c r="BR24" s="87">
        <f t="shared" si="59"/>
        <v>158.61000000000001</v>
      </c>
      <c r="BS24" s="87">
        <f t="shared" si="60"/>
        <v>0</v>
      </c>
      <c r="BT24" s="96">
        <f t="shared" si="61"/>
        <v>0</v>
      </c>
    </row>
    <row r="25" spans="1:72" s="3496" customFormat="1">
      <c r="A25" s="3480"/>
      <c r="B25" s="3497"/>
      <c r="C25" s="3479" t="s">
        <v>3022</v>
      </c>
      <c r="D25" s="3482" t="s">
        <v>1679</v>
      </c>
      <c r="E25" s="3483">
        <f t="shared" si="33"/>
        <v>4057.68</v>
      </c>
      <c r="F25" s="3484"/>
      <c r="G25" s="3485">
        <f t="shared" si="34"/>
        <v>12821.62</v>
      </c>
      <c r="H25" s="3486">
        <f t="shared" si="35"/>
        <v>12678.210000000001</v>
      </c>
      <c r="I25" s="3487">
        <f>11286.53-AT25</f>
        <v>11276.53</v>
      </c>
      <c r="J25" s="3487"/>
      <c r="K25" s="3487">
        <f>700.84*2</f>
        <v>1401.68</v>
      </c>
      <c r="L25" s="3488"/>
      <c r="M25" s="3488"/>
      <c r="N25" s="3488"/>
      <c r="O25" s="3488"/>
      <c r="P25" s="3488"/>
      <c r="Q25" s="3488"/>
      <c r="R25" s="3488"/>
      <c r="S25" s="3488"/>
      <c r="T25" s="3488"/>
      <c r="U25" s="3488"/>
      <c r="V25" s="3488"/>
      <c r="W25" s="3488"/>
      <c r="X25" s="3488"/>
      <c r="Y25" s="3488"/>
      <c r="Z25" s="3488"/>
      <c r="AA25" s="3488"/>
      <c r="AB25" s="3488"/>
      <c r="AC25" s="3483">
        <f t="shared" si="36"/>
        <v>133.41</v>
      </c>
      <c r="AD25" s="3489"/>
      <c r="AE25" s="3489"/>
      <c r="AF25" s="3490"/>
      <c r="AG25" s="3490"/>
      <c r="AH25" s="3490"/>
      <c r="AI25" s="3490"/>
      <c r="AJ25" s="3490"/>
      <c r="AK25" s="3490"/>
      <c r="AL25" s="3490"/>
      <c r="AM25" s="3490"/>
      <c r="AN25" s="3490">
        <v>133.41</v>
      </c>
      <c r="AO25" s="3489"/>
      <c r="AP25" s="3489"/>
      <c r="AQ25" s="3489"/>
      <c r="AR25" s="3489"/>
      <c r="AS25" s="3489"/>
      <c r="AT25" s="3491">
        <v>10</v>
      </c>
      <c r="AU25" s="3492"/>
      <c r="AV25" s="3493">
        <f t="shared" si="37"/>
        <v>0</v>
      </c>
      <c r="AW25" s="3493">
        <f t="shared" si="38"/>
        <v>0</v>
      </c>
      <c r="AX25" s="3493" t="str">
        <f t="shared" si="39"/>
        <v>13#住宅楼</v>
      </c>
      <c r="AY25" s="3494">
        <f t="shared" si="40"/>
        <v>4057.68</v>
      </c>
      <c r="AZ25" s="3483">
        <f t="shared" si="41"/>
        <v>12811.62</v>
      </c>
      <c r="BA25" s="3483">
        <f t="shared" si="42"/>
        <v>12678.210000000001</v>
      </c>
      <c r="BB25" s="3483">
        <f t="shared" si="43"/>
        <v>11276.53</v>
      </c>
      <c r="BC25" s="3483">
        <f t="shared" si="44"/>
        <v>1401.68</v>
      </c>
      <c r="BD25" s="3483">
        <f t="shared" si="45"/>
        <v>0</v>
      </c>
      <c r="BE25" s="3483">
        <f t="shared" si="46"/>
        <v>0</v>
      </c>
      <c r="BF25" s="3483">
        <f t="shared" si="47"/>
        <v>0</v>
      </c>
      <c r="BG25" s="3483">
        <f t="shared" si="48"/>
        <v>0</v>
      </c>
      <c r="BH25" s="3483">
        <f t="shared" si="49"/>
        <v>0</v>
      </c>
      <c r="BI25" s="3483">
        <f t="shared" si="50"/>
        <v>0</v>
      </c>
      <c r="BJ25" s="3483">
        <f t="shared" si="51"/>
        <v>0</v>
      </c>
      <c r="BK25" s="3483">
        <f t="shared" si="52"/>
        <v>0</v>
      </c>
      <c r="BL25" s="3483">
        <f t="shared" si="53"/>
        <v>133.41</v>
      </c>
      <c r="BM25" s="3483">
        <f t="shared" si="54"/>
        <v>0</v>
      </c>
      <c r="BN25" s="3483">
        <f t="shared" si="55"/>
        <v>0</v>
      </c>
      <c r="BO25" s="3483">
        <f t="shared" si="56"/>
        <v>0</v>
      </c>
      <c r="BP25" s="3483">
        <f t="shared" si="57"/>
        <v>0</v>
      </c>
      <c r="BQ25" s="3483">
        <f t="shared" si="58"/>
        <v>0</v>
      </c>
      <c r="BR25" s="3483">
        <f t="shared" si="59"/>
        <v>133.41</v>
      </c>
      <c r="BS25" s="3483">
        <f t="shared" si="60"/>
        <v>0</v>
      </c>
      <c r="BT25" s="3495">
        <f t="shared" si="61"/>
        <v>0</v>
      </c>
    </row>
    <row r="26" spans="1:72">
      <c r="A26" s="84"/>
      <c r="B26" s="1392"/>
      <c r="C26" s="3037" t="s">
        <v>3023</v>
      </c>
      <c r="D26" s="3038" t="s">
        <v>1679</v>
      </c>
      <c r="E26" s="87">
        <f t="shared" si="33"/>
        <v>6135.45</v>
      </c>
      <c r="F26" s="88"/>
      <c r="G26" s="89">
        <f t="shared" si="34"/>
        <v>19371.940000000002</v>
      </c>
      <c r="H26" s="90">
        <f t="shared" si="35"/>
        <v>18318.280000000002</v>
      </c>
      <c r="I26" s="3039">
        <v>16913.240000000002</v>
      </c>
      <c r="J26" s="3039"/>
      <c r="K26" s="3039">
        <v>1405.04</v>
      </c>
      <c r="L26" s="91"/>
      <c r="M26" s="91"/>
      <c r="N26" s="91"/>
      <c r="O26" s="91"/>
      <c r="P26" s="91"/>
      <c r="Q26" s="91"/>
      <c r="R26" s="91"/>
      <c r="S26" s="91"/>
      <c r="T26" s="91"/>
      <c r="U26" s="91"/>
      <c r="V26" s="91"/>
      <c r="W26" s="91"/>
      <c r="X26" s="91"/>
      <c r="Y26" s="91"/>
      <c r="Z26" s="91"/>
      <c r="AA26" s="91"/>
      <c r="AB26" s="91"/>
      <c r="AC26" s="87">
        <f t="shared" si="36"/>
        <v>1053.6599999999999</v>
      </c>
      <c r="AD26" s="92"/>
      <c r="AE26" s="92"/>
      <c r="AF26" s="3043">
        <v>895.05</v>
      </c>
      <c r="AG26" s="3043"/>
      <c r="AH26" s="3043"/>
      <c r="AI26" s="3043"/>
      <c r="AJ26" s="3043"/>
      <c r="AK26" s="3043"/>
      <c r="AL26" s="3043"/>
      <c r="AM26" s="3043"/>
      <c r="AN26" s="3043">
        <v>158.61000000000001</v>
      </c>
      <c r="AO26" s="92"/>
      <c r="AP26" s="92"/>
      <c r="AQ26" s="92"/>
      <c r="AR26" s="92"/>
      <c r="AS26" s="92"/>
      <c r="AT26" s="93"/>
      <c r="AU26" s="94"/>
      <c r="AV26" s="1978">
        <f t="shared" si="37"/>
        <v>0</v>
      </c>
      <c r="AW26" s="1978">
        <f t="shared" si="38"/>
        <v>0</v>
      </c>
      <c r="AX26" s="1978" t="str">
        <f t="shared" si="39"/>
        <v>14#住宅楼</v>
      </c>
      <c r="AY26" s="95">
        <f t="shared" si="40"/>
        <v>6135.45</v>
      </c>
      <c r="AZ26" s="87">
        <f t="shared" si="41"/>
        <v>19371.940000000002</v>
      </c>
      <c r="BA26" s="87">
        <f t="shared" si="42"/>
        <v>18318.280000000002</v>
      </c>
      <c r="BB26" s="87">
        <f t="shared" si="43"/>
        <v>16913.240000000002</v>
      </c>
      <c r="BC26" s="87">
        <f t="shared" si="44"/>
        <v>1405.04</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1053.6599999999999</v>
      </c>
      <c r="BM26" s="87">
        <f t="shared" si="54"/>
        <v>0</v>
      </c>
      <c r="BN26" s="87">
        <f t="shared" si="55"/>
        <v>895.05</v>
      </c>
      <c r="BO26" s="87">
        <f t="shared" si="56"/>
        <v>0</v>
      </c>
      <c r="BP26" s="87">
        <f t="shared" si="57"/>
        <v>0</v>
      </c>
      <c r="BQ26" s="87">
        <f t="shared" si="58"/>
        <v>0</v>
      </c>
      <c r="BR26" s="87">
        <f t="shared" si="59"/>
        <v>158.61000000000001</v>
      </c>
      <c r="BS26" s="87">
        <f t="shared" si="60"/>
        <v>0</v>
      </c>
      <c r="BT26" s="96">
        <f t="shared" si="61"/>
        <v>0</v>
      </c>
    </row>
    <row r="27" spans="1:72">
      <c r="A27" s="84"/>
      <c r="B27" s="1392"/>
      <c r="C27" s="3037" t="s">
        <v>3024</v>
      </c>
      <c r="D27" s="3038" t="s">
        <v>1679</v>
      </c>
      <c r="E27" s="87">
        <f t="shared" si="33"/>
        <v>1920.19</v>
      </c>
      <c r="F27" s="88"/>
      <c r="G27" s="89">
        <f t="shared" si="34"/>
        <v>6062.77</v>
      </c>
      <c r="H27" s="90">
        <f t="shared" si="35"/>
        <v>5985.76</v>
      </c>
      <c r="I27" s="3039">
        <v>5655.06</v>
      </c>
      <c r="J27" s="3039"/>
      <c r="K27" s="3039">
        <v>330.7</v>
      </c>
      <c r="L27" s="91"/>
      <c r="M27" s="91"/>
      <c r="N27" s="91"/>
      <c r="O27" s="91"/>
      <c r="P27" s="91"/>
      <c r="Q27" s="91"/>
      <c r="R27" s="91"/>
      <c r="S27" s="91"/>
      <c r="T27" s="91"/>
      <c r="U27" s="91"/>
      <c r="V27" s="91"/>
      <c r="W27" s="91"/>
      <c r="X27" s="91"/>
      <c r="Y27" s="91"/>
      <c r="Z27" s="91"/>
      <c r="AA27" s="91"/>
      <c r="AB27" s="91"/>
      <c r="AC27" s="87">
        <f t="shared" si="36"/>
        <v>77.010000000000005</v>
      </c>
      <c r="AD27" s="92"/>
      <c r="AE27" s="92"/>
      <c r="AF27" s="3043"/>
      <c r="AG27" s="3043"/>
      <c r="AH27" s="3043"/>
      <c r="AI27" s="3043"/>
      <c r="AJ27" s="3043"/>
      <c r="AK27" s="3043"/>
      <c r="AL27" s="3043"/>
      <c r="AM27" s="3043"/>
      <c r="AN27" s="3043">
        <v>77.010000000000005</v>
      </c>
      <c r="AO27" s="92"/>
      <c r="AP27" s="92"/>
      <c r="AQ27" s="92"/>
      <c r="AR27" s="92"/>
      <c r="AS27" s="92"/>
      <c r="AT27" s="93"/>
      <c r="AU27" s="94"/>
      <c r="AV27" s="1978">
        <f t="shared" si="37"/>
        <v>0</v>
      </c>
      <c r="AW27" s="1978">
        <f t="shared" si="38"/>
        <v>0</v>
      </c>
      <c r="AX27" s="1978" t="str">
        <f t="shared" si="39"/>
        <v>15#住宅楼</v>
      </c>
      <c r="AY27" s="95">
        <f t="shared" si="40"/>
        <v>1920.19</v>
      </c>
      <c r="AZ27" s="87">
        <f t="shared" si="41"/>
        <v>6062.77</v>
      </c>
      <c r="BA27" s="87">
        <f t="shared" si="42"/>
        <v>5985.76</v>
      </c>
      <c r="BB27" s="87">
        <f t="shared" si="43"/>
        <v>5655.06</v>
      </c>
      <c r="BC27" s="87">
        <f t="shared" si="44"/>
        <v>330.7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77.010000000000005</v>
      </c>
      <c r="BM27" s="87">
        <f t="shared" si="54"/>
        <v>0</v>
      </c>
      <c r="BN27" s="87">
        <f t="shared" si="55"/>
        <v>0</v>
      </c>
      <c r="BO27" s="87">
        <f t="shared" si="56"/>
        <v>0</v>
      </c>
      <c r="BP27" s="87">
        <f t="shared" si="57"/>
        <v>0</v>
      </c>
      <c r="BQ27" s="87">
        <f t="shared" si="58"/>
        <v>0</v>
      </c>
      <c r="BR27" s="87">
        <f t="shared" si="59"/>
        <v>77.010000000000005</v>
      </c>
      <c r="BS27" s="87">
        <f t="shared" si="60"/>
        <v>0</v>
      </c>
      <c r="BT27" s="96">
        <f t="shared" si="61"/>
        <v>0</v>
      </c>
    </row>
    <row r="28" spans="1:72">
      <c r="A28" s="84"/>
      <c r="B28" s="1392"/>
      <c r="C28" s="3037" t="s">
        <v>3025</v>
      </c>
      <c r="D28" s="3038" t="s">
        <v>1679</v>
      </c>
      <c r="E28" s="87">
        <f t="shared" si="33"/>
        <v>1923.8</v>
      </c>
      <c r="F28" s="88"/>
      <c r="G28" s="89">
        <f t="shared" si="34"/>
        <v>6074.15</v>
      </c>
      <c r="H28" s="90">
        <f t="shared" si="35"/>
        <v>5997.1399999999994</v>
      </c>
      <c r="I28" s="3039">
        <v>5667.41</v>
      </c>
      <c r="J28" s="3039"/>
      <c r="K28" s="3039">
        <v>329.73</v>
      </c>
      <c r="L28" s="91"/>
      <c r="M28" s="91"/>
      <c r="N28" s="91"/>
      <c r="O28" s="91"/>
      <c r="P28" s="91"/>
      <c r="Q28" s="91"/>
      <c r="R28" s="91"/>
      <c r="S28" s="91"/>
      <c r="T28" s="91"/>
      <c r="U28" s="91"/>
      <c r="V28" s="91"/>
      <c r="W28" s="91"/>
      <c r="X28" s="91"/>
      <c r="Y28" s="91"/>
      <c r="Z28" s="91"/>
      <c r="AA28" s="91"/>
      <c r="AB28" s="91"/>
      <c r="AC28" s="87">
        <f t="shared" si="36"/>
        <v>77.010000000000005</v>
      </c>
      <c r="AD28" s="92"/>
      <c r="AE28" s="92"/>
      <c r="AF28" s="3043"/>
      <c r="AG28" s="3043"/>
      <c r="AH28" s="3043"/>
      <c r="AI28" s="3043"/>
      <c r="AJ28" s="3043"/>
      <c r="AK28" s="3043"/>
      <c r="AL28" s="3043"/>
      <c r="AM28" s="3043"/>
      <c r="AN28" s="3043">
        <v>77.010000000000005</v>
      </c>
      <c r="AO28" s="92"/>
      <c r="AP28" s="92"/>
      <c r="AQ28" s="92"/>
      <c r="AR28" s="92"/>
      <c r="AS28" s="92"/>
      <c r="AT28" s="93"/>
      <c r="AU28" s="94"/>
      <c r="AV28" s="1978">
        <f t="shared" si="37"/>
        <v>0</v>
      </c>
      <c r="AW28" s="1978">
        <f t="shared" si="38"/>
        <v>0</v>
      </c>
      <c r="AX28" s="1978" t="str">
        <f t="shared" si="39"/>
        <v>16#住宅楼</v>
      </c>
      <c r="AY28" s="95">
        <f t="shared" si="40"/>
        <v>1923.8</v>
      </c>
      <c r="AZ28" s="87">
        <f t="shared" si="41"/>
        <v>6074.15</v>
      </c>
      <c r="BA28" s="87">
        <f t="shared" si="42"/>
        <v>5997.1399999999994</v>
      </c>
      <c r="BB28" s="87">
        <f t="shared" si="43"/>
        <v>5667.41</v>
      </c>
      <c r="BC28" s="87">
        <f t="shared" si="44"/>
        <v>329.73</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77.010000000000005</v>
      </c>
      <c r="BM28" s="87">
        <f t="shared" si="54"/>
        <v>0</v>
      </c>
      <c r="BN28" s="87">
        <f t="shared" si="55"/>
        <v>0</v>
      </c>
      <c r="BO28" s="87">
        <f t="shared" si="56"/>
        <v>0</v>
      </c>
      <c r="BP28" s="87">
        <f t="shared" si="57"/>
        <v>0</v>
      </c>
      <c r="BQ28" s="87">
        <f t="shared" si="58"/>
        <v>0</v>
      </c>
      <c r="BR28" s="87">
        <f t="shared" si="59"/>
        <v>77.010000000000005</v>
      </c>
      <c r="BS28" s="87">
        <f t="shared" si="60"/>
        <v>0</v>
      </c>
      <c r="BT28" s="96">
        <f t="shared" si="61"/>
        <v>0</v>
      </c>
    </row>
    <row r="29" spans="1:72">
      <c r="A29" s="84"/>
      <c r="B29" s="1394"/>
      <c r="C29" s="3037" t="s">
        <v>3026</v>
      </c>
      <c r="D29" s="3038" t="s">
        <v>1679</v>
      </c>
      <c r="E29" s="87">
        <f t="shared" si="33"/>
        <v>1922.25</v>
      </c>
      <c r="F29" s="88"/>
      <c r="G29" s="89">
        <f t="shared" si="34"/>
        <v>6069.26</v>
      </c>
      <c r="H29" s="90">
        <f t="shared" si="35"/>
        <v>5992.25</v>
      </c>
      <c r="I29" s="3039">
        <v>5667.41</v>
      </c>
      <c r="J29" s="3039"/>
      <c r="K29" s="3039">
        <v>324.83999999999997</v>
      </c>
      <c r="L29" s="91"/>
      <c r="M29" s="91"/>
      <c r="N29" s="91"/>
      <c r="O29" s="91"/>
      <c r="P29" s="91"/>
      <c r="Q29" s="91"/>
      <c r="R29" s="91"/>
      <c r="S29" s="91"/>
      <c r="T29" s="91"/>
      <c r="U29" s="91"/>
      <c r="V29" s="91"/>
      <c r="W29" s="91"/>
      <c r="X29" s="91"/>
      <c r="Y29" s="91"/>
      <c r="Z29" s="91"/>
      <c r="AA29" s="91"/>
      <c r="AB29" s="91"/>
      <c r="AC29" s="87">
        <f t="shared" si="36"/>
        <v>77.010000000000005</v>
      </c>
      <c r="AD29" s="92"/>
      <c r="AE29" s="92"/>
      <c r="AF29" s="3043"/>
      <c r="AG29" s="3043"/>
      <c r="AH29" s="3043"/>
      <c r="AI29" s="3043"/>
      <c r="AJ29" s="3043"/>
      <c r="AK29" s="3043"/>
      <c r="AL29" s="3043"/>
      <c r="AM29" s="3043"/>
      <c r="AN29" s="3043">
        <v>77.010000000000005</v>
      </c>
      <c r="AO29" s="92"/>
      <c r="AP29" s="92"/>
      <c r="AQ29" s="92"/>
      <c r="AR29" s="92"/>
      <c r="AS29" s="92"/>
      <c r="AT29" s="93"/>
      <c r="AU29" s="94"/>
      <c r="AV29" s="1978">
        <f t="shared" si="37"/>
        <v>0</v>
      </c>
      <c r="AW29" s="1978">
        <f t="shared" si="38"/>
        <v>0</v>
      </c>
      <c r="AX29" s="1978" t="str">
        <f t="shared" si="39"/>
        <v>17#住宅楼</v>
      </c>
      <c r="AY29" s="95">
        <f t="shared" si="40"/>
        <v>1922.25</v>
      </c>
      <c r="AZ29" s="87">
        <f t="shared" si="41"/>
        <v>6069.26</v>
      </c>
      <c r="BA29" s="87">
        <f t="shared" si="42"/>
        <v>5992.25</v>
      </c>
      <c r="BB29" s="87">
        <f t="shared" si="43"/>
        <v>5667.41</v>
      </c>
      <c r="BC29" s="87">
        <f t="shared" si="44"/>
        <v>324.83999999999997</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77.010000000000005</v>
      </c>
      <c r="BM29" s="87">
        <f t="shared" si="54"/>
        <v>0</v>
      </c>
      <c r="BN29" s="87">
        <f t="shared" si="55"/>
        <v>0</v>
      </c>
      <c r="BO29" s="87">
        <f t="shared" si="56"/>
        <v>0</v>
      </c>
      <c r="BP29" s="87">
        <f t="shared" si="57"/>
        <v>0</v>
      </c>
      <c r="BQ29" s="87">
        <f t="shared" si="58"/>
        <v>0</v>
      </c>
      <c r="BR29" s="87">
        <f t="shared" si="59"/>
        <v>77.010000000000005</v>
      </c>
      <c r="BS29" s="87">
        <f t="shared" si="60"/>
        <v>0</v>
      </c>
      <c r="BT29" s="96">
        <f t="shared" si="61"/>
        <v>0</v>
      </c>
    </row>
    <row r="30" spans="1:72">
      <c r="A30" s="84"/>
      <c r="B30" s="1392"/>
      <c r="C30" s="3037" t="s">
        <v>3027</v>
      </c>
      <c r="D30" s="3038" t="s">
        <v>1679</v>
      </c>
      <c r="E30" s="87">
        <f t="shared" si="33"/>
        <v>1933.33</v>
      </c>
      <c r="F30" s="88"/>
      <c r="G30" s="89">
        <f t="shared" si="34"/>
        <v>6104.25</v>
      </c>
      <c r="H30" s="90">
        <f t="shared" si="35"/>
        <v>6027.24</v>
      </c>
      <c r="I30" s="3039">
        <v>5667.41</v>
      </c>
      <c r="J30" s="3039"/>
      <c r="K30" s="3039">
        <v>359.83</v>
      </c>
      <c r="L30" s="91"/>
      <c r="M30" s="91"/>
      <c r="N30" s="91"/>
      <c r="O30" s="91"/>
      <c r="P30" s="91"/>
      <c r="Q30" s="91"/>
      <c r="R30" s="91"/>
      <c r="S30" s="91"/>
      <c r="T30" s="91"/>
      <c r="U30" s="91"/>
      <c r="V30" s="91"/>
      <c r="W30" s="91"/>
      <c r="X30" s="91"/>
      <c r="Y30" s="91"/>
      <c r="Z30" s="91"/>
      <c r="AA30" s="91"/>
      <c r="AB30" s="91"/>
      <c r="AC30" s="87">
        <f t="shared" si="36"/>
        <v>77.010000000000005</v>
      </c>
      <c r="AD30" s="92"/>
      <c r="AE30" s="92"/>
      <c r="AF30" s="3043"/>
      <c r="AG30" s="3043"/>
      <c r="AH30" s="3043"/>
      <c r="AI30" s="3043"/>
      <c r="AJ30" s="3043"/>
      <c r="AK30" s="3043"/>
      <c r="AL30" s="3043"/>
      <c r="AM30" s="3043"/>
      <c r="AN30" s="3043">
        <v>77.010000000000005</v>
      </c>
      <c r="AO30" s="92"/>
      <c r="AP30" s="92"/>
      <c r="AQ30" s="92"/>
      <c r="AR30" s="92"/>
      <c r="AS30" s="92"/>
      <c r="AT30" s="93"/>
      <c r="AU30" s="94"/>
      <c r="AV30" s="1978">
        <f t="shared" si="37"/>
        <v>0</v>
      </c>
      <c r="AW30" s="1978">
        <f t="shared" si="38"/>
        <v>0</v>
      </c>
      <c r="AX30" s="1978" t="str">
        <f t="shared" si="39"/>
        <v>18#住宅楼</v>
      </c>
      <c r="AY30" s="95">
        <f t="shared" si="40"/>
        <v>1933.33</v>
      </c>
      <c r="AZ30" s="87">
        <f t="shared" si="41"/>
        <v>6104.25</v>
      </c>
      <c r="BA30" s="87">
        <f t="shared" si="42"/>
        <v>6027.24</v>
      </c>
      <c r="BB30" s="87">
        <f t="shared" si="43"/>
        <v>5667.41</v>
      </c>
      <c r="BC30" s="87">
        <f t="shared" si="44"/>
        <v>359.83</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77.010000000000005</v>
      </c>
      <c r="BM30" s="87">
        <f t="shared" si="54"/>
        <v>0</v>
      </c>
      <c r="BN30" s="87">
        <f t="shared" si="55"/>
        <v>0</v>
      </c>
      <c r="BO30" s="87">
        <f t="shared" si="56"/>
        <v>0</v>
      </c>
      <c r="BP30" s="87">
        <f t="shared" si="57"/>
        <v>0</v>
      </c>
      <c r="BQ30" s="87">
        <f t="shared" si="58"/>
        <v>0</v>
      </c>
      <c r="BR30" s="87">
        <f t="shared" si="59"/>
        <v>77.010000000000005</v>
      </c>
      <c r="BS30" s="87">
        <f t="shared" si="60"/>
        <v>0</v>
      </c>
      <c r="BT30" s="96">
        <f t="shared" si="61"/>
        <v>0</v>
      </c>
    </row>
    <row r="31" spans="1:72">
      <c r="A31" s="84"/>
      <c r="B31" s="1392"/>
      <c r="C31" s="3037" t="s">
        <v>3028</v>
      </c>
      <c r="D31" s="3038" t="s">
        <v>1679</v>
      </c>
      <c r="E31" s="87">
        <f t="shared" si="33"/>
        <v>5671.57</v>
      </c>
      <c r="F31" s="88"/>
      <c r="G31" s="89">
        <f t="shared" si="34"/>
        <v>17907.29</v>
      </c>
      <c r="H31" s="90">
        <f t="shared" si="35"/>
        <v>16853.63</v>
      </c>
      <c r="I31" s="3039">
        <v>15799.97</v>
      </c>
      <c r="J31" s="3039"/>
      <c r="K31" s="3039">
        <v>1053.6600000000001</v>
      </c>
      <c r="L31" s="91"/>
      <c r="M31" s="91"/>
      <c r="N31" s="91"/>
      <c r="O31" s="91"/>
      <c r="P31" s="91"/>
      <c r="Q31" s="91"/>
      <c r="R31" s="91"/>
      <c r="S31" s="91"/>
      <c r="T31" s="91"/>
      <c r="U31" s="91"/>
      <c r="V31" s="91"/>
      <c r="W31" s="91"/>
      <c r="X31" s="91"/>
      <c r="Y31" s="91"/>
      <c r="Z31" s="91"/>
      <c r="AA31" s="91"/>
      <c r="AB31" s="91"/>
      <c r="AC31" s="87">
        <f t="shared" si="36"/>
        <v>1053.6599999999999</v>
      </c>
      <c r="AD31" s="92"/>
      <c r="AE31" s="92"/>
      <c r="AF31" s="3043">
        <v>895.05</v>
      </c>
      <c r="AG31" s="3043"/>
      <c r="AH31" s="3043"/>
      <c r="AI31" s="3043"/>
      <c r="AJ31" s="3043"/>
      <c r="AK31" s="3043"/>
      <c r="AL31" s="3043"/>
      <c r="AM31" s="3043"/>
      <c r="AN31" s="3043">
        <v>158.61000000000001</v>
      </c>
      <c r="AO31" s="92"/>
      <c r="AP31" s="92"/>
      <c r="AQ31" s="92"/>
      <c r="AR31" s="92"/>
      <c r="AS31" s="92"/>
      <c r="AT31" s="93"/>
      <c r="AU31" s="94"/>
      <c r="AV31" s="1978">
        <f t="shared" si="37"/>
        <v>0</v>
      </c>
      <c r="AW31" s="1978">
        <f t="shared" si="38"/>
        <v>0</v>
      </c>
      <c r="AX31" s="1978" t="str">
        <f t="shared" si="39"/>
        <v>19#住宅楼</v>
      </c>
      <c r="AY31" s="95">
        <f t="shared" si="40"/>
        <v>5671.57</v>
      </c>
      <c r="AZ31" s="87">
        <f t="shared" si="41"/>
        <v>17907.29</v>
      </c>
      <c r="BA31" s="87">
        <f t="shared" si="42"/>
        <v>16853.63</v>
      </c>
      <c r="BB31" s="87">
        <f t="shared" si="43"/>
        <v>15799.97</v>
      </c>
      <c r="BC31" s="87">
        <f t="shared" si="44"/>
        <v>1053.6600000000001</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1053.6599999999999</v>
      </c>
      <c r="BM31" s="87">
        <f t="shared" si="54"/>
        <v>0</v>
      </c>
      <c r="BN31" s="87">
        <f t="shared" si="55"/>
        <v>895.05</v>
      </c>
      <c r="BO31" s="87">
        <f t="shared" si="56"/>
        <v>0</v>
      </c>
      <c r="BP31" s="87">
        <f t="shared" si="57"/>
        <v>0</v>
      </c>
      <c r="BQ31" s="87">
        <f t="shared" si="58"/>
        <v>0</v>
      </c>
      <c r="BR31" s="87">
        <f t="shared" si="59"/>
        <v>158.61000000000001</v>
      </c>
      <c r="BS31" s="87">
        <f t="shared" si="60"/>
        <v>0</v>
      </c>
      <c r="BT31" s="96">
        <f t="shared" si="61"/>
        <v>0</v>
      </c>
    </row>
    <row r="32" spans="1:72">
      <c r="A32" s="84"/>
      <c r="B32" s="1392"/>
      <c r="C32" s="3037" t="s">
        <v>3029</v>
      </c>
      <c r="D32" s="3038" t="s">
        <v>1679</v>
      </c>
      <c r="E32" s="87">
        <f t="shared" si="33"/>
        <v>3587.55</v>
      </c>
      <c r="F32" s="88"/>
      <c r="G32" s="89">
        <f t="shared" si="34"/>
        <v>11327.25</v>
      </c>
      <c r="H32" s="90">
        <f t="shared" si="35"/>
        <v>11193.84</v>
      </c>
      <c r="I32" s="3039">
        <v>10534.33</v>
      </c>
      <c r="J32" s="3039"/>
      <c r="K32" s="3039">
        <v>659.51</v>
      </c>
      <c r="L32" s="91"/>
      <c r="M32" s="91"/>
      <c r="N32" s="91"/>
      <c r="O32" s="91"/>
      <c r="P32" s="91"/>
      <c r="Q32" s="91"/>
      <c r="R32" s="91"/>
      <c r="S32" s="91"/>
      <c r="T32" s="91"/>
      <c r="U32" s="91"/>
      <c r="V32" s="91"/>
      <c r="W32" s="91"/>
      <c r="X32" s="91"/>
      <c r="Y32" s="91"/>
      <c r="Z32" s="91"/>
      <c r="AA32" s="91"/>
      <c r="AB32" s="91"/>
      <c r="AC32" s="87">
        <f t="shared" si="36"/>
        <v>133.41</v>
      </c>
      <c r="AD32" s="92"/>
      <c r="AE32" s="92"/>
      <c r="AF32" s="3043"/>
      <c r="AG32" s="3043"/>
      <c r="AH32" s="3043"/>
      <c r="AI32" s="3043"/>
      <c r="AJ32" s="3043"/>
      <c r="AK32" s="3043"/>
      <c r="AL32" s="3043"/>
      <c r="AM32" s="3043"/>
      <c r="AN32" s="3043">
        <v>133.41</v>
      </c>
      <c r="AO32" s="92"/>
      <c r="AP32" s="92"/>
      <c r="AQ32" s="92"/>
      <c r="AR32" s="92"/>
      <c r="AS32" s="92"/>
      <c r="AT32" s="93"/>
      <c r="AU32" s="94"/>
      <c r="AV32" s="1978">
        <f t="shared" si="37"/>
        <v>0</v>
      </c>
      <c r="AW32" s="1978">
        <f t="shared" si="38"/>
        <v>0</v>
      </c>
      <c r="AX32" s="1978" t="str">
        <f t="shared" si="39"/>
        <v>20#住宅楼</v>
      </c>
      <c r="AY32" s="95">
        <f t="shared" si="40"/>
        <v>3587.55</v>
      </c>
      <c r="AZ32" s="87">
        <f t="shared" si="41"/>
        <v>11327.25</v>
      </c>
      <c r="BA32" s="87">
        <f t="shared" si="42"/>
        <v>11193.84</v>
      </c>
      <c r="BB32" s="87">
        <f t="shared" si="43"/>
        <v>10534.33</v>
      </c>
      <c r="BC32" s="87">
        <f t="shared" si="44"/>
        <v>659.51</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133.41</v>
      </c>
      <c r="BM32" s="87">
        <f t="shared" si="54"/>
        <v>0</v>
      </c>
      <c r="BN32" s="87">
        <f t="shared" si="55"/>
        <v>0</v>
      </c>
      <c r="BO32" s="87">
        <f t="shared" si="56"/>
        <v>0</v>
      </c>
      <c r="BP32" s="87">
        <f t="shared" si="57"/>
        <v>0</v>
      </c>
      <c r="BQ32" s="87">
        <f t="shared" si="58"/>
        <v>0</v>
      </c>
      <c r="BR32" s="87">
        <f t="shared" si="59"/>
        <v>133.41</v>
      </c>
      <c r="BS32" s="87">
        <f t="shared" si="60"/>
        <v>0</v>
      </c>
      <c r="BT32" s="96">
        <f t="shared" si="61"/>
        <v>0</v>
      </c>
    </row>
    <row r="33" spans="1:72">
      <c r="A33" s="84"/>
      <c r="B33" s="1392"/>
      <c r="C33" s="3037" t="s">
        <v>3030</v>
      </c>
      <c r="D33" s="3038" t="s">
        <v>1679</v>
      </c>
      <c r="E33" s="87">
        <f t="shared" si="33"/>
        <v>6005.28</v>
      </c>
      <c r="F33" s="88"/>
      <c r="G33" s="89">
        <f t="shared" si="34"/>
        <v>18960.95</v>
      </c>
      <c r="H33" s="90">
        <f t="shared" si="35"/>
        <v>17907.29</v>
      </c>
      <c r="I33" s="3039">
        <v>15799.97</v>
      </c>
      <c r="J33" s="3039"/>
      <c r="K33" s="3039">
        <v>2107.3200000000002</v>
      </c>
      <c r="L33" s="91"/>
      <c r="M33" s="91"/>
      <c r="N33" s="91"/>
      <c r="O33" s="91"/>
      <c r="P33" s="91"/>
      <c r="Q33" s="91"/>
      <c r="R33" s="91"/>
      <c r="S33" s="91"/>
      <c r="T33" s="91"/>
      <c r="U33" s="91"/>
      <c r="V33" s="91"/>
      <c r="W33" s="91"/>
      <c r="X33" s="91"/>
      <c r="Y33" s="91"/>
      <c r="Z33" s="91"/>
      <c r="AA33" s="91"/>
      <c r="AB33" s="91"/>
      <c r="AC33" s="87">
        <f t="shared" si="36"/>
        <v>1053.6599999999999</v>
      </c>
      <c r="AD33" s="92"/>
      <c r="AE33" s="92"/>
      <c r="AF33" s="3043">
        <v>895.05</v>
      </c>
      <c r="AG33" s="3043"/>
      <c r="AH33" s="3043"/>
      <c r="AI33" s="3043"/>
      <c r="AJ33" s="3043"/>
      <c r="AK33" s="3043"/>
      <c r="AL33" s="3043"/>
      <c r="AM33" s="3043"/>
      <c r="AN33" s="3043">
        <v>158.61000000000001</v>
      </c>
      <c r="AO33" s="92"/>
      <c r="AP33" s="92"/>
      <c r="AQ33" s="92"/>
      <c r="AR33" s="92"/>
      <c r="AS33" s="92"/>
      <c r="AT33" s="93"/>
      <c r="AU33" s="94"/>
      <c r="AV33" s="1978">
        <f t="shared" si="37"/>
        <v>0</v>
      </c>
      <c r="AW33" s="1978">
        <f t="shared" si="38"/>
        <v>0</v>
      </c>
      <c r="AX33" s="1978" t="str">
        <f t="shared" si="39"/>
        <v>21#住宅楼</v>
      </c>
      <c r="AY33" s="95">
        <f t="shared" si="40"/>
        <v>6005.28</v>
      </c>
      <c r="AZ33" s="87">
        <f t="shared" si="41"/>
        <v>18960.95</v>
      </c>
      <c r="BA33" s="87">
        <f t="shared" si="42"/>
        <v>17907.29</v>
      </c>
      <c r="BB33" s="87">
        <f t="shared" si="43"/>
        <v>15799.97</v>
      </c>
      <c r="BC33" s="87">
        <f t="shared" si="44"/>
        <v>2107.3200000000002</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1053.6599999999999</v>
      </c>
      <c r="BM33" s="87">
        <f t="shared" si="54"/>
        <v>0</v>
      </c>
      <c r="BN33" s="87">
        <f t="shared" si="55"/>
        <v>895.05</v>
      </c>
      <c r="BO33" s="87">
        <f t="shared" si="56"/>
        <v>0</v>
      </c>
      <c r="BP33" s="87">
        <f t="shared" si="57"/>
        <v>0</v>
      </c>
      <c r="BQ33" s="87">
        <f t="shared" si="58"/>
        <v>0</v>
      </c>
      <c r="BR33" s="87">
        <f t="shared" si="59"/>
        <v>158.61000000000001</v>
      </c>
      <c r="BS33" s="87">
        <f t="shared" si="60"/>
        <v>0</v>
      </c>
      <c r="BT33" s="96">
        <f t="shared" si="61"/>
        <v>0</v>
      </c>
    </row>
    <row r="34" spans="1:72">
      <c r="A34" s="84"/>
      <c r="B34" s="1392"/>
      <c r="C34" s="3037" t="s">
        <v>3031</v>
      </c>
      <c r="D34" s="3038" t="s">
        <v>1679</v>
      </c>
      <c r="E34" s="87">
        <f t="shared" si="33"/>
        <v>1919.1</v>
      </c>
      <c r="F34" s="88"/>
      <c r="G34" s="89">
        <f t="shared" si="34"/>
        <v>6059.33</v>
      </c>
      <c r="H34" s="90">
        <f t="shared" si="35"/>
        <v>5982.32</v>
      </c>
      <c r="I34" s="3039">
        <v>5666.96</v>
      </c>
      <c r="J34" s="3039"/>
      <c r="K34" s="3039">
        <v>315.36</v>
      </c>
      <c r="L34" s="91"/>
      <c r="M34" s="91"/>
      <c r="N34" s="91"/>
      <c r="O34" s="91"/>
      <c r="P34" s="91"/>
      <c r="Q34" s="91"/>
      <c r="R34" s="91"/>
      <c r="S34" s="91"/>
      <c r="T34" s="91"/>
      <c r="U34" s="91"/>
      <c r="V34" s="91"/>
      <c r="W34" s="91"/>
      <c r="X34" s="91"/>
      <c r="Y34" s="91"/>
      <c r="Z34" s="91"/>
      <c r="AA34" s="91"/>
      <c r="AB34" s="91"/>
      <c r="AC34" s="87">
        <f t="shared" si="36"/>
        <v>77.010000000000005</v>
      </c>
      <c r="AD34" s="92"/>
      <c r="AE34" s="92"/>
      <c r="AF34" s="3043"/>
      <c r="AG34" s="3043"/>
      <c r="AH34" s="3043"/>
      <c r="AI34" s="3043"/>
      <c r="AJ34" s="3043"/>
      <c r="AK34" s="3043"/>
      <c r="AL34" s="3043"/>
      <c r="AM34" s="3043"/>
      <c r="AN34" s="3043">
        <v>77.010000000000005</v>
      </c>
      <c r="AO34" s="92"/>
      <c r="AP34" s="92"/>
      <c r="AQ34" s="92"/>
      <c r="AR34" s="92"/>
      <c r="AS34" s="92"/>
      <c r="AT34" s="93"/>
      <c r="AU34" s="94"/>
      <c r="AV34" s="1978">
        <f t="shared" si="37"/>
        <v>0</v>
      </c>
      <c r="AW34" s="1978">
        <f t="shared" si="38"/>
        <v>0</v>
      </c>
      <c r="AX34" s="1978" t="str">
        <f t="shared" si="39"/>
        <v>22#住宅楼</v>
      </c>
      <c r="AY34" s="95">
        <f t="shared" si="40"/>
        <v>1919.1</v>
      </c>
      <c r="AZ34" s="87">
        <f t="shared" si="41"/>
        <v>6059.33</v>
      </c>
      <c r="BA34" s="87">
        <f t="shared" si="42"/>
        <v>5982.32</v>
      </c>
      <c r="BB34" s="87">
        <f t="shared" si="43"/>
        <v>5666.96</v>
      </c>
      <c r="BC34" s="87">
        <f t="shared" si="44"/>
        <v>315.36</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77.010000000000005</v>
      </c>
      <c r="BM34" s="87">
        <f t="shared" si="54"/>
        <v>0</v>
      </c>
      <c r="BN34" s="87">
        <f t="shared" si="55"/>
        <v>0</v>
      </c>
      <c r="BO34" s="87">
        <f t="shared" si="56"/>
        <v>0</v>
      </c>
      <c r="BP34" s="87">
        <f t="shared" si="57"/>
        <v>0</v>
      </c>
      <c r="BQ34" s="87">
        <f t="shared" si="58"/>
        <v>0</v>
      </c>
      <c r="BR34" s="87">
        <f t="shared" si="59"/>
        <v>77.010000000000005</v>
      </c>
      <c r="BS34" s="87">
        <f t="shared" si="60"/>
        <v>0</v>
      </c>
      <c r="BT34" s="96">
        <f t="shared" si="61"/>
        <v>0</v>
      </c>
    </row>
    <row r="35" spans="1:72" ht="28.5">
      <c r="A35" s="84"/>
      <c r="B35" s="1392"/>
      <c r="C35" s="3037" t="s">
        <v>3033</v>
      </c>
      <c r="D35" s="3038" t="s">
        <v>1679</v>
      </c>
      <c r="E35" s="87">
        <f t="shared" si="33"/>
        <v>363.23</v>
      </c>
      <c r="F35" s="88"/>
      <c r="G35" s="89">
        <f t="shared" si="34"/>
        <v>1146.8599999999999</v>
      </c>
      <c r="H35" s="90">
        <f t="shared" si="35"/>
        <v>107.32</v>
      </c>
      <c r="I35" s="1395"/>
      <c r="J35" s="91"/>
      <c r="K35" s="1395"/>
      <c r="L35" s="91"/>
      <c r="M35" s="91"/>
      <c r="N35" s="91"/>
      <c r="O35" s="91">
        <v>107.32</v>
      </c>
      <c r="P35" s="91"/>
      <c r="Q35" s="91"/>
      <c r="R35" s="91"/>
      <c r="S35" s="91"/>
      <c r="T35" s="91"/>
      <c r="U35" s="91"/>
      <c r="V35" s="91"/>
      <c r="W35" s="91"/>
      <c r="X35" s="91"/>
      <c r="Y35" s="91"/>
      <c r="Z35" s="91"/>
      <c r="AA35" s="91"/>
      <c r="AB35" s="91"/>
      <c r="AC35" s="87">
        <f t="shared" si="36"/>
        <v>1039.54</v>
      </c>
      <c r="AD35" s="92">
        <f>15.83+70.49</f>
        <v>86.32</v>
      </c>
      <c r="AE35" s="92"/>
      <c r="AF35" s="3043">
        <f>144.06+76.04+144.06</f>
        <v>364.16</v>
      </c>
      <c r="AG35" s="3043"/>
      <c r="AH35" s="3043">
        <f>118.62+374.46</f>
        <v>493.08</v>
      </c>
      <c r="AI35" s="3043"/>
      <c r="AJ35" s="3043">
        <v>95.98</v>
      </c>
      <c r="AK35" s="3043"/>
      <c r="AL35" s="3043"/>
      <c r="AM35" s="3043"/>
      <c r="AN35" s="3043"/>
      <c r="AO35" s="92"/>
      <c r="AP35" s="92"/>
      <c r="AQ35" s="92"/>
      <c r="AR35" s="92"/>
      <c r="AS35" s="92"/>
      <c r="AT35" s="93"/>
      <c r="AU35" s="94"/>
      <c r="AV35" s="1978">
        <f t="shared" si="37"/>
        <v>0</v>
      </c>
      <c r="AW35" s="1978">
        <f t="shared" si="38"/>
        <v>0</v>
      </c>
      <c r="AX35" s="1978" t="str">
        <f t="shared" si="39"/>
        <v>S-1#配套用房</v>
      </c>
      <c r="AY35" s="95">
        <f t="shared" si="40"/>
        <v>363.23</v>
      </c>
      <c r="AZ35" s="87">
        <f t="shared" si="41"/>
        <v>1146.8599999999999</v>
      </c>
      <c r="BA35" s="87">
        <f t="shared" si="42"/>
        <v>107.32</v>
      </c>
      <c r="BB35" s="87">
        <f t="shared" si="43"/>
        <v>0</v>
      </c>
      <c r="BC35" s="87">
        <f t="shared" si="44"/>
        <v>0</v>
      </c>
      <c r="BD35" s="87">
        <f t="shared" si="45"/>
        <v>0</v>
      </c>
      <c r="BE35" s="87">
        <f t="shared" si="46"/>
        <v>107.32</v>
      </c>
      <c r="BF35" s="87">
        <f t="shared" si="47"/>
        <v>0</v>
      </c>
      <c r="BG35" s="87">
        <f t="shared" si="48"/>
        <v>0</v>
      </c>
      <c r="BH35" s="87">
        <f t="shared" si="49"/>
        <v>0</v>
      </c>
      <c r="BI35" s="87">
        <f t="shared" si="50"/>
        <v>0</v>
      </c>
      <c r="BJ35" s="87">
        <f t="shared" si="51"/>
        <v>0</v>
      </c>
      <c r="BK35" s="87">
        <f t="shared" si="52"/>
        <v>0</v>
      </c>
      <c r="BL35" s="87">
        <f t="shared" si="53"/>
        <v>1039.54</v>
      </c>
      <c r="BM35" s="87">
        <f t="shared" si="54"/>
        <v>86.32</v>
      </c>
      <c r="BN35" s="87">
        <f t="shared" si="55"/>
        <v>364.16</v>
      </c>
      <c r="BO35" s="87">
        <f t="shared" si="56"/>
        <v>493.08</v>
      </c>
      <c r="BP35" s="87">
        <f t="shared" si="57"/>
        <v>95.98</v>
      </c>
      <c r="BQ35" s="87">
        <f t="shared" si="58"/>
        <v>0</v>
      </c>
      <c r="BR35" s="87">
        <f t="shared" si="59"/>
        <v>0</v>
      </c>
      <c r="BS35" s="87">
        <f t="shared" si="60"/>
        <v>0</v>
      </c>
      <c r="BT35" s="96">
        <f t="shared" si="61"/>
        <v>0</v>
      </c>
    </row>
    <row r="36" spans="1:72" ht="28.5">
      <c r="A36" s="84"/>
      <c r="B36" s="1392"/>
      <c r="C36" s="3037" t="s">
        <v>3034</v>
      </c>
      <c r="D36" s="3038" t="s">
        <v>1679</v>
      </c>
      <c r="E36" s="87">
        <f t="shared" si="33"/>
        <v>71.260000000000005</v>
      </c>
      <c r="F36" s="88"/>
      <c r="G36" s="89">
        <f t="shared" si="34"/>
        <v>225</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225</v>
      </c>
      <c r="AD36" s="92"/>
      <c r="AE36" s="92"/>
      <c r="AF36" s="1395"/>
      <c r="AG36" s="92"/>
      <c r="AH36" s="92"/>
      <c r="AI36" s="92"/>
      <c r="AJ36" s="92"/>
      <c r="AK36" s="92"/>
      <c r="AL36" s="92">
        <v>150</v>
      </c>
      <c r="AM36" s="92"/>
      <c r="AN36" s="92">
        <v>75</v>
      </c>
      <c r="AO36" s="92"/>
      <c r="AP36" s="92"/>
      <c r="AQ36" s="92"/>
      <c r="AR36" s="92"/>
      <c r="AS36" s="92"/>
      <c r="AT36" s="93"/>
      <c r="AU36" s="94"/>
      <c r="AV36" s="1978">
        <f t="shared" si="37"/>
        <v>0</v>
      </c>
      <c r="AW36" s="1978">
        <f t="shared" si="38"/>
        <v>0</v>
      </c>
      <c r="AX36" s="1978" t="str">
        <f t="shared" si="39"/>
        <v>S-2#低基配电室</v>
      </c>
      <c r="AY36" s="95">
        <f t="shared" si="40"/>
        <v>71.260000000000005</v>
      </c>
      <c r="AZ36" s="87">
        <f t="shared" si="41"/>
        <v>225</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225</v>
      </c>
      <c r="BM36" s="87">
        <f t="shared" si="54"/>
        <v>0</v>
      </c>
      <c r="BN36" s="87">
        <f t="shared" si="55"/>
        <v>0</v>
      </c>
      <c r="BO36" s="87">
        <f t="shared" si="56"/>
        <v>0</v>
      </c>
      <c r="BP36" s="87">
        <f t="shared" si="57"/>
        <v>0</v>
      </c>
      <c r="BQ36" s="87">
        <f t="shared" si="58"/>
        <v>150</v>
      </c>
      <c r="BR36" s="87">
        <f t="shared" si="59"/>
        <v>75</v>
      </c>
      <c r="BS36" s="87">
        <f t="shared" si="60"/>
        <v>0</v>
      </c>
      <c r="BT36" s="96">
        <f t="shared" si="61"/>
        <v>0</v>
      </c>
    </row>
    <row r="37" spans="1:72" ht="28.5">
      <c r="A37" s="84"/>
      <c r="B37" s="1392"/>
      <c r="C37" s="3037" t="s">
        <v>3035</v>
      </c>
      <c r="D37" s="3038" t="s">
        <v>1679</v>
      </c>
      <c r="E37" s="87">
        <f t="shared" si="33"/>
        <v>71.260000000000005</v>
      </c>
      <c r="F37" s="88"/>
      <c r="G37" s="89">
        <f t="shared" si="34"/>
        <v>225</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225</v>
      </c>
      <c r="AD37" s="92"/>
      <c r="AE37" s="92"/>
      <c r="AF37" s="1395"/>
      <c r="AG37" s="92"/>
      <c r="AH37" s="92"/>
      <c r="AI37" s="92"/>
      <c r="AJ37" s="92"/>
      <c r="AK37" s="92"/>
      <c r="AL37" s="92">
        <v>150</v>
      </c>
      <c r="AM37" s="92"/>
      <c r="AN37" s="92">
        <v>75</v>
      </c>
      <c r="AO37" s="92"/>
      <c r="AP37" s="92"/>
      <c r="AQ37" s="92"/>
      <c r="AR37" s="92"/>
      <c r="AS37" s="92"/>
      <c r="AT37" s="93"/>
      <c r="AU37" s="94"/>
      <c r="AV37" s="1978">
        <f t="shared" si="37"/>
        <v>0</v>
      </c>
      <c r="AW37" s="1978">
        <f t="shared" si="38"/>
        <v>0</v>
      </c>
      <c r="AX37" s="1978" t="str">
        <f t="shared" si="39"/>
        <v>S-3#低基配电室</v>
      </c>
      <c r="AY37" s="95">
        <f t="shared" si="40"/>
        <v>71.260000000000005</v>
      </c>
      <c r="AZ37" s="87">
        <f t="shared" si="41"/>
        <v>225</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225</v>
      </c>
      <c r="BM37" s="87">
        <f t="shared" si="54"/>
        <v>0</v>
      </c>
      <c r="BN37" s="87">
        <f t="shared" si="55"/>
        <v>0</v>
      </c>
      <c r="BO37" s="87">
        <f t="shared" si="56"/>
        <v>0</v>
      </c>
      <c r="BP37" s="87">
        <f t="shared" si="57"/>
        <v>0</v>
      </c>
      <c r="BQ37" s="87">
        <f t="shared" si="58"/>
        <v>150</v>
      </c>
      <c r="BR37" s="87">
        <f t="shared" si="59"/>
        <v>75</v>
      </c>
      <c r="BS37" s="87">
        <f t="shared" si="60"/>
        <v>0</v>
      </c>
      <c r="BT37" s="96">
        <f t="shared" si="61"/>
        <v>0</v>
      </c>
    </row>
    <row r="38" spans="1:72" ht="28.5">
      <c r="A38" s="84"/>
      <c r="B38" s="1392"/>
      <c r="C38" s="3037" t="s">
        <v>3036</v>
      </c>
      <c r="D38" s="3038" t="s">
        <v>1679</v>
      </c>
      <c r="E38" s="87">
        <f t="shared" si="33"/>
        <v>71.260000000000005</v>
      </c>
      <c r="F38" s="88"/>
      <c r="G38" s="89">
        <f t="shared" si="34"/>
        <v>225</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225</v>
      </c>
      <c r="AD38" s="92"/>
      <c r="AE38" s="92"/>
      <c r="AF38" s="1395"/>
      <c r="AG38" s="92"/>
      <c r="AH38" s="92"/>
      <c r="AI38" s="92"/>
      <c r="AJ38" s="92"/>
      <c r="AK38" s="92"/>
      <c r="AL38" s="92">
        <v>150</v>
      </c>
      <c r="AM38" s="92"/>
      <c r="AN38" s="92">
        <v>75</v>
      </c>
      <c r="AO38" s="92"/>
      <c r="AP38" s="92"/>
      <c r="AQ38" s="92"/>
      <c r="AR38" s="92"/>
      <c r="AS38" s="92"/>
      <c r="AT38" s="93"/>
      <c r="AU38" s="94"/>
      <c r="AV38" s="1978">
        <f t="shared" si="37"/>
        <v>0</v>
      </c>
      <c r="AW38" s="1978">
        <f t="shared" si="38"/>
        <v>0</v>
      </c>
      <c r="AX38" s="1978" t="str">
        <f t="shared" si="39"/>
        <v>S-4#低基配电室</v>
      </c>
      <c r="AY38" s="95">
        <f t="shared" si="40"/>
        <v>71.260000000000005</v>
      </c>
      <c r="AZ38" s="87">
        <f t="shared" si="41"/>
        <v>225</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225</v>
      </c>
      <c r="BM38" s="87">
        <f t="shared" si="54"/>
        <v>0</v>
      </c>
      <c r="BN38" s="87">
        <f t="shared" si="55"/>
        <v>0</v>
      </c>
      <c r="BO38" s="87">
        <f t="shared" si="56"/>
        <v>0</v>
      </c>
      <c r="BP38" s="87">
        <f t="shared" si="57"/>
        <v>0</v>
      </c>
      <c r="BQ38" s="87">
        <f t="shared" si="58"/>
        <v>150</v>
      </c>
      <c r="BR38" s="87">
        <f t="shared" si="59"/>
        <v>75</v>
      </c>
      <c r="BS38" s="87">
        <f t="shared" si="60"/>
        <v>0</v>
      </c>
      <c r="BT38" s="96">
        <f t="shared" si="61"/>
        <v>0</v>
      </c>
    </row>
    <row r="39" spans="1:72" ht="42.75">
      <c r="A39" s="84"/>
      <c r="B39" s="1392"/>
      <c r="C39" s="3037" t="s">
        <v>3037</v>
      </c>
      <c r="D39" s="3038" t="s">
        <v>1679</v>
      </c>
      <c r="E39" s="87">
        <f t="shared" si="33"/>
        <v>85.51</v>
      </c>
      <c r="F39" s="88"/>
      <c r="G39" s="89">
        <f t="shared" si="34"/>
        <v>270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270</v>
      </c>
      <c r="AD39" s="92"/>
      <c r="AE39" s="92"/>
      <c r="AF39" s="1395"/>
      <c r="AG39" s="92"/>
      <c r="AH39" s="92"/>
      <c r="AI39" s="92"/>
      <c r="AJ39" s="92"/>
      <c r="AK39" s="92"/>
      <c r="AL39" s="92">
        <v>180</v>
      </c>
      <c r="AM39" s="92"/>
      <c r="AN39" s="92">
        <v>90</v>
      </c>
      <c r="AO39" s="92"/>
      <c r="AP39" s="92"/>
      <c r="AQ39" s="92"/>
      <c r="AR39" s="92"/>
      <c r="AS39" s="92"/>
      <c r="AT39" s="93"/>
      <c r="AU39" s="94"/>
      <c r="AV39" s="1978">
        <f t="shared" si="37"/>
        <v>0</v>
      </c>
      <c r="AW39" s="1978">
        <f t="shared" si="38"/>
        <v>0</v>
      </c>
      <c r="AX39" s="1978" t="str">
        <f t="shared" si="39"/>
        <v>S-5#低基配电室及分界室</v>
      </c>
      <c r="AY39" s="95">
        <f t="shared" si="40"/>
        <v>85.51</v>
      </c>
      <c r="AZ39" s="87">
        <f t="shared" si="41"/>
        <v>270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270</v>
      </c>
      <c r="BM39" s="87">
        <f t="shared" si="54"/>
        <v>0</v>
      </c>
      <c r="BN39" s="87">
        <f t="shared" si="55"/>
        <v>0</v>
      </c>
      <c r="BO39" s="87">
        <f t="shared" si="56"/>
        <v>0</v>
      </c>
      <c r="BP39" s="87">
        <f t="shared" si="57"/>
        <v>0</v>
      </c>
      <c r="BQ39" s="87">
        <f t="shared" si="58"/>
        <v>180</v>
      </c>
      <c r="BR39" s="87">
        <f t="shared" si="59"/>
        <v>90</v>
      </c>
      <c r="BS39" s="87">
        <f t="shared" si="60"/>
        <v>0</v>
      </c>
      <c r="BT39" s="96">
        <f t="shared" si="61"/>
        <v>0</v>
      </c>
    </row>
    <row r="40" spans="1:72" ht="28.5">
      <c r="A40" s="84"/>
      <c r="B40" s="1392"/>
      <c r="C40" s="3037" t="s">
        <v>3038</v>
      </c>
      <c r="D40" s="3038" t="s">
        <v>1679</v>
      </c>
      <c r="E40" s="87">
        <f t="shared" si="33"/>
        <v>6227.93</v>
      </c>
      <c r="F40" s="88"/>
      <c r="G40" s="89">
        <f t="shared" si="34"/>
        <v>19698.939999999999</v>
      </c>
      <c r="H40" s="90">
        <f t="shared" si="35"/>
        <v>18816.689999999999</v>
      </c>
      <c r="I40" s="1395"/>
      <c r="J40" s="91"/>
      <c r="K40" s="1395"/>
      <c r="L40" s="91"/>
      <c r="M40" s="91">
        <f>19663.94-AN40</f>
        <v>18816.689999999999</v>
      </c>
      <c r="N40" s="91"/>
      <c r="O40" s="91"/>
      <c r="P40" s="91"/>
      <c r="Q40" s="91"/>
      <c r="R40" s="91"/>
      <c r="S40" s="91"/>
      <c r="T40" s="91"/>
      <c r="U40" s="91"/>
      <c r="V40" s="91"/>
      <c r="W40" s="91"/>
      <c r="X40" s="91"/>
      <c r="Y40" s="91"/>
      <c r="Z40" s="91"/>
      <c r="AA40" s="91"/>
      <c r="AB40" s="91"/>
      <c r="AC40" s="87">
        <f t="shared" si="36"/>
        <v>847.25</v>
      </c>
      <c r="AD40" s="92"/>
      <c r="AE40" s="92"/>
      <c r="AF40" s="1395"/>
      <c r="AG40" s="92"/>
      <c r="AH40" s="92"/>
      <c r="AI40" s="92"/>
      <c r="AJ40" s="92"/>
      <c r="AK40" s="92"/>
      <c r="AL40" s="92"/>
      <c r="AM40" s="92"/>
      <c r="AN40" s="92">
        <f>38+32+13+52+37+73.14+132.15+70.09+256.11+143.76</f>
        <v>847.25</v>
      </c>
      <c r="AO40" s="92"/>
      <c r="AP40" s="92"/>
      <c r="AQ40" s="92"/>
      <c r="AR40" s="92"/>
      <c r="AS40" s="92"/>
      <c r="AT40" s="93">
        <v>35</v>
      </c>
      <c r="AU40" s="94"/>
      <c r="AV40" s="1978">
        <f t="shared" si="37"/>
        <v>0</v>
      </c>
      <c r="AW40" s="1978">
        <f t="shared" si="38"/>
        <v>0</v>
      </c>
      <c r="AX40" s="1978" t="str">
        <f t="shared" si="39"/>
        <v>地下车库北区</v>
      </c>
      <c r="AY40" s="95">
        <f t="shared" si="40"/>
        <v>6227.93</v>
      </c>
      <c r="AZ40" s="87">
        <f t="shared" si="41"/>
        <v>19663.939999999999</v>
      </c>
      <c r="BA40" s="87">
        <f t="shared" si="42"/>
        <v>18816.689999999999</v>
      </c>
      <c r="BB40" s="87">
        <f t="shared" si="43"/>
        <v>0</v>
      </c>
      <c r="BC40" s="87">
        <f t="shared" si="44"/>
        <v>0</v>
      </c>
      <c r="BD40" s="87">
        <f t="shared" si="45"/>
        <v>18816.689999999999</v>
      </c>
      <c r="BE40" s="87">
        <f t="shared" si="46"/>
        <v>0</v>
      </c>
      <c r="BF40" s="87">
        <f t="shared" si="47"/>
        <v>0</v>
      </c>
      <c r="BG40" s="87">
        <f t="shared" si="48"/>
        <v>0</v>
      </c>
      <c r="BH40" s="87">
        <f t="shared" si="49"/>
        <v>0</v>
      </c>
      <c r="BI40" s="87">
        <f t="shared" si="50"/>
        <v>0</v>
      </c>
      <c r="BJ40" s="87">
        <f t="shared" si="51"/>
        <v>0</v>
      </c>
      <c r="BK40" s="87">
        <f t="shared" si="52"/>
        <v>0</v>
      </c>
      <c r="BL40" s="87">
        <f t="shared" si="53"/>
        <v>847.25</v>
      </c>
      <c r="BM40" s="87">
        <f t="shared" si="54"/>
        <v>0</v>
      </c>
      <c r="BN40" s="87">
        <f t="shared" si="55"/>
        <v>0</v>
      </c>
      <c r="BO40" s="87">
        <f t="shared" si="56"/>
        <v>0</v>
      </c>
      <c r="BP40" s="87">
        <f t="shared" si="57"/>
        <v>0</v>
      </c>
      <c r="BQ40" s="87">
        <f t="shared" si="58"/>
        <v>0</v>
      </c>
      <c r="BR40" s="87">
        <f t="shared" si="59"/>
        <v>847.25</v>
      </c>
      <c r="BS40" s="87">
        <f t="shared" si="60"/>
        <v>0</v>
      </c>
      <c r="BT40" s="96">
        <f t="shared" si="61"/>
        <v>0</v>
      </c>
    </row>
    <row r="41" spans="1:72" ht="28.5">
      <c r="A41" s="84"/>
      <c r="B41" s="1392"/>
      <c r="C41" s="3037" t="s">
        <v>3039</v>
      </c>
      <c r="D41" s="3038" t="s">
        <v>1679</v>
      </c>
      <c r="E41" s="87">
        <f t="shared" si="33"/>
        <v>7933.34</v>
      </c>
      <c r="F41" s="88"/>
      <c r="G41" s="89">
        <f t="shared" si="34"/>
        <v>48594.59</v>
      </c>
      <c r="H41" s="90">
        <f t="shared" si="35"/>
        <v>24731.279999999999</v>
      </c>
      <c r="I41" s="1395"/>
      <c r="J41" s="91"/>
      <c r="K41" s="1395"/>
      <c r="L41" s="91"/>
      <c r="M41" s="91">
        <f>48267.54-AN41-23219</f>
        <v>24731.279999999999</v>
      </c>
      <c r="N41" s="91"/>
      <c r="O41" s="91"/>
      <c r="P41" s="91"/>
      <c r="Q41" s="91"/>
      <c r="R41" s="91"/>
      <c r="S41" s="91"/>
      <c r="T41" s="91"/>
      <c r="U41" s="91"/>
      <c r="V41" s="91"/>
      <c r="W41" s="91"/>
      <c r="X41" s="91"/>
      <c r="Y41" s="91"/>
      <c r="Z41" s="91"/>
      <c r="AA41" s="91"/>
      <c r="AB41" s="91"/>
      <c r="AC41" s="87">
        <f t="shared" si="36"/>
        <v>317.26</v>
      </c>
      <c r="AD41" s="92"/>
      <c r="AE41" s="92"/>
      <c r="AF41" s="1395"/>
      <c r="AG41" s="92"/>
      <c r="AH41" s="92"/>
      <c r="AI41" s="92"/>
      <c r="AJ41" s="92"/>
      <c r="AK41" s="92"/>
      <c r="AL41" s="92"/>
      <c r="AM41" s="92"/>
      <c r="AN41" s="92">
        <f>150+41+126.26</f>
        <v>317.26</v>
      </c>
      <c r="AO41" s="92"/>
      <c r="AP41" s="92"/>
      <c r="AQ41" s="92"/>
      <c r="AR41" s="92"/>
      <c r="AS41" s="92"/>
      <c r="AT41" s="93">
        <f>327.05+23219</f>
        <v>23546.05</v>
      </c>
      <c r="AU41" s="94"/>
      <c r="AV41" s="1978">
        <f t="shared" si="37"/>
        <v>0</v>
      </c>
      <c r="AW41" s="1978">
        <f t="shared" si="38"/>
        <v>0</v>
      </c>
      <c r="AX41" s="1978" t="str">
        <f t="shared" si="39"/>
        <v>地下车库南区</v>
      </c>
      <c r="AY41" s="95">
        <f t="shared" si="40"/>
        <v>7933.34</v>
      </c>
      <c r="AZ41" s="87">
        <f t="shared" si="41"/>
        <v>25048.539999999997</v>
      </c>
      <c r="BA41" s="87">
        <f t="shared" si="42"/>
        <v>24731.279999999999</v>
      </c>
      <c r="BB41" s="87">
        <f t="shared" si="43"/>
        <v>0</v>
      </c>
      <c r="BC41" s="87">
        <f t="shared" si="44"/>
        <v>0</v>
      </c>
      <c r="BD41" s="87">
        <f t="shared" si="45"/>
        <v>24731.279999999999</v>
      </c>
      <c r="BE41" s="87">
        <f t="shared" si="46"/>
        <v>0</v>
      </c>
      <c r="BF41" s="87">
        <f t="shared" si="47"/>
        <v>0</v>
      </c>
      <c r="BG41" s="87">
        <f t="shared" si="48"/>
        <v>0</v>
      </c>
      <c r="BH41" s="87">
        <f t="shared" si="49"/>
        <v>0</v>
      </c>
      <c r="BI41" s="87">
        <f t="shared" si="50"/>
        <v>0</v>
      </c>
      <c r="BJ41" s="87">
        <f t="shared" si="51"/>
        <v>0</v>
      </c>
      <c r="BK41" s="87">
        <f t="shared" si="52"/>
        <v>0</v>
      </c>
      <c r="BL41" s="87">
        <f t="shared" si="53"/>
        <v>317.26</v>
      </c>
      <c r="BM41" s="87">
        <f t="shared" si="54"/>
        <v>0</v>
      </c>
      <c r="BN41" s="87">
        <f t="shared" si="55"/>
        <v>0</v>
      </c>
      <c r="BO41" s="87">
        <f t="shared" si="56"/>
        <v>0</v>
      </c>
      <c r="BP41" s="87">
        <f t="shared" si="57"/>
        <v>0</v>
      </c>
      <c r="BQ41" s="87">
        <f t="shared" si="58"/>
        <v>0</v>
      </c>
      <c r="BR41" s="87">
        <f t="shared" si="59"/>
        <v>317.26</v>
      </c>
      <c r="BS41" s="87">
        <f t="shared" si="60"/>
        <v>0</v>
      </c>
      <c r="BT41" s="96">
        <f t="shared" si="61"/>
        <v>0</v>
      </c>
    </row>
    <row r="42" spans="1:72">
      <c r="A42" s="84"/>
      <c r="B42" s="1392"/>
      <c r="C42" s="3037"/>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C1" zoomScale="90" zoomScaleNormal="90" zoomScaleSheetLayoutView="90" workbookViewId="0">
      <selection activeCell="E36" sqref="E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6" t="s">
        <v>203</v>
      </c>
      <c r="B2" s="3266"/>
      <c r="C2" s="3266"/>
      <c r="D2" s="1974" t="s">
        <v>204</v>
      </c>
      <c r="E2" s="106" t="s">
        <v>205</v>
      </c>
      <c r="F2" s="1983"/>
      <c r="G2" s="1198"/>
      <c r="H2" s="1199"/>
      <c r="I2" s="1200" t="s">
        <v>857</v>
      </c>
      <c r="J2" s="1983"/>
      <c r="K2" s="1983"/>
      <c r="L2" s="1983"/>
    </row>
    <row r="3" spans="1:16" ht="15.75" thickBot="1">
      <c r="A3" s="3267" t="s">
        <v>206</v>
      </c>
      <c r="B3" s="3267"/>
      <c r="C3" s="3267"/>
      <c r="D3" s="107">
        <f>'数据-基础表'!AY6</f>
        <v>88475.28</v>
      </c>
      <c r="E3" s="107">
        <f>'数据-基础表'!AZ5</f>
        <v>279349.84999999998</v>
      </c>
      <c r="F3" s="1983"/>
      <c r="G3" s="280" t="s">
        <v>858</v>
      </c>
      <c r="H3" s="275" t="s">
        <v>859</v>
      </c>
      <c r="I3" s="1975">
        <f>ROUND('数据-基础表'!B3/'数据-基础表'!A3,2)</f>
        <v>3.16</v>
      </c>
      <c r="J3" s="1983"/>
      <c r="K3" s="1983"/>
      <c r="L3" s="1983"/>
    </row>
    <row r="4" spans="1:16" ht="15">
      <c r="A4" s="3268"/>
      <c r="B4" s="3269"/>
      <c r="C4" s="3270"/>
      <c r="D4" s="108" t="s">
        <v>204</v>
      </c>
      <c r="E4" s="109" t="s">
        <v>205</v>
      </c>
      <c r="F4" s="1983"/>
      <c r="G4" s="1201"/>
      <c r="H4" s="275" t="s">
        <v>860</v>
      </c>
      <c r="I4" s="1975">
        <f>ROUND(SUMIF('数据-基础表'!I9:AS9,"地上",'数据-基础表'!I5:AS5)/'数据-基础表'!A3,2)</f>
        <v>2.2000000000000002</v>
      </c>
      <c r="J4" s="1983"/>
      <c r="K4" s="1983"/>
      <c r="L4" s="1983"/>
    </row>
    <row r="5" spans="1:16">
      <c r="A5" s="110" t="s">
        <v>207</v>
      </c>
      <c r="B5" s="3271" t="s">
        <v>230</v>
      </c>
      <c r="C5" s="3271"/>
      <c r="D5" s="111">
        <f>ROUND($D$3*E5/$E$3,2)</f>
        <v>66308.17</v>
      </c>
      <c r="E5" s="112">
        <f>SUMIF('数据-基础表'!$11:$11,"住宅",'数据-基础表'!$5:$5)</f>
        <v>209359.93</v>
      </c>
      <c r="F5" s="1983"/>
      <c r="G5" s="280" t="s">
        <v>861</v>
      </c>
      <c r="H5" s="275" t="s">
        <v>859</v>
      </c>
      <c r="I5" s="1975">
        <f>ROUND(E31/D31,2)</f>
        <v>3.16</v>
      </c>
      <c r="J5" s="1983"/>
      <c r="K5" s="1983"/>
      <c r="L5" s="1983"/>
    </row>
    <row r="6" spans="1:16" ht="15" thickBot="1">
      <c r="A6" s="113"/>
      <c r="B6" s="3271" t="s">
        <v>208</v>
      </c>
      <c r="C6" s="3271"/>
      <c r="D6" s="111">
        <f>ROUND($D$3*E6/$E$3,2)</f>
        <v>22167.11</v>
      </c>
      <c r="E6" s="112">
        <f>E3-E5</f>
        <v>69989.919999999984</v>
      </c>
      <c r="F6" s="1983"/>
      <c r="G6" s="1201"/>
      <c r="H6" s="275" t="s">
        <v>860</v>
      </c>
      <c r="I6" s="1975">
        <f>ROUND(F31/D31,2)</f>
        <v>2.38</v>
      </c>
      <c r="J6" s="1983"/>
      <c r="K6" s="1983"/>
      <c r="L6" s="1983"/>
    </row>
    <row r="7" spans="1:16" ht="15">
      <c r="A7" s="3263"/>
      <c r="B7" s="3264"/>
      <c r="C7" s="3265"/>
      <c r="D7" s="108" t="s">
        <v>204</v>
      </c>
      <c r="E7" s="114" t="s">
        <v>231</v>
      </c>
      <c r="F7" s="1983"/>
      <c r="G7" s="1156" t="s">
        <v>1646</v>
      </c>
      <c r="H7" s="1157"/>
      <c r="I7" s="1845"/>
      <c r="J7" s="1983"/>
      <c r="K7" s="1983"/>
      <c r="L7" s="1983"/>
    </row>
    <row r="8" spans="1:16">
      <c r="A8" s="110" t="s">
        <v>209</v>
      </c>
      <c r="B8" s="115" t="s">
        <v>210</v>
      </c>
      <c r="C8" s="111" t="s">
        <v>211</v>
      </c>
      <c r="D8" s="111">
        <f t="shared" ref="D8:D15" si="0">ROUND($D$3*E8/$E$3,2)</f>
        <v>66342.16</v>
      </c>
      <c r="E8" s="116">
        <f>SUMIF('数据-基础表'!BB10:BK10,"地上",'数据-基础表'!BB5:BK5)</f>
        <v>209467.25</v>
      </c>
      <c r="F8" s="1983"/>
      <c r="G8" s="1985"/>
      <c r="H8" s="1985"/>
      <c r="I8" s="1983"/>
      <c r="J8" s="1983"/>
      <c r="K8" s="1983"/>
      <c r="L8" s="1983"/>
    </row>
    <row r="9" spans="1:16">
      <c r="A9" s="117"/>
      <c r="B9" s="118"/>
      <c r="C9" s="111" t="s">
        <v>212</v>
      </c>
      <c r="D9" s="111">
        <f t="shared" si="0"/>
        <v>183.51</v>
      </c>
      <c r="E9" s="119">
        <f>'数据-基础表'!AH5+'数据-基础表'!AD5</f>
        <v>579.4</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30.4</v>
      </c>
      <c r="E11" s="116">
        <f>SUMPRODUCT(('数据-基础表'!BB10:BK10="地下")*('数据-基础表'!BB11:BK11="办公")*('数据-基础表'!BB5:BK5))+'数据-基础表'!AJ5</f>
        <v>95.98</v>
      </c>
      <c r="F11" s="1983"/>
      <c r="G11" s="1985"/>
      <c r="H11" s="1985"/>
      <c r="I11" s="1983"/>
      <c r="J11" s="1983"/>
      <c r="K11" s="1983"/>
      <c r="L11" s="1983"/>
    </row>
    <row r="12" spans="1:16">
      <c r="A12" s="117"/>
      <c r="B12" s="118"/>
      <c r="C12" s="111" t="s">
        <v>214</v>
      </c>
      <c r="D12" s="111">
        <f t="shared" si="0"/>
        <v>5054.28</v>
      </c>
      <c r="E12" s="116">
        <f>SUMPRODUCT(('数据-基础表'!BB10:BK10="地下")*('数据-基础表'!BB11:BK11="仓储")*('数据-基础表'!BB5:BK5))</f>
        <v>15958.279999999999</v>
      </c>
      <c r="F12" s="1983"/>
      <c r="G12" s="1985"/>
      <c r="H12" s="1985"/>
      <c r="I12" s="1983"/>
      <c r="J12" s="1983"/>
      <c r="K12" s="1983"/>
      <c r="L12" s="1983"/>
    </row>
    <row r="13" spans="1:16">
      <c r="A13" s="117"/>
      <c r="B13" s="118"/>
      <c r="C13" s="2330" t="s">
        <v>2336</v>
      </c>
      <c r="D13" s="111">
        <f t="shared" si="0"/>
        <v>13792.45</v>
      </c>
      <c r="E13" s="116">
        <f>SUMPRODUCT(('数据-基础表'!BB10:BK10="地下")*('数据-基础表'!BB11:BK11="车库")*('数据-基础表'!BB5:BK5))</f>
        <v>43547.97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85402.799999999988</v>
      </c>
      <c r="E16" s="120">
        <f>SUM(E8:E15)</f>
        <v>269648.88</v>
      </c>
      <c r="F16" s="1983"/>
      <c r="G16" s="1985"/>
      <c r="H16" s="968" t="s">
        <v>219</v>
      </c>
      <c r="I16" s="969"/>
      <c r="J16" s="1983"/>
      <c r="K16" s="3257" t="s">
        <v>2569</v>
      </c>
      <c r="L16" s="3258"/>
      <c r="M16" s="3258"/>
      <c r="N16" s="3258"/>
      <c r="O16" s="3258"/>
      <c r="P16" s="3259"/>
    </row>
    <row r="17" spans="1:19" ht="15">
      <c r="A17" s="121" t="s">
        <v>216</v>
      </c>
      <c r="B17" s="122" t="s">
        <v>217</v>
      </c>
      <c r="C17" s="2297" t="s">
        <v>2315</v>
      </c>
      <c r="D17" s="108" t="s">
        <v>204</v>
      </c>
      <c r="E17" s="124" t="s">
        <v>205</v>
      </c>
      <c r="F17" s="125"/>
      <c r="G17" s="1365"/>
      <c r="H17" s="970" t="s">
        <v>218</v>
      </c>
      <c r="I17" s="971" t="s">
        <v>2314</v>
      </c>
      <c r="J17" s="1983"/>
      <c r="K17" s="3260" t="s">
        <v>2570</v>
      </c>
      <c r="L17" s="3261"/>
      <c r="M17" s="3262"/>
      <c r="N17" s="3260" t="s">
        <v>2571</v>
      </c>
      <c r="O17" s="3261"/>
      <c r="P17" s="3262"/>
      <c r="R17" s="2298" t="s">
        <v>2313</v>
      </c>
      <c r="S17" s="144"/>
    </row>
    <row r="18" spans="1:19" ht="15">
      <c r="A18" s="117"/>
      <c r="B18" s="128"/>
      <c r="C18" s="129"/>
      <c r="D18" s="2665"/>
      <c r="E18" s="130" t="s">
        <v>220</v>
      </c>
      <c r="F18" s="131" t="s">
        <v>221</v>
      </c>
      <c r="G18" s="1366" t="s">
        <v>222</v>
      </c>
      <c r="H18" s="972" t="s">
        <v>223</v>
      </c>
      <c r="I18" s="973" t="s">
        <v>224</v>
      </c>
      <c r="J18" s="1983"/>
      <c r="K18" s="2628" t="s">
        <v>2572</v>
      </c>
      <c r="L18" s="2629" t="s">
        <v>2573</v>
      </c>
      <c r="M18" s="2630" t="s">
        <v>2574</v>
      </c>
      <c r="N18" s="2628" t="s">
        <v>2572</v>
      </c>
      <c r="O18" s="2629" t="s">
        <v>2573</v>
      </c>
      <c r="P18" s="2630" t="s">
        <v>2574</v>
      </c>
      <c r="R18" s="2299" t="s">
        <v>2311</v>
      </c>
      <c r="S18" s="2299" t="s">
        <v>2312</v>
      </c>
    </row>
    <row r="19" spans="1:19">
      <c r="A19" s="133"/>
      <c r="B19" s="115" t="s">
        <v>225</v>
      </c>
      <c r="C19" s="3046" t="s">
        <v>3041</v>
      </c>
      <c r="D19" s="111">
        <f t="shared" ref="D19:D26" si="1">ROUND($D$3*E19/$E$3,2)</f>
        <v>66308.17</v>
      </c>
      <c r="E19" s="134">
        <f t="shared" ref="E19:E26" si="2">SUM(F19:G19)</f>
        <v>209359.93</v>
      </c>
      <c r="F19" s="135">
        <f>'数据-基础表'!I5</f>
        <v>209359.93</v>
      </c>
      <c r="G19" s="1367"/>
      <c r="H19" s="974">
        <f>ROUND($D$3*I19/$E$3,2)</f>
        <v>2962.39</v>
      </c>
      <c r="I19" s="116">
        <f>IF($I$17="自定义",P19,M19)</f>
        <v>9353.3700000000008</v>
      </c>
      <c r="J19" s="1983"/>
      <c r="K19" s="2631">
        <f t="shared" ref="K19:K26" si="3">ROUND(E$28*E19/E$27,2)</f>
        <v>3592.65</v>
      </c>
      <c r="L19" s="275">
        <f t="shared" ref="L19:L26" si="4">ROUND(IF(COUNTIF(C19,"*住宅*")&gt;0,E$29*E19/E$32,0),2)</f>
        <v>5760.72</v>
      </c>
      <c r="M19" s="2632">
        <f>K19+L19</f>
        <v>9353.3700000000008</v>
      </c>
      <c r="N19" s="2633"/>
      <c r="O19" s="2634"/>
      <c r="P19" s="2635">
        <f>N19+O19</f>
        <v>0</v>
      </c>
      <c r="R19" s="275">
        <f t="shared" ref="R19:S26" si="5">D19+H19</f>
        <v>69270.559999999998</v>
      </c>
      <c r="S19" s="2300">
        <f t="shared" si="5"/>
        <v>218713.3</v>
      </c>
    </row>
    <row r="20" spans="1:19">
      <c r="A20" s="138"/>
      <c r="B20" s="115" t="s">
        <v>226</v>
      </c>
      <c r="C20" s="3046" t="s">
        <v>3042</v>
      </c>
      <c r="D20" s="111">
        <f t="shared" si="1"/>
        <v>5054.28</v>
      </c>
      <c r="E20" s="134">
        <f t="shared" si="2"/>
        <v>15958.279999999999</v>
      </c>
      <c r="F20" s="135"/>
      <c r="G20" s="1367">
        <f>'数据-基础表'!K5</f>
        <v>15958.279999999999</v>
      </c>
      <c r="H20" s="974">
        <f t="shared" ref="H20:H26" si="6">ROUND($D$3*I20/$E$3,2)</f>
        <v>86.73</v>
      </c>
      <c r="I20" s="116">
        <f t="shared" ref="I20:I26" si="7">IF($I$17="自定义",P20,M20)</f>
        <v>273.85000000000002</v>
      </c>
      <c r="J20" s="1983"/>
      <c r="K20" s="2631">
        <f t="shared" si="3"/>
        <v>273.85000000000002</v>
      </c>
      <c r="L20" s="275">
        <f t="shared" si="4"/>
        <v>0</v>
      </c>
      <c r="M20" s="2632">
        <f t="shared" ref="M20:M26" si="8">K20+L20</f>
        <v>273.85000000000002</v>
      </c>
      <c r="N20" s="2633"/>
      <c r="O20" s="2634"/>
      <c r="P20" s="2635">
        <f t="shared" ref="P20:P26" si="9">N20+O20</f>
        <v>0</v>
      </c>
      <c r="R20" s="275">
        <f t="shared" si="5"/>
        <v>5141.0099999999993</v>
      </c>
      <c r="S20" s="2300">
        <f t="shared" si="5"/>
        <v>16232.13</v>
      </c>
    </row>
    <row r="21" spans="1:19">
      <c r="A21" s="138"/>
      <c r="B21" s="115" t="s">
        <v>226</v>
      </c>
      <c r="C21" s="3046" t="s">
        <v>3043</v>
      </c>
      <c r="D21" s="111">
        <f t="shared" si="1"/>
        <v>13792.45</v>
      </c>
      <c r="E21" s="134">
        <f t="shared" si="2"/>
        <v>43547.97</v>
      </c>
      <c r="F21" s="135"/>
      <c r="G21" s="1367">
        <f>'数据-基础表'!M5</f>
        <v>43547.97</v>
      </c>
      <c r="H21" s="974">
        <f t="shared" si="6"/>
        <v>236.68</v>
      </c>
      <c r="I21" s="116">
        <f t="shared" si="7"/>
        <v>747.29</v>
      </c>
      <c r="J21" s="1983"/>
      <c r="K21" s="2631">
        <f t="shared" si="3"/>
        <v>747.29</v>
      </c>
      <c r="L21" s="275">
        <f t="shared" si="4"/>
        <v>0</v>
      </c>
      <c r="M21" s="2632">
        <f t="shared" si="8"/>
        <v>747.29</v>
      </c>
      <c r="N21" s="2633"/>
      <c r="O21" s="2634"/>
      <c r="P21" s="2635">
        <f t="shared" si="9"/>
        <v>0</v>
      </c>
      <c r="R21" s="275">
        <f t="shared" si="5"/>
        <v>14029.130000000001</v>
      </c>
      <c r="S21" s="2300">
        <f t="shared" si="5"/>
        <v>44295.26</v>
      </c>
    </row>
    <row r="22" spans="1:19">
      <c r="A22" s="138"/>
      <c r="B22" s="115" t="s">
        <v>226</v>
      </c>
      <c r="C22" s="3498" t="s">
        <v>3044</v>
      </c>
      <c r="D22" s="111">
        <f t="shared" si="1"/>
        <v>33.99</v>
      </c>
      <c r="E22" s="134">
        <f t="shared" si="2"/>
        <v>107.32</v>
      </c>
      <c r="F22" s="140">
        <f>'数据-基础表'!O5</f>
        <v>107.32</v>
      </c>
      <c r="G22" s="1368"/>
      <c r="H22" s="974">
        <f t="shared" si="6"/>
        <v>0.57999999999999996</v>
      </c>
      <c r="I22" s="116">
        <f t="shared" si="7"/>
        <v>1.84</v>
      </c>
      <c r="J22" s="1983"/>
      <c r="K22" s="2631">
        <f t="shared" si="3"/>
        <v>1.84</v>
      </c>
      <c r="L22" s="275">
        <f t="shared" si="4"/>
        <v>0</v>
      </c>
      <c r="M22" s="2632">
        <f t="shared" si="8"/>
        <v>1.84</v>
      </c>
      <c r="N22" s="2633"/>
      <c r="O22" s="2634"/>
      <c r="P22" s="2635">
        <f t="shared" si="9"/>
        <v>0</v>
      </c>
      <c r="R22" s="275">
        <f t="shared" si="5"/>
        <v>34.57</v>
      </c>
      <c r="S22" s="2300">
        <f t="shared" si="5"/>
        <v>109.16</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85188.89</v>
      </c>
      <c r="E27" s="143">
        <f>IF(SUM(E19:E26)='数据-基础表'!BA5,SUM(E19:E26),IF(F27="地上面积有误","面积有误","地下面积有误"))</f>
        <v>268973.5</v>
      </c>
      <c r="F27" s="134">
        <f>IF(SUM(F19:F26)=E8,SUM(F19:F26),"地上面积有误")</f>
        <v>209467.25</v>
      </c>
      <c r="G27" s="112">
        <f>SUM(G19:G26)</f>
        <v>59506.25</v>
      </c>
      <c r="H27" s="975">
        <f>SUM(H19:H26)</f>
        <v>3286.3799999999997</v>
      </c>
      <c r="I27" s="976">
        <f>SUM(I19:I26)</f>
        <v>10376.350000000002</v>
      </c>
      <c r="J27" s="1983"/>
      <c r="K27" s="2640">
        <f>SUM(K19:K26)</f>
        <v>4615.63</v>
      </c>
      <c r="L27" s="2641">
        <f>SUM(L19:L26)</f>
        <v>5760.72</v>
      </c>
      <c r="M27" s="2642">
        <f>SUM(M19:M26)</f>
        <v>10376.350000000002</v>
      </c>
      <c r="N27" s="2640">
        <f t="shared" ref="N27:O27" si="10">SUM(N19:N26)</f>
        <v>0</v>
      </c>
      <c r="O27" s="2641">
        <f t="shared" si="10"/>
        <v>0</v>
      </c>
      <c r="P27" s="2643">
        <f>SUM(P19:P26)</f>
        <v>0</v>
      </c>
      <c r="R27" s="2304" t="str">
        <f>IF(SUM(R19:R26)=$D$3,SUM(R19:R26),SUM(R19:R26)&amp;"误差"&amp;ROUND(SUM(R19:R26)-$D$3,2))</f>
        <v>88475.27误差-0.01</v>
      </c>
      <c r="S27" s="275">
        <f>IF(SUM(S19:S26)=$E$3,SUM(S19:S26),SUM(S19:S26)&amp;"误差"&amp;ROUND(SUM(S19:S26)-E3,2))</f>
        <v>279349.84999999998</v>
      </c>
    </row>
    <row r="28" spans="1:19">
      <c r="A28" s="138"/>
      <c r="B28" s="115" t="s">
        <v>227</v>
      </c>
      <c r="C28" s="136" t="s">
        <v>228</v>
      </c>
      <c r="D28" s="111">
        <f>ROUND($D$3*E28/$E$3,2)</f>
        <v>1461.86</v>
      </c>
      <c r="E28" s="134">
        <f>SUM(F28:G28)</f>
        <v>4615.63</v>
      </c>
      <c r="F28" s="144">
        <f>'数据-基础表'!BQ5+'数据-基础表'!BS5</f>
        <v>664.3</v>
      </c>
      <c r="G28" s="145">
        <f>'数据-基础表'!BR5+'数据-基础表'!BT5</f>
        <v>3951.33</v>
      </c>
      <c r="H28" s="1983"/>
      <c r="I28" s="1983"/>
      <c r="J28" s="1983"/>
      <c r="K28" s="1983"/>
      <c r="L28" s="1983"/>
    </row>
    <row r="29" spans="1:19">
      <c r="A29" s="138"/>
      <c r="B29" s="115" t="s">
        <v>227</v>
      </c>
      <c r="C29" s="2312" t="s">
        <v>2322</v>
      </c>
      <c r="D29" s="111">
        <f>ROUND($D$3*E29/$E$3,2)</f>
        <v>1824.53</v>
      </c>
      <c r="E29" s="134">
        <f>SUM(F29:G29)</f>
        <v>5760.7199999999993</v>
      </c>
      <c r="F29" s="144">
        <f>'数据-基础表'!BM5+'数据-基础表'!BO5</f>
        <v>579.4</v>
      </c>
      <c r="G29" s="146">
        <f>'数据-基础表'!BN5+'数据-基础表'!BP5</f>
        <v>5181.32</v>
      </c>
      <c r="H29" s="1983"/>
      <c r="I29" s="1983"/>
      <c r="J29" s="1983"/>
      <c r="K29" s="1983"/>
      <c r="L29" s="1983"/>
    </row>
    <row r="30" spans="1:19">
      <c r="A30" s="138"/>
      <c r="B30" s="111"/>
      <c r="C30" s="147" t="s">
        <v>215</v>
      </c>
      <c r="D30" s="134">
        <f>SUM(D28:D29)</f>
        <v>3286.39</v>
      </c>
      <c r="E30" s="134">
        <f>SUM(E28:E29)</f>
        <v>10376.349999999999</v>
      </c>
      <c r="F30" s="134">
        <f>SUM(F28:F29)</f>
        <v>1243.6999999999998</v>
      </c>
      <c r="G30" s="112">
        <f>SUM(G28:G29)</f>
        <v>9132.65</v>
      </c>
      <c r="H30" s="1983"/>
      <c r="I30" s="1983"/>
      <c r="J30" s="1983"/>
      <c r="K30" s="1983"/>
      <c r="L30" s="1983"/>
    </row>
    <row r="31" spans="1:19" ht="32.25" customHeight="1" thickBot="1">
      <c r="A31" s="1369"/>
      <c r="B31" s="1370" t="s">
        <v>229</v>
      </c>
      <c r="C31" s="2329" t="s">
        <v>2324</v>
      </c>
      <c r="D31" s="1371">
        <f>D27+D30</f>
        <v>88475.28</v>
      </c>
      <c r="E31" s="1371">
        <f>E27+E30</f>
        <v>279349.84999999998</v>
      </c>
      <c r="F31" s="1372">
        <f>F27+F30</f>
        <v>210710.95</v>
      </c>
      <c r="G31" s="1373">
        <f>G27+G30</f>
        <v>68638.899999999994</v>
      </c>
      <c r="H31" s="1983"/>
      <c r="I31" s="1983"/>
      <c r="J31" s="1983"/>
      <c r="K31" s="1983"/>
      <c r="L31" s="1983"/>
    </row>
    <row r="32" spans="1:19">
      <c r="A32" s="1983"/>
      <c r="B32" s="2362" t="s">
        <v>2323</v>
      </c>
      <c r="C32" s="2670"/>
      <c r="D32" s="1201"/>
      <c r="E32" s="1201">
        <f>SUMIF(C19:C26,"*住宅*",E19:E26)</f>
        <v>209359.93</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C6" activePane="bottomRight" state="frozen"/>
      <selection pane="topRight" activeCell="D1" sqref="D1"/>
      <selection pane="bottomLeft" activeCell="A4" sqref="A4"/>
      <selection pane="bottomRight" activeCell="AD9" sqref="AD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44" t="s">
        <v>2575</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68653</v>
      </c>
      <c r="F6" s="174">
        <f>SUMIF(项目基本情况!D$15:I$15,C6,项目基本情况!D$19:I$19)</f>
        <v>69.650000000000006</v>
      </c>
      <c r="G6" s="175">
        <f>IF(ISERROR(ROUND(POWER(1+H6,D6-F6)*(POWER(1+H6,F6)-1)/(POWER(1+H6,D6)-1),3)),0,ROUND(POWER(1+H6,D6-F6)*(POWER(1+H6,F6)-1)/(POWER(1+H6,D6)-1),3))</f>
        <v>0.999</v>
      </c>
      <c r="H6" s="3047">
        <v>0.04</v>
      </c>
      <c r="I6" s="3047">
        <v>4.4999999999999998E-2</v>
      </c>
      <c r="J6" s="176">
        <v>8.5000000000000006E-2</v>
      </c>
      <c r="K6" s="179">
        <f>SUMIF('数据-汇总表'!C$19:C$33,'数据-取费表'!A6,'数据-汇总表'!E$19:E$33)</f>
        <v>209359.93</v>
      </c>
      <c r="L6" s="3048">
        <v>3500</v>
      </c>
      <c r="M6" s="177">
        <f t="shared" ref="M6:M14" si="0">ROUND(K6*L6/10000,0)</f>
        <v>73276</v>
      </c>
      <c r="N6" s="3049">
        <v>0</v>
      </c>
      <c r="O6" s="177">
        <f>IF($N$5="成新度","——",ROUND(M6*N6,0))</f>
        <v>0</v>
      </c>
      <c r="P6" s="178">
        <f>IF($N$5="成新度","——",M6-O6)</f>
        <v>73276</v>
      </c>
      <c r="Q6" s="3050">
        <v>0.15</v>
      </c>
      <c r="R6" s="179">
        <f>SUMIF('数据-汇总表'!C$19:C$33,A6,'数据-汇总表'!R$19:R$33)</f>
        <v>69270.559999999998</v>
      </c>
      <c r="S6" s="132">
        <f>IF('数据-汇总表'!$I$17="按面积比例",SUMIF('数据-汇总表'!C$19:C$33,A6,'数据-汇总表'!K$19:K$33),SUMIF('数据-汇总表'!C$19:C$33,A6,'数据-汇总表'!N$19:N$33))</f>
        <v>3592.65</v>
      </c>
      <c r="T6" s="2233">
        <f>IF($T$4="按面积比例",IF(ISERROR(ROUND($M$14*S6/S$16,0)),"0",ROUND($M$14*S6/S$16,0)),"需自行计算录入")</f>
        <v>1078</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1"/>
      <c r="AN6" s="2415"/>
      <c r="AO6" s="1999"/>
      <c r="AP6" s="1204">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仓储</v>
      </c>
      <c r="B7" s="2336" t="str">
        <f t="shared" ref="B7:B13" si="1">IF(A7=0,"","经营性")</f>
        <v>经营性</v>
      </c>
      <c r="C7" s="173" t="s">
        <v>3008</v>
      </c>
      <c r="D7" s="2307">
        <f>SUMIF(项目基本情况!D$15:I$15,C7,项目基本情况!D$18:I$18)</f>
        <v>50</v>
      </c>
      <c r="E7" s="2308">
        <f>IF(B7="","",SUMIF(项目基本情况!D$15:I$15,C7,项目基本情况!D$17:I$17))</f>
        <v>61348</v>
      </c>
      <c r="F7" s="174">
        <f>SUMIF(项目基本情况!D$15:I$15,C7,项目基本情况!D$19:I$19)</f>
        <v>49.64</v>
      </c>
      <c r="G7" s="175">
        <f t="shared" ref="G7:G11" si="2">IF(ISERROR(ROUND(POWER(1+H7,D7-F7)*(POWER(1+H7,F7)-1)/(POWER(1+H7,D7)-1),3)),0,ROUND(POWER(1+H7,D7-F7)*(POWER(1+H7,F7)-1)/(POWER(1+H7,D7)-1),3))</f>
        <v>0.998</v>
      </c>
      <c r="H7" s="3047">
        <v>4.4999999999999998E-2</v>
      </c>
      <c r="I7" s="3047">
        <v>0.05</v>
      </c>
      <c r="J7" s="176">
        <v>8.5000000000000006E-2</v>
      </c>
      <c r="K7" s="179">
        <f>SUMIF('数据-汇总表'!C$19:C$33,'数据-取费表'!A7,'数据-汇总表'!E$19:E$33)</f>
        <v>15958.279999999999</v>
      </c>
      <c r="L7" s="3048">
        <v>3000</v>
      </c>
      <c r="M7" s="177">
        <f t="shared" si="0"/>
        <v>4787</v>
      </c>
      <c r="N7" s="3049">
        <f>N6</f>
        <v>0</v>
      </c>
      <c r="O7" s="177">
        <f t="shared" ref="O7:O14" si="3">IF($N$5="成新度","——",ROUND(M7*N7,0))</f>
        <v>0</v>
      </c>
      <c r="P7" s="178">
        <f t="shared" ref="P7:P14" si="4">IF($N$5="成新度","——",M7-O7)</f>
        <v>4787</v>
      </c>
      <c r="Q7" s="3050">
        <v>0.1</v>
      </c>
      <c r="R7" s="179">
        <f>SUMIF('数据-汇总表'!C$19:C$33,A7,'数据-汇总表'!R$19:R$33)</f>
        <v>5141.0099999999993</v>
      </c>
      <c r="S7" s="132">
        <f>IF('数据-汇总表'!$I$17="按面积比例",SUMIF('数据-汇总表'!C$19:C$33,A7,'数据-汇总表'!K$19:K$33),SUMIF('数据-汇总表'!C$19:C$33,A7,'数据-汇总表'!N$19:N$33))</f>
        <v>273.85000000000002</v>
      </c>
      <c r="T7" s="2233">
        <f t="shared" ref="T7:T13" si="5">IF($T$4="按面积比例",IF(ISERROR(ROUND($M$14*S7/S$16,0)),"0",ROUND($M$14*S7/S$16,0)),"需自行计算录入")</f>
        <v>82</v>
      </c>
      <c r="U7" s="180">
        <v>1</v>
      </c>
      <c r="V7" s="181">
        <v>2.5000000000000001E-2</v>
      </c>
      <c r="W7" s="181">
        <v>0.1</v>
      </c>
      <c r="X7" s="2320"/>
      <c r="Y7" s="182">
        <v>1</v>
      </c>
      <c r="Z7" s="183"/>
      <c r="AA7" s="176"/>
      <c r="AB7" s="176"/>
      <c r="AC7" s="2323"/>
      <c r="AD7" s="184"/>
      <c r="AE7" s="972">
        <f t="shared" ref="AE7:AE13" ca="1" si="6">IF(AN7="",0,SUMIF(INDIRECT("'"&amp;AN7&amp;"'"&amp;"!E:E"),$AE$5,INDIRECT("'"&amp;AN7&amp;"'"&amp;"!F:F")))</f>
        <v>46.64</v>
      </c>
      <c r="AF7" s="141"/>
      <c r="AG7" s="1213">
        <f t="shared" ref="AG7:AG13" si="7">IF(AF7="",0,AE7-AF7)</f>
        <v>0</v>
      </c>
      <c r="AH7" s="141"/>
      <c r="AI7" s="187">
        <v>365</v>
      </c>
      <c r="AJ7" s="188"/>
      <c r="AK7" s="189">
        <v>1.4999999999999999E-2</v>
      </c>
      <c r="AL7" s="190">
        <v>1.5E-3</v>
      </c>
      <c r="AM7" s="2413">
        <v>0.01</v>
      </c>
      <c r="AN7" s="2415" t="s">
        <v>3052</v>
      </c>
      <c r="AO7" s="1999"/>
      <c r="AP7" s="1204">
        <f t="shared" ref="AP7:AP13" si="8">ROUND(1-1/(1+H7)^F7,3)</f>
        <v>0.88800000000000001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1"/>
        <v>经营性</v>
      </c>
      <c r="C8" s="173" t="s">
        <v>3032</v>
      </c>
      <c r="D8" s="2307">
        <f>SUMIF(项目基本情况!D$15:I$15,C8,项目基本情况!D$18:I$18)</f>
        <v>50</v>
      </c>
      <c r="E8" s="2308">
        <f>IF(B8="","",SUMIF(项目基本情况!D$15:I$15,C8,项目基本情况!D$17:I$17))</f>
        <v>61348</v>
      </c>
      <c r="F8" s="174">
        <f>SUMIF(项目基本情况!D$15:I$15,C8,项目基本情况!D$19:I$19)</f>
        <v>49.64</v>
      </c>
      <c r="G8" s="175">
        <f t="shared" si="2"/>
        <v>0.998</v>
      </c>
      <c r="H8" s="3047">
        <v>4.4999999999999998E-2</v>
      </c>
      <c r="I8" s="3047">
        <v>0.05</v>
      </c>
      <c r="J8" s="176">
        <v>8.5000000000000006E-2</v>
      </c>
      <c r="K8" s="179">
        <f>SUMIF('数据-汇总表'!C$19:C$33,'数据-取费表'!A8,'数据-汇总表'!E$19:E$33)</f>
        <v>43547.97</v>
      </c>
      <c r="L8" s="3048">
        <f>L7</f>
        <v>3000</v>
      </c>
      <c r="M8" s="177">
        <f>ROUND(K8*L8/10000,0)</f>
        <v>13064</v>
      </c>
      <c r="N8" s="3049">
        <f>N6</f>
        <v>0</v>
      </c>
      <c r="O8" s="177">
        <f t="shared" si="3"/>
        <v>0</v>
      </c>
      <c r="P8" s="178">
        <f t="shared" si="4"/>
        <v>13064</v>
      </c>
      <c r="Q8" s="3050">
        <v>0.1</v>
      </c>
      <c r="R8" s="179">
        <f>SUMIF('数据-汇总表'!C$19:C$33,A8,'数据-汇总表'!R$19:R$33)</f>
        <v>14029.130000000001</v>
      </c>
      <c r="S8" s="132">
        <f>IF('数据-汇总表'!$I$17="按面积比例",SUMIF('数据-汇总表'!C$19:C$33,A8,'数据-汇总表'!K$19:K$33),SUMIF('数据-汇总表'!C$19:C$33,A8,'数据-汇总表'!N$19:N$33))</f>
        <v>747.29</v>
      </c>
      <c r="T8" s="2233">
        <f t="shared" si="5"/>
        <v>224</v>
      </c>
      <c r="U8" s="180">
        <v>800</v>
      </c>
      <c r="V8" s="181">
        <v>2.5000000000000001E-2</v>
      </c>
      <c r="W8" s="181">
        <f>W7</f>
        <v>0.1</v>
      </c>
      <c r="X8" s="2320"/>
      <c r="Y8" s="182">
        <f>Y7</f>
        <v>1</v>
      </c>
      <c r="Z8" s="183"/>
      <c r="AA8" s="176"/>
      <c r="AB8" s="176"/>
      <c r="AC8" s="2323"/>
      <c r="AD8" s="184"/>
      <c r="AE8" s="972">
        <f t="shared" ca="1" si="6"/>
        <v>46.64</v>
      </c>
      <c r="AF8" s="141"/>
      <c r="AG8" s="1213">
        <f t="shared" si="7"/>
        <v>0</v>
      </c>
      <c r="AH8" s="141">
        <v>1244</v>
      </c>
      <c r="AI8" s="187">
        <v>12</v>
      </c>
      <c r="AJ8" s="188"/>
      <c r="AK8" s="189">
        <f>AK7</f>
        <v>1.4999999999999999E-2</v>
      </c>
      <c r="AL8" s="190">
        <f>AL7</f>
        <v>1.5E-3</v>
      </c>
      <c r="AM8" s="2413">
        <f>AM7</f>
        <v>0.01</v>
      </c>
      <c r="AN8" s="2415" t="s">
        <v>3053</v>
      </c>
      <c r="AO8" s="1999">
        <f>K8/35</f>
        <v>1244.2277142857142</v>
      </c>
      <c r="AP8" s="1204">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商业</v>
      </c>
      <c r="B9" s="2336" t="str">
        <f t="shared" si="1"/>
        <v>经营性</v>
      </c>
      <c r="C9" s="173" t="s">
        <v>2998</v>
      </c>
      <c r="D9" s="2307">
        <f>SUMIF(项目基本情况!D$15:I$15,C9,项目基本情况!D$18:I$18)</f>
        <v>40</v>
      </c>
      <c r="E9" s="2308">
        <f>IF(B9="","",SUMIF(项目基本情况!D$15:I$15,C9,项目基本情况!D$17:I$17))</f>
        <v>57696</v>
      </c>
      <c r="F9" s="174">
        <f>SUMIF(项目基本情况!D$15:I$15,C9,项目基本情况!D$19:I$19)</f>
        <v>39.630000000000003</v>
      </c>
      <c r="G9" s="175">
        <f t="shared" si="2"/>
        <v>0.997</v>
      </c>
      <c r="H9" s="176">
        <v>5.5E-2</v>
      </c>
      <c r="I9" s="176">
        <v>0.06</v>
      </c>
      <c r="J9" s="176">
        <v>8.5000000000000006E-2</v>
      </c>
      <c r="K9" s="179">
        <f>SUMIF('数据-汇总表'!C$19:C$33,'数据-取费表'!A9,'数据-汇总表'!E$19:E$33)</f>
        <v>107.32</v>
      </c>
      <c r="L9" s="193">
        <v>3200</v>
      </c>
      <c r="M9" s="177">
        <f t="shared" si="0"/>
        <v>34</v>
      </c>
      <c r="N9" s="194">
        <f>N6</f>
        <v>0</v>
      </c>
      <c r="O9" s="177">
        <f t="shared" si="3"/>
        <v>0</v>
      </c>
      <c r="P9" s="178">
        <f t="shared" si="4"/>
        <v>34</v>
      </c>
      <c r="Q9" s="192">
        <v>0.2</v>
      </c>
      <c r="R9" s="179">
        <f>SUMIF('数据-汇总表'!C$19:C$33,A9,'数据-汇总表'!R$19:R$33)</f>
        <v>34.57</v>
      </c>
      <c r="S9" s="132">
        <f>IF('数据-汇总表'!$I$17="按面积比例",SUMIF('数据-汇总表'!C$19:C$33,A9,'数据-汇总表'!K$19:K$33),SUMIF('数据-汇总表'!C$19:C$33,A9,'数据-汇总表'!N$19:N$33))</f>
        <v>1.84</v>
      </c>
      <c r="T9" s="2233">
        <f t="shared" si="5"/>
        <v>1</v>
      </c>
      <c r="U9" s="180">
        <v>3.5</v>
      </c>
      <c r="V9" s="181">
        <v>0.03</v>
      </c>
      <c r="W9" s="181">
        <f>W7</f>
        <v>0.1</v>
      </c>
      <c r="X9" s="2320"/>
      <c r="Y9" s="182">
        <f>Y7</f>
        <v>1</v>
      </c>
      <c r="Z9" s="183"/>
      <c r="AA9" s="176"/>
      <c r="AB9" s="176"/>
      <c r="AC9" s="2323"/>
      <c r="AD9" s="184"/>
      <c r="AE9" s="972">
        <f t="shared" ca="1" si="6"/>
        <v>36.630000000000003</v>
      </c>
      <c r="AF9" s="141"/>
      <c r="AG9" s="1213">
        <f t="shared" si="7"/>
        <v>0</v>
      </c>
      <c r="AH9" s="141"/>
      <c r="AI9" s="187">
        <v>365</v>
      </c>
      <c r="AJ9" s="188"/>
      <c r="AK9" s="189">
        <f>AK7</f>
        <v>1.4999999999999999E-2</v>
      </c>
      <c r="AL9" s="190">
        <f>AL7</f>
        <v>1.5E-3</v>
      </c>
      <c r="AM9" s="2413">
        <f>AM7</f>
        <v>0.01</v>
      </c>
      <c r="AN9" s="2415" t="s">
        <v>3054</v>
      </c>
      <c r="AO9" s="1999"/>
      <c r="AP9" s="1204">
        <f t="shared" si="8"/>
        <v>0.88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1680</v>
      </c>
      <c r="C14" s="2306" t="s">
        <v>2316</v>
      </c>
      <c r="D14" s="2307"/>
      <c r="E14" s="2308"/>
      <c r="F14" s="174"/>
      <c r="G14" s="175"/>
      <c r="H14" s="2309"/>
      <c r="I14" s="2309"/>
      <c r="J14" s="2309"/>
      <c r="K14" s="179">
        <f>SUMIF('数据-汇总表'!C$19:C$33,'数据-取费表'!A14,'数据-汇总表'!E$19:E$33)</f>
        <v>4615.63</v>
      </c>
      <c r="L14" s="193">
        <f>L8</f>
        <v>3000</v>
      </c>
      <c r="M14" s="177">
        <f t="shared" si="0"/>
        <v>1385</v>
      </c>
      <c r="N14" s="194">
        <f>N6</f>
        <v>0</v>
      </c>
      <c r="O14" s="177">
        <f t="shared" si="3"/>
        <v>0</v>
      </c>
      <c r="P14" s="178">
        <f t="shared" si="4"/>
        <v>1385</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1680</v>
      </c>
      <c r="C15" s="2306" t="s">
        <v>2317</v>
      </c>
      <c r="D15" s="2307"/>
      <c r="E15" s="2308"/>
      <c r="F15" s="174"/>
      <c r="G15" s="175"/>
      <c r="H15" s="2309"/>
      <c r="I15" s="2309"/>
      <c r="J15" s="2309"/>
      <c r="K15" s="179">
        <f>SUMIF('数据-汇总表'!C$19:C$33,'数据-取费表'!A15,'数据-汇总表'!E$19:E$33)</f>
        <v>5760.7199999999993</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279349.84999999998</v>
      </c>
      <c r="L16" s="206">
        <f>ROUND(M16*10000/SUM(K6:K14),0)</f>
        <v>3383</v>
      </c>
      <c r="M16" s="206">
        <f>SUM(M6:M14)</f>
        <v>92546</v>
      </c>
      <c r="N16" s="207">
        <f>ROUND(SUMPRODUCT(M6:M14,N6:N14)/M16,3)</f>
        <v>0</v>
      </c>
      <c r="O16" s="206">
        <f>SUM(O6:O14)</f>
        <v>0</v>
      </c>
      <c r="P16" s="206">
        <f>SUM(P6:P14)</f>
        <v>92546</v>
      </c>
      <c r="Q16" s="208">
        <f>ROUND(SUMPRODUCT(Q6:Q13,K6:K13)/SUMPRODUCT((Q6:Q13&gt;0)*(K6:K13)),2)</f>
        <v>0.14000000000000001</v>
      </c>
      <c r="R16" s="2310">
        <f>SUM(R6:R13)</f>
        <v>88475.27</v>
      </c>
      <c r="S16" s="209">
        <f>SUM(S6:S13)</f>
        <v>4615.63</v>
      </c>
      <c r="T16" s="210">
        <f>IF(SUMIF(T6:T13,"&lt;9E307")=M14,SUMIF(T6:T13,"&lt;9E307"),"有误，请检查")</f>
        <v>1385</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160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6"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7"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7"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098" t="s">
        <v>2906</v>
      </c>
      <c r="D53" s="3099"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2908</v>
      </c>
      <c r="B54" s="186"/>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2909</v>
      </c>
      <c r="B55" s="186"/>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2910</v>
      </c>
      <c r="B56" s="186"/>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2911</v>
      </c>
      <c r="B57" s="186"/>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2912</v>
      </c>
      <c r="B58" s="186">
        <v>3</v>
      </c>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2913</v>
      </c>
      <c r="B59" s="186"/>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2" t="s">
        <v>1664</v>
      </c>
      <c r="B1" s="3273"/>
      <c r="C1" s="3273"/>
      <c r="D1" s="3273"/>
      <c r="E1" s="3273"/>
      <c r="F1" s="3273"/>
      <c r="G1" s="3273"/>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103" t="s">
        <v>2924</v>
      </c>
      <c r="D3" s="2008"/>
      <c r="E3" s="1229" t="s">
        <v>1667</v>
      </c>
      <c r="F3" s="1230" t="s">
        <v>1655</v>
      </c>
      <c r="G3" s="3107" t="s">
        <v>2923</v>
      </c>
      <c r="H3" s="2007"/>
      <c r="I3" s="2007"/>
      <c r="J3" s="2007"/>
      <c r="K3" s="2007"/>
      <c r="L3" s="2007"/>
      <c r="M3" s="2007"/>
      <c r="N3" s="2007"/>
      <c r="O3" s="2007"/>
      <c r="P3" s="2007"/>
      <c r="Q3" s="2007"/>
      <c r="R3" s="2007"/>
    </row>
    <row r="4" spans="1:18" ht="41.25">
      <c r="A4" s="1229"/>
      <c r="B4" s="1231" t="s">
        <v>1668</v>
      </c>
      <c r="C4" s="3104" t="s">
        <v>2925</v>
      </c>
      <c r="D4" s="2008"/>
      <c r="E4" s="1232"/>
      <c r="F4" s="1233" t="s">
        <v>1669</v>
      </c>
      <c r="G4" s="3105" t="s">
        <v>2920</v>
      </c>
      <c r="H4" s="2007"/>
      <c r="I4" s="2007"/>
      <c r="J4" s="2007"/>
      <c r="K4" s="2007"/>
      <c r="L4" s="2007"/>
      <c r="M4" s="2007"/>
      <c r="N4" s="2007"/>
      <c r="O4" s="2007"/>
      <c r="P4" s="2007"/>
      <c r="Q4" s="2007"/>
      <c r="R4" s="2007"/>
    </row>
    <row r="5" spans="1:18" ht="41.25">
      <c r="A5" s="1229"/>
      <c r="B5" s="1231" t="s">
        <v>1670</v>
      </c>
      <c r="C5" s="3104" t="s">
        <v>2926</v>
      </c>
      <c r="D5" s="2008"/>
      <c r="E5" s="1232"/>
      <c r="F5" s="1231" t="s">
        <v>2549</v>
      </c>
      <c r="G5" s="3105" t="s">
        <v>2921</v>
      </c>
      <c r="H5" s="2007"/>
      <c r="I5" s="2007"/>
      <c r="J5" s="2007"/>
      <c r="K5" s="2007"/>
      <c r="L5" s="2007"/>
      <c r="M5" s="2007"/>
      <c r="N5" s="2007"/>
      <c r="O5" s="2007"/>
      <c r="P5" s="2007"/>
      <c r="Q5" s="2007"/>
      <c r="R5" s="2007"/>
    </row>
    <row r="6" spans="1:18" ht="54">
      <c r="A6" s="1229"/>
      <c r="B6" s="1231" t="s">
        <v>1656</v>
      </c>
      <c r="C6" s="3105" t="s">
        <v>2920</v>
      </c>
      <c r="D6" s="2008"/>
      <c r="E6" s="1232"/>
      <c r="F6" s="1231" t="s">
        <v>2550</v>
      </c>
      <c r="G6" s="3105" t="s">
        <v>2918</v>
      </c>
      <c r="H6" s="2007"/>
      <c r="I6" s="2007"/>
      <c r="J6" s="2007"/>
      <c r="K6" s="2007"/>
      <c r="L6" s="2007"/>
      <c r="M6" s="2007"/>
      <c r="N6" s="2007"/>
      <c r="O6" s="2007"/>
      <c r="P6" s="2007"/>
      <c r="Q6" s="2007"/>
      <c r="R6" s="2007"/>
    </row>
    <row r="7" spans="1:18" ht="41.25" thickBot="1">
      <c r="A7" s="1229"/>
      <c r="B7" s="1231" t="s">
        <v>2549</v>
      </c>
      <c r="C7" s="3105" t="s">
        <v>2921</v>
      </c>
      <c r="D7" s="2009"/>
      <c r="E7" s="1234"/>
      <c r="F7" s="1235" t="s">
        <v>1671</v>
      </c>
      <c r="G7" s="3108" t="s">
        <v>2922</v>
      </c>
      <c r="H7" s="2007"/>
      <c r="I7" s="2007"/>
      <c r="J7" s="2007"/>
      <c r="K7" s="2007"/>
      <c r="L7" s="2007"/>
      <c r="M7" s="2007"/>
      <c r="N7" s="2007"/>
      <c r="O7" s="2007"/>
      <c r="P7" s="2007"/>
      <c r="Q7" s="2007"/>
      <c r="R7" s="2007"/>
    </row>
    <row r="8" spans="1:18" ht="27">
      <c r="A8" s="1229"/>
      <c r="B8" s="1231" t="s">
        <v>2550</v>
      </c>
      <c r="C8" s="3105" t="s">
        <v>2918</v>
      </c>
      <c r="D8" s="2009"/>
      <c r="E8" s="2009"/>
      <c r="F8" s="1552"/>
      <c r="G8" s="1552"/>
      <c r="H8" s="2007"/>
      <c r="I8" s="2007"/>
      <c r="J8" s="2007"/>
      <c r="K8" s="2007"/>
      <c r="L8" s="2007"/>
      <c r="M8" s="2007"/>
      <c r="N8" s="2007"/>
      <c r="O8" s="2007"/>
      <c r="P8" s="2007"/>
      <c r="Q8" s="2007"/>
      <c r="R8" s="2007"/>
    </row>
    <row r="9" spans="1:18" ht="40.5">
      <c r="A9" s="1229"/>
      <c r="B9" s="1231" t="s">
        <v>1657</v>
      </c>
      <c r="C9" s="3104" t="s">
        <v>2919</v>
      </c>
      <c r="D9" s="2008"/>
      <c r="E9" s="2009"/>
      <c r="F9" s="1552"/>
      <c r="G9" s="1552"/>
      <c r="H9" s="2007"/>
      <c r="I9" s="2007"/>
      <c r="J9" s="2007"/>
      <c r="K9" s="2007"/>
      <c r="L9" s="2007"/>
      <c r="M9" s="2007"/>
      <c r="N9" s="2007"/>
      <c r="O9" s="2007"/>
      <c r="P9" s="2007"/>
      <c r="Q9" s="2007"/>
      <c r="R9" s="2007"/>
    </row>
    <row r="10" spans="1:18" s="2015" customFormat="1" ht="15" thickBot="1">
      <c r="A10" s="1236"/>
      <c r="B10" s="1237" t="s">
        <v>1672</v>
      </c>
      <c r="C10" s="3106"/>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54">
      <c r="A15" s="2611" t="s">
        <v>1658</v>
      </c>
      <c r="B15" s="1242" t="s">
        <v>1654</v>
      </c>
      <c r="C15" s="1243" t="str">
        <f>C3</f>
        <v>估价对象周边居住用地比例、居住小区规模和社区发展完善程度，综合评价居住社区成熟度一般</v>
      </c>
      <c r="D15" s="2008"/>
      <c r="E15" s="2608" t="s">
        <v>1659</v>
      </c>
      <c r="F15" s="1242" t="s">
        <v>1674</v>
      </c>
      <c r="G15" s="1244" t="str">
        <f>G3</f>
        <v>估价对象位于XX开发区，园区建设成熟度XX，产业集聚程度XX</v>
      </c>
    </row>
    <row r="16" spans="1:18" ht="40.5">
      <c r="A16" s="2612"/>
      <c r="B16" s="1245" t="s">
        <v>1668</v>
      </c>
      <c r="C16" s="1246" t="str">
        <f>C4</f>
        <v>估价对象位于XX商圈，周边商业氛围成熟，人流量大，商业繁华度好</v>
      </c>
      <c r="D16" s="2008"/>
      <c r="E16" s="2609"/>
      <c r="F16" s="1247" t="s">
        <v>1669</v>
      </c>
      <c r="G16" s="1005" t="str">
        <f>G4</f>
        <v>估价对象周边道路状况、公共交通通达情况、停车便捷程度，综合评价交通便捷度较好</v>
      </c>
    </row>
    <row r="17" spans="1:7" ht="40.5">
      <c r="A17" s="2612"/>
      <c r="B17" s="1245" t="s">
        <v>1670</v>
      </c>
      <c r="C17" s="1246" t="str">
        <f>C5</f>
        <v>估价对象位于XX商圈，周边办公楼项目较多，入驻率高，办公集聚程度较好</v>
      </c>
      <c r="D17" s="2009"/>
      <c r="E17" s="2609"/>
      <c r="F17" s="1247" t="s">
        <v>1675</v>
      </c>
      <c r="G17" s="2817"/>
    </row>
    <row r="18" spans="1:7" ht="54">
      <c r="A18" s="2612"/>
      <c r="B18" s="1247" t="s">
        <v>1656</v>
      </c>
      <c r="C18" s="1005" t="str">
        <f>C6</f>
        <v>估价对象周边道路状况、公共交通通达情况、停车便捷程度，综合评价交通便捷度较好</v>
      </c>
      <c r="D18" s="2009"/>
      <c r="E18" s="2609"/>
      <c r="F18" s="1247" t="s">
        <v>1671</v>
      </c>
      <c r="G18" s="1005" t="str">
        <f>G7</f>
        <v>该园区内是否有污染型企业，绿化情况，卫生条件，整体环境状况判断</v>
      </c>
    </row>
    <row r="19" spans="1:7" ht="27">
      <c r="A19" s="2612"/>
      <c r="B19" s="1247" t="s">
        <v>1660</v>
      </c>
      <c r="C19" s="2817"/>
      <c r="D19" s="2008"/>
      <c r="E19" s="2609"/>
      <c r="F19" s="1231" t="s">
        <v>2549</v>
      </c>
      <c r="G19" s="1005" t="str">
        <f>G5</f>
        <v>估价对象所在区域公共配套设施齐备情况</v>
      </c>
    </row>
    <row r="20" spans="1:7" ht="40.5">
      <c r="A20" s="2612"/>
      <c r="B20" s="1247" t="s">
        <v>1661</v>
      </c>
      <c r="C20" s="1246" t="str">
        <f>C9</f>
        <v>区域自然环境：；人文环境；综合评价环境状况一般</v>
      </c>
      <c r="D20" s="2009"/>
      <c r="E20" s="2609"/>
      <c r="F20" s="1231" t="s">
        <v>2550</v>
      </c>
      <c r="G20" s="1005" t="str">
        <f>G6</f>
        <v>估价对象所在区域基础设施水平</v>
      </c>
    </row>
    <row r="21" spans="1:7" ht="27">
      <c r="A21" s="2612"/>
      <c r="B21" s="1231" t="s">
        <v>2549</v>
      </c>
      <c r="C21" s="1005" t="str">
        <f>C7</f>
        <v>估价对象所在区域公共配套设施齐备情况</v>
      </c>
      <c r="D21" s="2008"/>
      <c r="E21" s="2609"/>
      <c r="F21" s="1247" t="s">
        <v>1662</v>
      </c>
      <c r="G21" s="3109"/>
    </row>
    <row r="22" spans="1:7" ht="27">
      <c r="A22" s="2612"/>
      <c r="B22" s="1231" t="s">
        <v>2550</v>
      </c>
      <c r="C22" s="1005" t="str">
        <f>C8</f>
        <v>估价对象所在区域基础设施水平</v>
      </c>
      <c r="D22" s="2008"/>
      <c r="E22" s="2609"/>
      <c r="F22" s="1247" t="s">
        <v>1672</v>
      </c>
      <c r="G22" s="2817"/>
    </row>
    <row r="23" spans="1:7" ht="15" thickBot="1">
      <c r="A23" s="2612"/>
      <c r="B23" s="1247" t="s">
        <v>1662</v>
      </c>
      <c r="C23" s="3109"/>
      <c r="E23" s="2610"/>
      <c r="F23" s="1248" t="s">
        <v>1676</v>
      </c>
      <c r="G23" s="3110"/>
    </row>
    <row r="24" spans="1:7" ht="14.25" thickBot="1">
      <c r="A24" s="2613"/>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2846</v>
      </c>
      <c r="B1" s="3067">
        <f>SUM(B14:B23)</f>
        <v>279349.84999999998</v>
      </c>
      <c r="C1" s="3068"/>
      <c r="D1" s="3068"/>
      <c r="E1" s="3068"/>
      <c r="F1" s="3068"/>
    </row>
    <row r="2" spans="1:9" ht="16.5">
      <c r="A2" s="3067" t="s">
        <v>2847</v>
      </c>
      <c r="B2" s="3067">
        <f>SUM(C14:C23)</f>
        <v>88475.28</v>
      </c>
      <c r="C2" s="3068"/>
      <c r="D2" s="3068"/>
      <c r="E2" s="3068"/>
      <c r="F2" s="3068"/>
    </row>
    <row r="3" spans="1:9" ht="16.5">
      <c r="A3" s="3067" t="s">
        <v>2848</v>
      </c>
      <c r="B3" s="3069">
        <f>项目基本情况!D3</f>
        <v>43228</v>
      </c>
      <c r="C3" s="3068"/>
      <c r="D3" s="3068"/>
      <c r="E3" s="3068"/>
      <c r="F3" s="3068"/>
    </row>
    <row r="4" spans="1:9" ht="33">
      <c r="A4" s="3067" t="s">
        <v>2849</v>
      </c>
      <c r="B4" s="3067" t="s">
        <v>2850</v>
      </c>
      <c r="C4" s="3067" t="s">
        <v>2851</v>
      </c>
      <c r="D4" s="3067" t="s">
        <v>2852</v>
      </c>
      <c r="E4" s="3068"/>
      <c r="F4" s="3068"/>
    </row>
    <row r="5" spans="1:9" ht="16.5">
      <c r="A5" s="3067" t="s">
        <v>2853</v>
      </c>
      <c r="B5" s="3067">
        <f ca="1">SUM(D14:D23)</f>
        <v>385507</v>
      </c>
      <c r="C5" s="3067">
        <f ca="1">ROUND(B5*10000/$B$1,0)</f>
        <v>13800</v>
      </c>
      <c r="D5" s="3067">
        <f ca="1">ROUND(B5*10000/$B$2,0)</f>
        <v>43572</v>
      </c>
      <c r="E5" s="3068"/>
      <c r="F5" s="3068"/>
    </row>
    <row r="6" spans="1:9" ht="16.5">
      <c r="A6" s="3067" t="s">
        <v>2854</v>
      </c>
      <c r="B6" s="3067">
        <f ca="1">SUM(G14:G23)</f>
        <v>385377</v>
      </c>
      <c r="C6" s="3067">
        <f t="shared" ref="C6:C8" ca="1" si="0">ROUND(B6*10000/$B$1,0)</f>
        <v>13795</v>
      </c>
      <c r="D6" s="3067">
        <f t="shared" ref="D6:D8" ca="1" si="1">ROUND(B6*10000/$B$2,0)</f>
        <v>43558</v>
      </c>
      <c r="E6" s="3068"/>
      <c r="F6" s="3068"/>
    </row>
    <row r="7" spans="1:9" ht="16.5">
      <c r="A7" s="3067" t="s">
        <v>2855</v>
      </c>
      <c r="B7" s="3067">
        <f>SUM(H14:H23)</f>
        <v>0</v>
      </c>
      <c r="C7" s="3067">
        <f t="shared" si="0"/>
        <v>0</v>
      </c>
      <c r="D7" s="3067">
        <f t="shared" si="1"/>
        <v>0</v>
      </c>
      <c r="E7" s="3068"/>
      <c r="F7" s="3068"/>
    </row>
    <row r="8" spans="1:9" ht="16.5">
      <c r="A8" s="3067" t="s">
        <v>2856</v>
      </c>
      <c r="B8" s="3067">
        <f>SUM(I14:I23)</f>
        <v>0</v>
      </c>
      <c r="C8" s="3067">
        <f t="shared" si="0"/>
        <v>0</v>
      </c>
      <c r="D8" s="3067">
        <f t="shared" si="1"/>
        <v>0</v>
      </c>
      <c r="E8" s="3068"/>
      <c r="F8" s="3068"/>
    </row>
    <row r="9" spans="1:9" ht="16.5">
      <c r="A9" s="3067" t="s">
        <v>2857</v>
      </c>
      <c r="B9" s="3070"/>
      <c r="C9" s="3068"/>
      <c r="D9" s="3068"/>
      <c r="E9" s="3068"/>
      <c r="F9" s="3068"/>
    </row>
    <row r="10" spans="1:9" ht="16.5">
      <c r="A10" s="3067" t="s">
        <v>2858</v>
      </c>
      <c r="B10" s="3070"/>
      <c r="C10" s="3068"/>
      <c r="D10" s="3068"/>
      <c r="E10" s="3068"/>
      <c r="F10" s="3068"/>
    </row>
    <row r="11" spans="1:9" ht="16.5">
      <c r="A11" s="3067" t="s">
        <v>2875</v>
      </c>
      <c r="B11" s="3070"/>
      <c r="C11" s="3068"/>
      <c r="D11" s="3068"/>
      <c r="E11" s="3068"/>
      <c r="F11" s="3068"/>
    </row>
    <row r="12" spans="1:9" ht="16.5">
      <c r="A12" s="3068"/>
      <c r="B12" s="3068"/>
      <c r="C12" s="3068"/>
      <c r="D12" s="3068"/>
      <c r="E12" s="3068"/>
      <c r="F12" s="3068"/>
    </row>
    <row r="13" spans="1:9" ht="33">
      <c r="A13" s="3073" t="s">
        <v>2874</v>
      </c>
      <c r="B13" s="3071" t="s">
        <v>2846</v>
      </c>
      <c r="C13" s="3071" t="s">
        <v>2847</v>
      </c>
      <c r="D13" s="3071" t="s">
        <v>2859</v>
      </c>
      <c r="E13" s="3067" t="s">
        <v>2873</v>
      </c>
      <c r="F13" s="3067" t="s">
        <v>2852</v>
      </c>
      <c r="G13" s="3071" t="s">
        <v>2860</v>
      </c>
      <c r="H13" s="3071" t="s">
        <v>2861</v>
      </c>
      <c r="I13" s="3071" t="s">
        <v>2862</v>
      </c>
    </row>
    <row r="14" spans="1:9" ht="16.5">
      <c r="A14" s="3074" t="s">
        <v>2872</v>
      </c>
      <c r="B14" s="3071">
        <f>结果表!L38</f>
        <v>279349.84999999998</v>
      </c>
      <c r="C14" s="3071">
        <f>结果表!K38</f>
        <v>88475.28</v>
      </c>
      <c r="D14" s="3071">
        <f ca="1">结果表!C42</f>
        <v>385507</v>
      </c>
      <c r="E14" s="3071">
        <f ca="1">ROUND(D14*10000/B14,0)</f>
        <v>13800</v>
      </c>
      <c r="F14" s="3071">
        <f ca="1">ROUND(D14*10000/C14,0)</f>
        <v>43572</v>
      </c>
      <c r="G14" s="3071">
        <f ca="1">结果表!C44</f>
        <v>385377</v>
      </c>
      <c r="H14" s="3071" t="str">
        <f>结果表!C45</f>
        <v>——</v>
      </c>
      <c r="I14" s="3071" t="str">
        <f>结果表!C46</f>
        <v>——</v>
      </c>
    </row>
    <row r="15" spans="1:9" ht="16.5">
      <c r="A15" s="3074" t="s">
        <v>2863</v>
      </c>
      <c r="B15" s="3075"/>
      <c r="C15" s="3075"/>
      <c r="D15" s="3075"/>
      <c r="E15" s="3071" t="e">
        <f t="shared" ref="E15:E23" si="2">ROUND(D15*10000/B15,0)</f>
        <v>#DIV/0!</v>
      </c>
      <c r="F15" s="3071" t="e">
        <f t="shared" ref="F15:F23" si="3">ROUND(D15*10000/C15,0)</f>
        <v>#DIV/0!</v>
      </c>
      <c r="G15" s="3072"/>
      <c r="H15" s="3072"/>
      <c r="I15" s="3075"/>
    </row>
    <row r="16" spans="1:9" ht="16.5">
      <c r="A16" s="3074" t="s">
        <v>2864</v>
      </c>
      <c r="B16" s="3075"/>
      <c r="C16" s="3075"/>
      <c r="D16" s="3075"/>
      <c r="E16" s="3071" t="e">
        <f t="shared" si="2"/>
        <v>#DIV/0!</v>
      </c>
      <c r="F16" s="3071" t="e">
        <f t="shared" si="3"/>
        <v>#DIV/0!</v>
      </c>
      <c r="G16" s="3072"/>
      <c r="H16" s="3072"/>
      <c r="I16" s="3075"/>
    </row>
    <row r="17" spans="1:9" ht="16.5">
      <c r="A17" s="3074" t="s">
        <v>2865</v>
      </c>
      <c r="B17" s="3075"/>
      <c r="C17" s="3075"/>
      <c r="D17" s="3075"/>
      <c r="E17" s="3071" t="e">
        <f t="shared" si="2"/>
        <v>#DIV/0!</v>
      </c>
      <c r="F17" s="3071" t="e">
        <f t="shared" si="3"/>
        <v>#DIV/0!</v>
      </c>
      <c r="G17" s="3072"/>
      <c r="H17" s="3072"/>
      <c r="I17" s="3075"/>
    </row>
    <row r="18" spans="1:9" ht="16.5">
      <c r="A18" s="3074" t="s">
        <v>2866</v>
      </c>
      <c r="B18" s="3075"/>
      <c r="C18" s="3075"/>
      <c r="D18" s="3075"/>
      <c r="E18" s="3071" t="e">
        <f t="shared" si="2"/>
        <v>#DIV/0!</v>
      </c>
      <c r="F18" s="3071" t="e">
        <f t="shared" si="3"/>
        <v>#DIV/0!</v>
      </c>
      <c r="G18" s="3075"/>
      <c r="H18" s="3075"/>
      <c r="I18" s="3075"/>
    </row>
    <row r="19" spans="1:9" ht="16.5">
      <c r="A19" s="3074" t="s">
        <v>2867</v>
      </c>
      <c r="B19" s="3075"/>
      <c r="C19" s="3075"/>
      <c r="D19" s="3075"/>
      <c r="E19" s="3071" t="e">
        <f t="shared" si="2"/>
        <v>#DIV/0!</v>
      </c>
      <c r="F19" s="3071" t="e">
        <f t="shared" si="3"/>
        <v>#DIV/0!</v>
      </c>
      <c r="G19" s="3075"/>
      <c r="H19" s="3075"/>
      <c r="I19" s="3075"/>
    </row>
    <row r="20" spans="1:9" ht="16.5">
      <c r="A20" s="3074" t="s">
        <v>2868</v>
      </c>
      <c r="B20" s="3075"/>
      <c r="C20" s="3075"/>
      <c r="D20" s="3075"/>
      <c r="E20" s="3071" t="e">
        <f t="shared" si="2"/>
        <v>#DIV/0!</v>
      </c>
      <c r="F20" s="3071" t="e">
        <f t="shared" si="3"/>
        <v>#DIV/0!</v>
      </c>
      <c r="G20" s="3075"/>
      <c r="H20" s="3075"/>
      <c r="I20" s="3075"/>
    </row>
    <row r="21" spans="1:9" ht="16.5">
      <c r="A21" s="3074" t="s">
        <v>2869</v>
      </c>
      <c r="B21" s="3075"/>
      <c r="C21" s="3075"/>
      <c r="D21" s="3075"/>
      <c r="E21" s="3071" t="e">
        <f t="shared" si="2"/>
        <v>#DIV/0!</v>
      </c>
      <c r="F21" s="3071" t="e">
        <f t="shared" si="3"/>
        <v>#DIV/0!</v>
      </c>
      <c r="G21" s="3075"/>
      <c r="H21" s="3075"/>
      <c r="I21" s="3075"/>
    </row>
    <row r="22" spans="1:9" ht="16.5">
      <c r="A22" s="3074" t="s">
        <v>2870</v>
      </c>
      <c r="B22" s="3075"/>
      <c r="C22" s="3075"/>
      <c r="D22" s="3075"/>
      <c r="E22" s="3071" t="e">
        <f t="shared" si="2"/>
        <v>#DIV/0!</v>
      </c>
      <c r="F22" s="3071" t="e">
        <f t="shared" si="3"/>
        <v>#DIV/0!</v>
      </c>
      <c r="G22" s="3075"/>
      <c r="H22" s="3075"/>
      <c r="I22" s="3075"/>
    </row>
    <row r="23" spans="1:9" ht="16.5">
      <c r="A23" s="3074" t="s">
        <v>2871</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22" zoomScaleNormal="100" zoomScaleSheetLayoutView="100" zoomScalePageLayoutView="80" workbookViewId="0">
      <selection activeCell="F29" sqref="F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2057</v>
      </c>
      <c r="B1" s="1776"/>
      <c r="C1" s="1804" t="s">
        <v>2058</v>
      </c>
      <c r="D1" s="1805" t="s">
        <v>3045</v>
      </c>
      <c r="E1" s="1804" t="s">
        <v>2059</v>
      </c>
      <c r="F1" s="1806" t="s">
        <v>3046</v>
      </c>
      <c r="G1" s="311"/>
      <c r="H1" s="311"/>
      <c r="I1" s="311"/>
      <c r="J1" s="2028"/>
      <c r="K1" s="2028"/>
      <c r="L1" s="2028"/>
      <c r="M1" s="2028"/>
      <c r="N1" s="2028"/>
      <c r="O1" s="2028"/>
      <c r="P1" s="2028"/>
      <c r="Q1" s="2028"/>
      <c r="R1" s="2028"/>
      <c r="S1" s="2028"/>
      <c r="T1" s="2028"/>
      <c r="U1" s="2028"/>
      <c r="V1" s="2028"/>
    </row>
    <row r="2" spans="1:22" ht="21.75" customHeight="1" thickBot="1">
      <c r="A2" s="3319" t="str">
        <f>项目基本情况!K2</f>
        <v>北京市大兴区魏善庄镇2016年世界月季大会周边配套（国家新媒体产业基地B组团）土地一级开发项目AA-43（DX07-0102-6011）地块R2二类居住用地出让国有建设用地使用权</v>
      </c>
      <c r="B2" s="3320"/>
      <c r="C2" s="3321"/>
      <c r="D2" s="3321"/>
      <c r="E2" s="3321"/>
      <c r="F2" s="3321"/>
      <c r="G2" s="3320"/>
      <c r="H2" s="3320"/>
      <c r="I2" s="3322"/>
      <c r="J2" s="2029"/>
      <c r="K2" s="2028"/>
      <c r="L2" s="2028"/>
      <c r="M2" s="2028"/>
      <c r="N2" s="2028"/>
      <c r="O2" s="2028"/>
      <c r="P2" s="2028"/>
      <c r="Q2" s="2028"/>
      <c r="R2" s="2028"/>
      <c r="S2" s="2028"/>
      <c r="T2" s="2028"/>
      <c r="U2" s="2028"/>
      <c r="V2" s="2028"/>
    </row>
    <row r="3" spans="1:22" ht="14.25">
      <c r="A3" s="3330" t="s">
        <v>298</v>
      </c>
      <c r="B3" s="3331"/>
      <c r="C3" s="3331"/>
      <c r="D3" s="3331"/>
      <c r="E3" s="3331"/>
      <c r="F3" s="3331"/>
      <c r="G3" s="3331"/>
      <c r="H3" s="3331"/>
      <c r="I3" s="3331"/>
      <c r="J3" s="2029"/>
      <c r="K3" s="2028"/>
      <c r="L3" s="2028"/>
      <c r="M3" s="2028"/>
      <c r="N3" s="2028"/>
      <c r="O3" s="2028"/>
      <c r="P3" s="2028"/>
      <c r="Q3" s="2028"/>
      <c r="R3" s="2028"/>
      <c r="S3" s="2028"/>
      <c r="T3" s="2028"/>
      <c r="U3" s="2028"/>
      <c r="V3" s="2028"/>
    </row>
    <row r="4" spans="1:22" ht="14.25">
      <c r="A4" s="258" t="s">
        <v>299</v>
      </c>
      <c r="B4" s="259" t="s">
        <v>300</v>
      </c>
      <c r="C4" s="260" t="s">
        <v>3047</v>
      </c>
      <c r="D4" s="260" t="s">
        <v>3048</v>
      </c>
      <c r="E4" s="3294" t="s">
        <v>301</v>
      </c>
      <c r="F4" s="3336"/>
      <c r="G4" s="3336"/>
      <c r="H4" s="3336"/>
      <c r="I4" s="329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3" t="s">
        <v>302</v>
      </c>
      <c r="B5" s="3324">
        <v>25</v>
      </c>
      <c r="C5" s="3332"/>
      <c r="D5" s="3335"/>
      <c r="E5" s="261" t="s">
        <v>303</v>
      </c>
      <c r="F5" s="262"/>
      <c r="G5" s="262"/>
      <c r="H5" s="262"/>
      <c r="I5" s="263"/>
      <c r="J5" s="2029"/>
      <c r="K5" s="2028"/>
      <c r="L5" s="2028"/>
      <c r="M5" s="2028"/>
      <c r="N5" s="2028"/>
      <c r="O5" s="2028"/>
      <c r="P5" s="2028"/>
      <c r="Q5" s="2028"/>
      <c r="R5" s="2028"/>
      <c r="S5" s="2028"/>
      <c r="T5" s="2028"/>
      <c r="U5" s="2028"/>
      <c r="V5" s="2028"/>
    </row>
    <row r="6" spans="1:22" ht="14.25">
      <c r="A6" s="3323"/>
      <c r="B6" s="3324"/>
      <c r="C6" s="3333"/>
      <c r="D6" s="3335"/>
      <c r="E6" s="261" t="s">
        <v>304</v>
      </c>
      <c r="F6" s="262"/>
      <c r="G6" s="262"/>
      <c r="H6" s="262"/>
      <c r="I6" s="263"/>
      <c r="J6" s="2029"/>
      <c r="K6" s="2028"/>
      <c r="L6" s="2028"/>
      <c r="M6" s="2028"/>
      <c r="N6" s="2028"/>
      <c r="O6" s="2028"/>
      <c r="P6" s="2028"/>
      <c r="Q6" s="2028"/>
      <c r="R6" s="2028"/>
      <c r="S6" s="2028"/>
      <c r="T6" s="2028"/>
      <c r="U6" s="2028"/>
      <c r="V6" s="2028"/>
    </row>
    <row r="7" spans="1:22" ht="14.25">
      <c r="A7" s="3323"/>
      <c r="B7" s="3324"/>
      <c r="C7" s="3334"/>
      <c r="D7" s="3335"/>
      <c r="E7" s="261" t="s">
        <v>305</v>
      </c>
      <c r="F7" s="262"/>
      <c r="G7" s="262"/>
      <c r="H7" s="262"/>
      <c r="I7" s="263"/>
      <c r="J7" s="2029"/>
      <c r="K7" s="2028"/>
      <c r="L7" s="2028"/>
      <c r="M7" s="2028"/>
      <c r="N7" s="2028"/>
      <c r="O7" s="2028"/>
      <c r="P7" s="2028"/>
      <c r="Q7" s="2028"/>
      <c r="R7" s="2028"/>
      <c r="S7" s="2028"/>
      <c r="T7" s="2028"/>
      <c r="U7" s="2028"/>
      <c r="V7" s="2028"/>
    </row>
    <row r="8" spans="1:22" ht="14.25">
      <c r="A8" s="3323" t="s">
        <v>306</v>
      </c>
      <c r="B8" s="3324">
        <v>15</v>
      </c>
      <c r="C8" s="3332"/>
      <c r="D8" s="3335"/>
      <c r="E8" s="261" t="s">
        <v>307</v>
      </c>
      <c r="F8" s="262"/>
      <c r="G8" s="262"/>
      <c r="H8" s="262"/>
      <c r="I8" s="263"/>
      <c r="J8" s="2029"/>
      <c r="K8" s="2028"/>
      <c r="L8" s="2028"/>
      <c r="M8" s="2028"/>
      <c r="N8" s="2028"/>
      <c r="O8" s="2028"/>
      <c r="P8" s="2028"/>
      <c r="Q8" s="2028"/>
      <c r="R8" s="2028"/>
      <c r="S8" s="2028"/>
      <c r="T8" s="2028"/>
      <c r="U8" s="2028"/>
      <c r="V8" s="2028"/>
    </row>
    <row r="9" spans="1:22" ht="14.25">
      <c r="A9" s="3323"/>
      <c r="B9" s="3324"/>
      <c r="C9" s="3334"/>
      <c r="D9" s="3335"/>
      <c r="E9" s="261" t="s">
        <v>308</v>
      </c>
      <c r="F9" s="262"/>
      <c r="G9" s="262"/>
      <c r="H9" s="262"/>
      <c r="I9" s="263"/>
      <c r="J9" s="2029"/>
      <c r="K9" s="2028"/>
      <c r="L9" s="2028"/>
      <c r="M9" s="2028"/>
      <c r="N9" s="2028"/>
      <c r="O9" s="2028"/>
      <c r="P9" s="2028"/>
      <c r="Q9" s="2028"/>
      <c r="R9" s="2028"/>
      <c r="S9" s="2028"/>
      <c r="T9" s="2028"/>
      <c r="U9" s="2028"/>
      <c r="V9" s="2028"/>
    </row>
    <row r="10" spans="1:22" ht="14.25">
      <c r="A10" s="3323" t="s">
        <v>309</v>
      </c>
      <c r="B10" s="3324">
        <v>15</v>
      </c>
      <c r="C10" s="3332"/>
      <c r="D10" s="333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23"/>
      <c r="B11" s="3324"/>
      <c r="C11" s="3334"/>
      <c r="D11" s="333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23" t="s">
        <v>312</v>
      </c>
      <c r="B12" s="3324">
        <v>15</v>
      </c>
      <c r="C12" s="3332"/>
      <c r="D12" s="333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23"/>
      <c r="B13" s="3324"/>
      <c r="C13" s="3334"/>
      <c r="D13" s="333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23" t="s">
        <v>315</v>
      </c>
      <c r="B14" s="3324">
        <v>30</v>
      </c>
      <c r="C14" s="3332">
        <v>7</v>
      </c>
      <c r="D14" s="3335">
        <v>3</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23"/>
      <c r="B15" s="3324"/>
      <c r="C15" s="3333"/>
      <c r="D15" s="333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23"/>
      <c r="B16" s="3324"/>
      <c r="C16" s="3334"/>
      <c r="D16" s="333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7</v>
      </c>
      <c r="D17" s="265">
        <f>SUM(D5:D16)</f>
        <v>3</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0.7</v>
      </c>
      <c r="D18" s="267">
        <f>1-C18</f>
        <v>0.30000000000000004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407756</v>
      </c>
      <c r="D19" s="271">
        <f ca="1">SUMIF(INDIRECT("'"&amp;D4&amp;"'"&amp;"!A:A"),结果表!B19,INDIRECT("'"&amp;D4&amp;"'"&amp;"!B:B"))</f>
        <v>333594</v>
      </c>
      <c r="E19" s="268" t="s">
        <v>323</v>
      </c>
      <c r="F19" s="269" t="s">
        <v>322</v>
      </c>
      <c r="G19" s="272">
        <f ca="1">ROUND(C19*$C$18+D19*$D$18,0)</f>
        <v>385507</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14597</v>
      </c>
      <c r="D20" s="277">
        <f ca="1">SUMIF(INDIRECT("'"&amp;D4&amp;"'"&amp;"!A:A"),结果表!B20,INDIRECT("'"&amp;D4&amp;"'"&amp;"!B:B"))</f>
        <v>11942</v>
      </c>
      <c r="E20" s="274"/>
      <c r="F20" s="275" t="s">
        <v>325</v>
      </c>
      <c r="G20" s="278">
        <f ca="1">ROUND(C20*$C$18+D20*$D$18,0)</f>
        <v>13801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46087</v>
      </c>
      <c r="D21" s="151">
        <f ca="1">SUMIF(INDIRECT("'"&amp;D4&amp;"'"&amp;"!A:A"),结果表!B21,INDIRECT("'"&amp;D4&amp;"'"&amp;"!B:B"))</f>
        <v>37705</v>
      </c>
      <c r="E21" s="274"/>
      <c r="F21" s="280" t="s">
        <v>327</v>
      </c>
      <c r="G21" s="282">
        <f ca="1">ROUND(C21*$C$18+D21*$D$18,0)</f>
        <v>43572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0.22231215189721643</v>
      </c>
      <c r="E22" s="284"/>
      <c r="F22" s="285"/>
      <c r="G22" s="286">
        <f ca="1">ROUND(G19/('数据-汇总表'!D3/666.67),0)</f>
        <v>2905</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38"/>
      <c r="B25" s="1321" t="s">
        <v>331</v>
      </c>
      <c r="C25" s="290">
        <f>IF(B30=0,0,C30)</f>
        <v>0</v>
      </c>
      <c r="D25" s="291"/>
      <c r="E25" s="311"/>
      <c r="F25" s="311"/>
      <c r="G25" s="311"/>
      <c r="H25" s="311"/>
      <c r="I25" s="311"/>
      <c r="J25" s="2028"/>
      <c r="K25" s="1255" t="str">
        <f ca="1">项目基本情况!B16&amp;"国有建设用地使用权价格："&amp;O38&amp;"万元"</f>
        <v>出让国有建设用地使用权价格：385507万元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大写金额：人民币叁拾捌亿伍仟伍佰零柒万元整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单位面积地价：43572元/平方米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楼面地价：13800元/平方米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抵押价格：385377万元</v>
      </c>
      <c r="L29" s="1252"/>
      <c r="M29" s="1252"/>
      <c r="N29" s="1252"/>
      <c r="O29" s="1251"/>
      <c r="P29" s="2028"/>
      <c r="V29" s="2028"/>
    </row>
    <row r="30" spans="1:26" ht="18.75" thickBot="1">
      <c r="A30" s="3158" t="s">
        <v>336</v>
      </c>
      <c r="B30" s="309"/>
      <c r="C30" s="309"/>
      <c r="D30" s="310"/>
      <c r="E30" s="3159" t="s">
        <v>2974</v>
      </c>
      <c r="F30" s="311"/>
      <c r="G30" s="311"/>
      <c r="H30" s="311"/>
      <c r="I30" s="311"/>
      <c r="J30" s="2028"/>
      <c r="K30" s="1258" t="str">
        <f ca="1">IF(K29="——","——","大写金额：人民币"&amp;NUMBERSTRING(INT(O39*10000),2)&amp;"元整")</f>
        <v>大写金额：人民币叁拾捌亿伍仟叁佰柒拾柒万元整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0" t="s">
        <v>1688</v>
      </c>
      <c r="C32" s="1381">
        <f ca="1">G19-C24</f>
        <v>385507</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3" t="s">
        <v>1690</v>
      </c>
      <c r="C33" s="264">
        <f ca="1">ROUND(C32*10000/'数据-汇总表'!E3,0)</f>
        <v>13800</v>
      </c>
      <c r="D33" s="1384" t="s">
        <v>1691</v>
      </c>
      <c r="E33" s="3296"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5" t="s">
        <v>1692</v>
      </c>
      <c r="C34" s="264">
        <f ca="1">ROUND(C32*10000/'数据-汇总表'!D3,0)</f>
        <v>43572</v>
      </c>
      <c r="D34" s="1386" t="s">
        <v>1691</v>
      </c>
      <c r="E34" s="3297"/>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7"/>
      <c r="C35" s="1388">
        <f ca="1">ROUND(C32/('数据-汇总表'!D3/666.67),0)</f>
        <v>2905</v>
      </c>
      <c r="D35" s="1389" t="s">
        <v>1693</v>
      </c>
      <c r="E35" s="3298"/>
      <c r="F35" s="301" t="s">
        <v>342</v>
      </c>
      <c r="G35" s="982">
        <f>E37+E38</f>
        <v>130</v>
      </c>
      <c r="H35" s="981" t="s">
        <v>343</v>
      </c>
      <c r="I35" s="311"/>
      <c r="J35" s="2028"/>
      <c r="K35" s="3302" t="s">
        <v>350</v>
      </c>
      <c r="L35" s="3302" t="s">
        <v>351</v>
      </c>
      <c r="M35" s="1264" t="s">
        <v>352</v>
      </c>
      <c r="N35" s="3302" t="s">
        <v>353</v>
      </c>
      <c r="O35" s="3302" t="s">
        <v>354</v>
      </c>
      <c r="P35" s="2028"/>
      <c r="V35" s="2028"/>
    </row>
    <row r="36" spans="1:26" ht="16.5" customHeight="1">
      <c r="A36" s="303" t="s">
        <v>344</v>
      </c>
      <c r="B36" s="304" t="s">
        <v>333</v>
      </c>
      <c r="C36" s="305" t="s">
        <v>345</v>
      </c>
      <c r="D36" s="305" t="s">
        <v>346</v>
      </c>
      <c r="E36" s="306" t="s">
        <v>347</v>
      </c>
      <c r="F36" s="311"/>
      <c r="G36" s="311"/>
      <c r="H36" s="311"/>
      <c r="I36" s="311"/>
      <c r="J36" s="2030"/>
      <c r="K36" s="3303"/>
      <c r="L36" s="3303"/>
      <c r="M36" s="1266" t="s">
        <v>355</v>
      </c>
      <c r="N36" s="3303"/>
      <c r="O36" s="3303"/>
      <c r="P36" s="2028"/>
      <c r="V36" s="2028"/>
    </row>
    <row r="37" spans="1:26" ht="16.5" customHeight="1" thickBot="1">
      <c r="A37" s="1260" t="s">
        <v>348</v>
      </c>
      <c r="B37" s="307">
        <f>'数据-汇总表'!G20</f>
        <v>15958.279999999999</v>
      </c>
      <c r="C37" s="294">
        <f>ROUND(17529*0.2*0.25,0)</f>
        <v>876</v>
      </c>
      <c r="D37" s="3499">
        <v>3.0499999999999999E-2</v>
      </c>
      <c r="E37" s="295">
        <f>ROUND(B37*D37*(1+C37)/10000,0)</f>
        <v>43</v>
      </c>
      <c r="F37" s="311"/>
      <c r="G37" s="311"/>
      <c r="H37" s="311"/>
      <c r="I37" s="311"/>
      <c r="J37" s="2030"/>
      <c r="K37" s="3304"/>
      <c r="L37" s="3304"/>
      <c r="M37" s="1267"/>
      <c r="N37" s="3304"/>
      <c r="O37" s="3304"/>
      <c r="P37" s="2028"/>
      <c r="V37" s="2028"/>
    </row>
    <row r="38" spans="1:26" ht="16.5" customHeight="1" thickBot="1">
      <c r="A38" s="1260" t="s">
        <v>349</v>
      </c>
      <c r="B38" s="307">
        <f>'数据-汇总表'!G21</f>
        <v>43547.97</v>
      </c>
      <c r="C38" s="294">
        <f>ROUND(17529*0.15*0.25,0)</f>
        <v>657</v>
      </c>
      <c r="D38" s="3499">
        <v>3.0499999999999999E-2</v>
      </c>
      <c r="E38" s="295">
        <f>ROUND(B38*D38*(1+C38)/10000,0)</f>
        <v>87</v>
      </c>
      <c r="F38" s="311"/>
      <c r="G38" s="311"/>
      <c r="H38" s="311"/>
      <c r="I38" s="311"/>
      <c r="J38" s="2030"/>
      <c r="K38" s="1268">
        <f>'数据-汇总表'!D3</f>
        <v>88475.28</v>
      </c>
      <c r="L38" s="1269">
        <f>'数据-汇总表'!E3</f>
        <v>279349.84999999998</v>
      </c>
      <c r="M38" s="1269">
        <f ca="1">C34</f>
        <v>43572</v>
      </c>
      <c r="N38" s="1269">
        <f ca="1">C33</f>
        <v>13800</v>
      </c>
      <c r="O38" s="1270">
        <f ca="1">C32</f>
        <v>385507</v>
      </c>
      <c r="P38" s="2028"/>
      <c r="V38" s="2028"/>
    </row>
    <row r="39" spans="1:26" ht="16.5" customHeight="1" thickBot="1">
      <c r="A39" s="1265"/>
      <c r="B39" s="308"/>
      <c r="C39" s="309"/>
      <c r="D39" s="309"/>
      <c r="E39" s="310"/>
      <c r="F39" s="311"/>
      <c r="G39" s="311"/>
      <c r="H39" s="311"/>
      <c r="I39" s="311"/>
      <c r="J39" s="2030"/>
      <c r="K39" s="3279" t="str">
        <f>MID(A44,3,LEN(A44)-2)</f>
        <v>抵押价格</v>
      </c>
      <c r="L39" s="3280"/>
      <c r="M39" s="3280"/>
      <c r="N39" s="3281"/>
      <c r="O39" s="1391">
        <f ca="1">C44</f>
        <v>385377</v>
      </c>
      <c r="P39" s="2028"/>
      <c r="V39" s="2028"/>
    </row>
    <row r="40" spans="1:26" ht="19.5" thickBot="1">
      <c r="A40" s="104" t="s">
        <v>873</v>
      </c>
      <c r="B40" s="311"/>
      <c r="C40" s="311"/>
      <c r="D40" s="311"/>
      <c r="E40" s="311"/>
      <c r="F40" s="311"/>
      <c r="G40" s="311"/>
      <c r="H40" s="311"/>
      <c r="I40" s="311"/>
      <c r="J40" s="2030"/>
      <c r="K40" s="3279" t="str">
        <f t="shared" ref="K40:K41" si="0">MID(A45,3,LEN(A45)-2)</f>
        <v/>
      </c>
      <c r="L40" s="3280"/>
      <c r="M40" s="3280"/>
      <c r="N40" s="3281"/>
      <c r="O40" s="1391" t="str">
        <f>C45</f>
        <v>——</v>
      </c>
      <c r="P40" s="2028"/>
      <c r="V40" s="2028"/>
    </row>
    <row r="41" spans="1:26" ht="16.5" thickBot="1">
      <c r="A41" s="312" t="s">
        <v>356</v>
      </c>
      <c r="B41" s="313"/>
      <c r="C41" s="314" t="s">
        <v>357</v>
      </c>
      <c r="D41" s="315" t="s">
        <v>358</v>
      </c>
      <c r="E41" s="315" t="s">
        <v>359</v>
      </c>
      <c r="F41" s="316" t="s">
        <v>360</v>
      </c>
      <c r="G41" s="311"/>
      <c r="H41" s="311"/>
      <c r="I41" s="311"/>
      <c r="J41" s="2030"/>
      <c r="K41" s="3279" t="str">
        <f t="shared" si="0"/>
        <v/>
      </c>
      <c r="L41" s="3280"/>
      <c r="M41" s="3280"/>
      <c r="N41" s="3281"/>
      <c r="O41" s="1391" t="str">
        <f>C46</f>
        <v>——</v>
      </c>
      <c r="P41" s="2028"/>
      <c r="V41" s="2028"/>
    </row>
    <row r="42" spans="1:26" ht="29.25">
      <c r="A42" s="3339" t="s">
        <v>2069</v>
      </c>
      <c r="B42" s="3340"/>
      <c r="C42" s="264">
        <f ca="1">C32</f>
        <v>385507</v>
      </c>
      <c r="D42" s="317">
        <f ca="1">C33</f>
        <v>13800</v>
      </c>
      <c r="E42" s="317">
        <f ca="1">C34</f>
        <v>43572</v>
      </c>
      <c r="F42" s="318">
        <f ca="1">C35</f>
        <v>2905</v>
      </c>
      <c r="G42" s="311"/>
      <c r="H42" s="311"/>
      <c r="I42" s="319"/>
      <c r="J42" s="2030"/>
      <c r="K42" s="1271" t="s">
        <v>361</v>
      </c>
      <c r="L42" s="2047" t="s">
        <v>362</v>
      </c>
      <c r="M42" s="1272" t="s">
        <v>363</v>
      </c>
      <c r="N42" s="2048" t="s">
        <v>364</v>
      </c>
      <c r="O42" s="2049" t="s">
        <v>365</v>
      </c>
      <c r="P42" s="2028"/>
      <c r="V42" s="2028"/>
    </row>
    <row r="43" spans="1:26" ht="18">
      <c r="A43" s="3349" t="s">
        <v>2732</v>
      </c>
      <c r="B43" s="3350"/>
      <c r="C43" s="264">
        <f>IF(H33="正常操作",G33+G34+G35,G34+G35)</f>
        <v>130</v>
      </c>
      <c r="D43" s="317" t="s">
        <v>43</v>
      </c>
      <c r="E43" s="317" t="s">
        <v>44</v>
      </c>
      <c r="F43" s="318" t="s">
        <v>44</v>
      </c>
      <c r="G43" s="2890" t="s">
        <v>952</v>
      </c>
      <c r="H43" s="311"/>
      <c r="I43" s="319"/>
      <c r="J43" s="2030"/>
      <c r="K43" s="1273" t="str">
        <f>C4</f>
        <v>比较法-住宅、综合</v>
      </c>
      <c r="L43" s="1274">
        <f ca="1">IF(L42="估价结果/万元",C19,C20)</f>
        <v>407756</v>
      </c>
      <c r="M43" s="1275">
        <f>C18</f>
        <v>0.7</v>
      </c>
      <c r="N43" s="1276">
        <f ca="1">IF(N42="测算结果/万元",G19,G20)</f>
        <v>385507</v>
      </c>
      <c r="O43" s="1277">
        <f ca="1">IF(O42="最终结果/万元",C32,C33)</f>
        <v>385507</v>
      </c>
      <c r="P43" s="2028"/>
      <c r="V43" s="2028"/>
    </row>
    <row r="44" spans="1:26" ht="18.75" thickBot="1">
      <c r="A44" s="3339" t="str">
        <f>IF(OR(项目基本情况!E8="抵押价格",项目基本情况!E8="已注销及未注销"),"3.抵押价格","——")</f>
        <v>3.抵押价格</v>
      </c>
      <c r="B44" s="3340"/>
      <c r="C44" s="264">
        <f ca="1">IF(A44="——","——",C42-C43)</f>
        <v>385377</v>
      </c>
      <c r="D44" s="317">
        <f ca="1">ROUND(C44*10000/'数据-汇总表'!E3,0)</f>
        <v>13795</v>
      </c>
      <c r="E44" s="317">
        <f ca="1">ROUND(C44*10000/'数据-汇总表'!D3,0)</f>
        <v>43558</v>
      </c>
      <c r="F44" s="318">
        <f ca="1">ROUND(C44/('数据-汇总表'!D3/666.67),0)</f>
        <v>2904</v>
      </c>
      <c r="G44" s="311"/>
      <c r="H44" s="311"/>
      <c r="I44" s="319"/>
      <c r="J44" s="2030"/>
      <c r="K44" s="1278" t="str">
        <f>D4</f>
        <v>剩余法-待开发</v>
      </c>
      <c r="L44" s="1279">
        <f ca="1">IF(L42="估价结果/万元",D19,D20)</f>
        <v>333594</v>
      </c>
      <c r="M44" s="1280">
        <f>D18</f>
        <v>0.30000000000000004</v>
      </c>
      <c r="N44" s="1281"/>
      <c r="O44" s="1282"/>
      <c r="P44" s="2028"/>
      <c r="V44" s="2028"/>
    </row>
    <row r="45" spans="1:26" ht="15">
      <c r="A45" s="3344" t="str">
        <f>IF(项目基本情况!E8="已注销及未注销","4.抵押担保权已注销时的抵押价格",IF(项目基本情况!E8="已注销","3.抵押担保权已注销时的抵押价格","——"))</f>
        <v>——</v>
      </c>
      <c r="B45" s="334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本次评估估价师知悉的法定优先受偿款为人民币130万元整。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07" t="s">
        <v>374</v>
      </c>
      <c r="B63" s="3308"/>
      <c r="C63" s="3309"/>
      <c r="D63" s="341">
        <f ca="1">ROUND(C42*F63,0)</f>
        <v>231304</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46" t="s">
        <v>378</v>
      </c>
      <c r="B64" s="3347"/>
      <c r="C64" s="3347"/>
      <c r="D64" s="3347"/>
      <c r="E64" s="3347"/>
      <c r="F64" s="3347"/>
      <c r="G64" s="3348"/>
      <c r="H64" s="1288"/>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43" t="s">
        <v>386</v>
      </c>
      <c r="B66" s="3314"/>
      <c r="C66" s="3314"/>
      <c r="D66" s="261">
        <f ca="1">IF(H66="情况1",0,IF(H66="情况2",D70,IF(H66="情况3",D71,IF(H66="情况4",D72))))</f>
        <v>12336</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283" t="s">
        <v>385</v>
      </c>
      <c r="M66" s="3284"/>
      <c r="N66" s="2482"/>
      <c r="O66" s="2483"/>
      <c r="P66" s="2484"/>
      <c r="Q66" s="2028"/>
      <c r="R66" s="2028"/>
      <c r="S66" s="2028"/>
      <c r="T66" s="2028"/>
      <c r="U66" s="2028"/>
      <c r="V66" s="2028"/>
    </row>
    <row r="67" spans="1:22" ht="25.5" customHeight="1">
      <c r="A67" s="352" t="s">
        <v>390</v>
      </c>
      <c r="B67" s="3326" t="s">
        <v>391</v>
      </c>
      <c r="C67" s="3326"/>
      <c r="D67" s="353">
        <v>0</v>
      </c>
      <c r="E67" s="41" t="s">
        <v>392</v>
      </c>
      <c r="F67" s="62" t="s">
        <v>21</v>
      </c>
      <c r="G67" s="3310"/>
      <c r="H67" s="311"/>
      <c r="I67" s="1292"/>
      <c r="J67" s="2035"/>
      <c r="K67" s="1976">
        <v>2</v>
      </c>
      <c r="L67" s="3282" t="s">
        <v>389</v>
      </c>
      <c r="M67" s="3282"/>
      <c r="N67" s="1325">
        <f>'数据-取费表'!B2</f>
        <v>43228</v>
      </c>
      <c r="O67" s="1325"/>
      <c r="P67" s="1325"/>
      <c r="Q67" s="2028"/>
      <c r="R67" s="2028"/>
      <c r="S67" s="2028"/>
      <c r="T67" s="2028"/>
      <c r="U67" s="2028"/>
      <c r="V67" s="2028"/>
    </row>
    <row r="68" spans="1:22" ht="25.5" customHeight="1">
      <c r="A68" s="354"/>
      <c r="B68" s="3326" t="s">
        <v>394</v>
      </c>
      <c r="C68" s="3326"/>
      <c r="D68" s="355"/>
      <c r="E68" s="77"/>
      <c r="F68" s="356"/>
      <c r="G68" s="3311"/>
      <c r="H68" s="311"/>
      <c r="I68" s="1292"/>
      <c r="J68" s="2035"/>
      <c r="K68" s="1976">
        <v>3</v>
      </c>
      <c r="L68" s="3282" t="s">
        <v>393</v>
      </c>
      <c r="M68" s="3282"/>
      <c r="N68" s="1293">
        <f ca="1">C42</f>
        <v>385507</v>
      </c>
      <c r="O68" s="1293"/>
      <c r="P68" s="1293"/>
      <c r="Q68" s="2028"/>
      <c r="R68" s="2028"/>
      <c r="S68" s="2028"/>
      <c r="T68" s="2028"/>
      <c r="U68" s="2028"/>
      <c r="V68" s="2028"/>
    </row>
    <row r="69" spans="1:22" ht="12" customHeight="1">
      <c r="A69" s="357"/>
      <c r="B69" s="3326" t="s">
        <v>395</v>
      </c>
      <c r="C69" s="3326"/>
      <c r="D69" s="358"/>
      <c r="E69" s="73"/>
      <c r="F69" s="356"/>
      <c r="G69" s="3312"/>
      <c r="H69" s="311"/>
      <c r="I69" s="1292"/>
      <c r="J69" s="2035"/>
      <c r="K69" s="1294">
        <v>4</v>
      </c>
      <c r="L69" s="3288" t="s">
        <v>2885</v>
      </c>
      <c r="M69" s="3289"/>
      <c r="N69" s="1295">
        <f ca="1">C44</f>
        <v>385377</v>
      </c>
      <c r="O69" s="1295"/>
      <c r="P69" s="1295"/>
      <c r="Q69" s="2028"/>
      <c r="R69" s="2028"/>
      <c r="S69" s="2028"/>
      <c r="T69" s="2028"/>
      <c r="U69" s="2028"/>
      <c r="V69" s="2028"/>
    </row>
    <row r="70" spans="1:22" ht="24" customHeight="1">
      <c r="A70" s="359" t="s">
        <v>396</v>
      </c>
      <c r="B70" s="3326" t="s">
        <v>397</v>
      </c>
      <c r="C70" s="3326"/>
      <c r="D70" s="358">
        <f ca="1">ROUND(D63*'数据-取费表'!B41/(1+'数据-取费表'!C42),0)</f>
        <v>12336</v>
      </c>
      <c r="E70" s="17" t="s">
        <v>398</v>
      </c>
      <c r="F70" s="360">
        <f>'数据-取费表'!B41</f>
        <v>5.6000000000000001E-2</v>
      </c>
      <c r="G70" s="361"/>
      <c r="H70" s="311"/>
      <c r="I70" s="1292"/>
      <c r="J70" s="2035"/>
      <c r="K70" s="3084"/>
      <c r="L70" s="3085"/>
      <c r="M70" s="3085"/>
      <c r="N70" s="3086" t="s">
        <v>2890</v>
      </c>
      <c r="O70" s="3085"/>
      <c r="P70" s="3087"/>
      <c r="Q70" s="2028"/>
      <c r="R70" s="2028"/>
      <c r="S70" s="2028"/>
      <c r="T70" s="2028"/>
      <c r="U70" s="2028"/>
      <c r="V70" s="2028"/>
    </row>
    <row r="71" spans="1:22" ht="12" customHeight="1">
      <c r="A71" s="359" t="s">
        <v>404</v>
      </c>
      <c r="B71" s="3325" t="s">
        <v>405</v>
      </c>
      <c r="C71" s="3337"/>
      <c r="D71" s="358">
        <f ca="1">ROUND(D63*'数据-取费表'!B41/(1+'数据-取费表'!C42),0)</f>
        <v>12336</v>
      </c>
      <c r="E71" s="17" t="s">
        <v>398</v>
      </c>
      <c r="F71" s="360">
        <f>'数据-取费表'!B41</f>
        <v>5.6000000000000001E-2</v>
      </c>
      <c r="G71" s="361"/>
      <c r="H71" s="311"/>
      <c r="I71" s="1292"/>
      <c r="J71" s="2035"/>
      <c r="K71" s="3083" t="s">
        <v>399</v>
      </c>
      <c r="L71" s="3290" t="s">
        <v>400</v>
      </c>
      <c r="M71" s="3290"/>
      <c r="N71" s="3083" t="s">
        <v>401</v>
      </c>
      <c r="O71" s="3083" t="s">
        <v>402</v>
      </c>
      <c r="P71" s="3083" t="s">
        <v>403</v>
      </c>
      <c r="Q71" s="2028"/>
      <c r="R71" s="2028"/>
      <c r="S71" s="2028"/>
      <c r="T71" s="2028"/>
      <c r="U71" s="2028"/>
      <c r="V71" s="2028"/>
    </row>
    <row r="72" spans="1:22" ht="12" customHeight="1">
      <c r="A72" s="359" t="s">
        <v>407</v>
      </c>
      <c r="B72" s="3325" t="s">
        <v>408</v>
      </c>
      <c r="C72" s="3337"/>
      <c r="D72" s="358">
        <f ca="1">C86</f>
        <v>12224</v>
      </c>
      <c r="E72" s="73" t="s">
        <v>409</v>
      </c>
      <c r="F72" s="360">
        <f>'数据-取费表'!B41</f>
        <v>5.6000000000000001E-2</v>
      </c>
      <c r="G72" s="361"/>
      <c r="H72" s="1298"/>
      <c r="I72" s="1292"/>
      <c r="J72" s="2035"/>
      <c r="K72" s="1976">
        <v>1</v>
      </c>
      <c r="L72" s="3287" t="s">
        <v>406</v>
      </c>
      <c r="M72" s="3287"/>
      <c r="N72" s="1296">
        <f ca="1">D66</f>
        <v>12336</v>
      </c>
      <c r="O72" s="1859" t="str">
        <f>E66</f>
        <v>销售额×税（费）率</v>
      </c>
      <c r="P72" s="1297">
        <f>F66</f>
        <v>5.6000000000000001E-2</v>
      </c>
      <c r="Q72" s="2028"/>
      <c r="R72" s="2028"/>
      <c r="S72" s="2028"/>
      <c r="T72" s="2028"/>
      <c r="U72" s="2028"/>
      <c r="V72" s="2028"/>
    </row>
    <row r="73" spans="1:22" ht="24" customHeight="1">
      <c r="A73" s="3313" t="s">
        <v>411</v>
      </c>
      <c r="B73" s="3314"/>
      <c r="C73" s="3314"/>
      <c r="D73" s="362">
        <f>IF(H73="个人住宅",0,ROUND(D63*I73,0))</f>
        <v>0</v>
      </c>
      <c r="E73" s="17" t="s">
        <v>412</v>
      </c>
      <c r="F73" s="360" t="str">
        <f>IF(H73="正常",I73,"免征")</f>
        <v>免征</v>
      </c>
      <c r="G73" s="361"/>
      <c r="H73" s="191" t="s">
        <v>2458</v>
      </c>
      <c r="I73" s="360">
        <f>'数据-取费表'!B49</f>
        <v>5.0000000000000001E-4</v>
      </c>
      <c r="J73" s="2035"/>
      <c r="K73" s="1976">
        <v>2</v>
      </c>
      <c r="L73" s="3287" t="s">
        <v>410</v>
      </c>
      <c r="M73" s="3287"/>
      <c r="N73" s="1296">
        <f t="shared" ref="N73:P74" si="1">D73</f>
        <v>0</v>
      </c>
      <c r="O73" s="1859" t="str">
        <f t="shared" si="1"/>
        <v>销售额×税（费）率</v>
      </c>
      <c r="P73" s="1297" t="str">
        <f t="shared" si="1"/>
        <v>免征</v>
      </c>
      <c r="Q73" s="2028"/>
      <c r="R73" s="2028"/>
      <c r="S73" s="2028"/>
      <c r="T73" s="2028"/>
      <c r="U73" s="2028"/>
      <c r="V73" s="2028"/>
    </row>
    <row r="74" spans="1:22" ht="24.75">
      <c r="A74" s="3313" t="s">
        <v>415</v>
      </c>
      <c r="B74" s="3314"/>
      <c r="C74" s="3314"/>
      <c r="D74" s="362">
        <f ca="1">IF(H74="个人住宅",D75,D76)</f>
        <v>130263</v>
      </c>
      <c r="E74" s="17" t="s">
        <v>416</v>
      </c>
      <c r="F74" s="360" t="str">
        <f>IF(H74="正常",F76,"免征")</f>
        <v>——</v>
      </c>
      <c r="G74" s="983" t="s">
        <v>417</v>
      </c>
      <c r="H74" s="363" t="s">
        <v>413</v>
      </c>
      <c r="I74" s="42"/>
      <c r="J74" s="2035"/>
      <c r="K74" s="1976">
        <v>3</v>
      </c>
      <c r="L74" s="3287" t="s">
        <v>414</v>
      </c>
      <c r="M74" s="3287"/>
      <c r="N74" s="1296">
        <f t="shared" ca="1" si="1"/>
        <v>130263</v>
      </c>
      <c r="O74" s="1859" t="str">
        <f t="shared" si="1"/>
        <v>增值额×税（费）率</v>
      </c>
      <c r="P74" s="1299" t="str">
        <f t="shared" si="1"/>
        <v>——</v>
      </c>
      <c r="Q74" s="2028"/>
      <c r="R74" s="2028"/>
      <c r="S74" s="2028"/>
      <c r="T74" s="2028"/>
      <c r="U74" s="2028"/>
      <c r="V74" s="2028"/>
    </row>
    <row r="75" spans="1:22" ht="24">
      <c r="A75" s="359" t="s">
        <v>418</v>
      </c>
      <c r="B75" s="3294" t="s">
        <v>419</v>
      </c>
      <c r="C75" s="3295"/>
      <c r="D75" s="364">
        <v>0</v>
      </c>
      <c r="E75" s="41" t="s">
        <v>420</v>
      </c>
      <c r="F75" s="365"/>
      <c r="G75" s="361"/>
      <c r="H75" s="42"/>
      <c r="I75" s="42"/>
      <c r="J75" s="2035"/>
      <c r="K75" s="3076">
        <f>IF(H77="非个人房产","",4)</f>
        <v>4</v>
      </c>
      <c r="L75" s="3287" t="str">
        <f>IF(H77="非个人房产","——","个人所得税")</f>
        <v>个人所得税</v>
      </c>
      <c r="M75" s="3287"/>
      <c r="N75" s="1300">
        <f ca="1">D77</f>
        <v>2313</v>
      </c>
      <c r="O75" s="1872" t="str">
        <f>E77</f>
        <v>销售额×税（费）率</v>
      </c>
      <c r="P75" s="1301">
        <f>F77</f>
        <v>0.01</v>
      </c>
      <c r="Q75" s="2028"/>
      <c r="R75" s="2028"/>
      <c r="S75" s="2028"/>
      <c r="T75" s="2028"/>
      <c r="U75" s="2028"/>
      <c r="V75" s="2028"/>
    </row>
    <row r="76" spans="1:22" ht="24.75">
      <c r="A76" s="359" t="s">
        <v>396</v>
      </c>
      <c r="B76" s="3294" t="s">
        <v>422</v>
      </c>
      <c r="C76" s="3336"/>
      <c r="D76" s="362">
        <f ca="1">IF(H76="转让取得",C99,C115)</f>
        <v>130263</v>
      </c>
      <c r="E76" s="17" t="s">
        <v>423</v>
      </c>
      <c r="F76" s="53" t="s">
        <v>21</v>
      </c>
      <c r="G76" s="361"/>
      <c r="H76" s="363" t="s">
        <v>424</v>
      </c>
      <c r="I76" s="42"/>
      <c r="J76" s="2035"/>
      <c r="K76" s="3076" t="str">
        <f>IF(项目基本情况!K6="上海银行",IF(K75="",4,K75+1),"")</f>
        <v/>
      </c>
      <c r="L76" s="3275" t="str">
        <f>IF(项目基本情况!K6="上海银行","其他处置费用","")</f>
        <v/>
      </c>
      <c r="M76" s="3276"/>
      <c r="N76" s="1296" t="str">
        <f>IF(项目基本情况!K6="上海银行",N89,"")</f>
        <v/>
      </c>
      <c r="O76" s="3277" t="str">
        <f>IF(项目基本情况!K6="上海银行","包含处置中涉及的律师、诉讼、拍卖、评估等费用","")</f>
        <v/>
      </c>
      <c r="P76" s="3278"/>
      <c r="Q76" s="2028"/>
      <c r="R76" s="2028"/>
      <c r="S76" s="2028"/>
      <c r="T76" s="2028"/>
      <c r="U76" s="2028"/>
      <c r="V76" s="2028"/>
    </row>
    <row r="77" spans="1:22" ht="26.25" thickBot="1">
      <c r="A77" s="3305" t="s">
        <v>426</v>
      </c>
      <c r="B77" s="3306"/>
      <c r="C77" s="3306"/>
      <c r="D77" s="366">
        <f ca="1">IF(H77="非个人房产","——",IF(H77="个人住宅",0,ROUND(D63*I77,0)))</f>
        <v>2313</v>
      </c>
      <c r="E77" s="367" t="str">
        <f>IF(H77="非个人房产","——","销售额×税（费）率")</f>
        <v>销售额×税（费）率</v>
      </c>
      <c r="F77" s="368">
        <f>IF(H77="非个人房产","——",IF(H77="个人住宅","免征",I77))</f>
        <v>0.01</v>
      </c>
      <c r="G77" s="984" t="s">
        <v>417</v>
      </c>
      <c r="H77" s="363" t="s">
        <v>2886</v>
      </c>
      <c r="I77" s="369">
        <v>0.01</v>
      </c>
      <c r="J77" s="2035"/>
      <c r="K77" s="3301">
        <f>IF(AND(K75="",K76=""),4,IF(项目基本情况!K6="上海银行",K76+1,K75+1))</f>
        <v>5</v>
      </c>
      <c r="L77" s="3287" t="s">
        <v>2887</v>
      </c>
      <c r="M77" s="3082" t="s">
        <v>421</v>
      </c>
      <c r="N77" s="1302"/>
      <c r="O77" s="1303">
        <f ca="1">SUMIF(N72:N76,"&lt;9e307")</f>
        <v>144912</v>
      </c>
      <c r="P77" s="1304"/>
      <c r="Q77" s="3080">
        <f ca="1">O77/N69</f>
        <v>0.37602659214223993</v>
      </c>
      <c r="R77" s="2028"/>
      <c r="S77" s="2028"/>
      <c r="T77" s="2028"/>
      <c r="U77" s="2028"/>
      <c r="V77" s="2028"/>
    </row>
    <row r="78" spans="1:22" ht="12" customHeight="1">
      <c r="A78" s="1305"/>
      <c r="B78" s="311"/>
      <c r="C78" s="311"/>
      <c r="D78" s="311"/>
      <c r="E78" s="42"/>
      <c r="F78" s="42"/>
      <c r="G78" s="42"/>
      <c r="H78" s="1003"/>
      <c r="I78" s="311"/>
      <c r="J78" s="2035"/>
      <c r="K78" s="3301"/>
      <c r="L78" s="3287"/>
      <c r="M78" s="3082" t="s">
        <v>425</v>
      </c>
      <c r="N78" s="1302"/>
      <c r="O78" s="1303" t="str">
        <f ca="1">NUMBERSTRING(INT(O77*10000),2)&amp;"元整"</f>
        <v>壹拾肆亿肆仟玖佰壹拾贰万元整</v>
      </c>
      <c r="P78" s="1304"/>
      <c r="Q78" s="2028"/>
      <c r="R78" s="2028"/>
      <c r="S78" s="2028"/>
      <c r="T78" s="2028"/>
      <c r="U78" s="2028"/>
      <c r="V78" s="2028"/>
    </row>
    <row r="79" spans="1:22" ht="13.5" thickBot="1">
      <c r="A79" s="3291" t="s">
        <v>427</v>
      </c>
      <c r="B79" s="3291"/>
      <c r="C79" s="3291"/>
      <c r="D79" s="3291"/>
      <c r="E79" s="3291"/>
      <c r="F79" s="42"/>
      <c r="G79" s="42"/>
      <c r="H79" s="1003"/>
      <c r="I79" s="311"/>
      <c r="J79" s="2035"/>
      <c r="K79" s="3285">
        <f>K77+1</f>
        <v>6</v>
      </c>
      <c r="L79" s="3287" t="s">
        <v>2888</v>
      </c>
      <c r="M79" s="3082" t="s">
        <v>421</v>
      </c>
      <c r="N79" s="1302"/>
      <c r="O79" s="1303">
        <f ca="1">N69-O77</f>
        <v>240465</v>
      </c>
      <c r="P79" s="1304"/>
      <c r="Q79" s="2028"/>
      <c r="R79" s="2028"/>
      <c r="S79" s="2028"/>
      <c r="T79" s="2028"/>
      <c r="U79" s="2028"/>
      <c r="V79" s="2028"/>
    </row>
    <row r="80" spans="1:22" ht="12.75">
      <c r="A80" s="3292" t="s">
        <v>428</v>
      </c>
      <c r="B80" s="3293"/>
      <c r="C80" s="994"/>
      <c r="D80" s="994" t="s">
        <v>429</v>
      </c>
      <c r="E80" s="370" t="s">
        <v>430</v>
      </c>
      <c r="F80" s="42"/>
      <c r="G80" s="42"/>
      <c r="H80" s="1003"/>
      <c r="I80" s="311"/>
      <c r="J80" s="2028"/>
      <c r="K80" s="3286"/>
      <c r="L80" s="3287"/>
      <c r="M80" s="3082" t="s">
        <v>425</v>
      </c>
      <c r="N80" s="1302"/>
      <c r="O80" s="1303" t="str">
        <f ca="1">NUMBERSTRING(INT(O79*10000),2)&amp;"元整"</f>
        <v>贰拾肆亿零肆佰陆拾伍万元整</v>
      </c>
      <c r="P80" s="1304"/>
      <c r="Q80" s="2028"/>
      <c r="R80" s="2028"/>
      <c r="S80" s="2028"/>
      <c r="T80" s="2028"/>
      <c r="U80" s="2028"/>
      <c r="V80" s="2028"/>
    </row>
    <row r="81" spans="1:26" ht="13.5" thickBot="1">
      <c r="A81" s="381" t="s">
        <v>1823</v>
      </c>
      <c r="B81" s="371" t="s">
        <v>431</v>
      </c>
      <c r="C81" s="372">
        <f ca="1">ROUND((C82+C83)/(1+'数据-取费表'!C42),0)</f>
        <v>220290</v>
      </c>
      <c r="D81" s="373"/>
      <c r="E81" s="374"/>
      <c r="F81" s="42"/>
      <c r="G81" s="42"/>
      <c r="H81" s="1003"/>
      <c r="I81" s="311"/>
      <c r="J81" s="2028"/>
      <c r="K81" s="3076">
        <f>K79+1</f>
        <v>7</v>
      </c>
      <c r="L81" s="3299" t="s">
        <v>2889</v>
      </c>
      <c r="M81" s="3300"/>
      <c r="N81" s="1306"/>
      <c r="O81" s="1307">
        <f ca="1">ROUND(O79*10000/'数据-汇总表'!E3,0)</f>
        <v>8608</v>
      </c>
      <c r="P81" s="1308"/>
      <c r="Q81" s="2028"/>
      <c r="R81" s="2028"/>
      <c r="S81" s="2028"/>
      <c r="T81" s="2028"/>
      <c r="U81" s="2028"/>
      <c r="V81" s="2028"/>
    </row>
    <row r="82" spans="1:26" ht="13.5" thickTop="1">
      <c r="A82" s="375" t="s">
        <v>1824</v>
      </c>
      <c r="B82" s="376" t="s">
        <v>432</v>
      </c>
      <c r="C82" s="377">
        <f ca="1">D63</f>
        <v>231304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274" t="s">
        <v>2876</v>
      </c>
      <c r="L83" s="3088" t="s">
        <v>2877</v>
      </c>
      <c r="M83" s="3078">
        <f ca="1">IF(N69&gt;10000,N69*0.5%,IF(AND(N69&gt;1000,N69&lt;=10000),N69*1%,IF(AND(N69&gt;100,N69&lt;=1000),N69*3%,IF(AND(N69&gt;10,N69&lt;=100),N69*5%,N69*8%))))</f>
        <v>1926.885</v>
      </c>
      <c r="N83" s="53">
        <f ca="1">ROUND(M83,1)</f>
        <v>1926.9</v>
      </c>
      <c r="O83" s="3081"/>
      <c r="P83" s="2028"/>
      <c r="Q83" s="2028"/>
      <c r="R83" s="2028"/>
      <c r="S83" s="2028"/>
      <c r="T83" s="2028"/>
      <c r="U83" s="2028"/>
      <c r="V83" s="2028"/>
    </row>
    <row r="84" spans="1:26" ht="12.75">
      <c r="A84" s="381" t="s">
        <v>1826</v>
      </c>
      <c r="B84" s="382" t="s">
        <v>434</v>
      </c>
      <c r="C84" s="383">
        <v>2000</v>
      </c>
      <c r="D84" s="384" t="s">
        <v>19</v>
      </c>
      <c r="E84" s="3123" t="s">
        <v>2945</v>
      </c>
      <c r="F84" s="42"/>
      <c r="G84" s="42"/>
      <c r="H84" s="1003"/>
      <c r="I84" s="311"/>
      <c r="J84" s="2028"/>
      <c r="K84" s="3274"/>
      <c r="L84" s="3088" t="s">
        <v>2878</v>
      </c>
      <c r="M84" s="3078">
        <f ca="1">IF(N69&gt;2000,N69*0.5%,IF(AND(N69&gt;1000,N69&lt;=2000),N69*0.6%,IF(AND(N69&gt;500,N69&lt;=1000),N69*0.7%,IF(AND(N69&gt;200,N69&lt;=500),N69*0.8%,IF(AND(N69&gt;100,N69&lt;=200),N69*0.9%,IF(AND(N69&gt;50,N69&lt;=100),N69*1%,IF(AND(N69&gt;20,N69&lt;=50),N69*1.5%,IF(AND(N69&gt;10,N69&lt;=20),N69*2%,IF(AND(N69&gt;1,N69&lt;=10),N69*2.5%)))))))))</f>
        <v>1926.885</v>
      </c>
      <c r="N84" s="53">
        <f t="shared" ref="N84:N85" ca="1" si="2">ROUND(M84,1)</f>
        <v>1926.9</v>
      </c>
      <c r="O84" s="2028" t="s">
        <v>2879</v>
      </c>
      <c r="P84" s="2028"/>
      <c r="Q84" s="2028"/>
      <c r="R84" s="2028"/>
      <c r="S84" s="2028"/>
      <c r="T84" s="2028"/>
      <c r="U84" s="2028"/>
      <c r="V84" s="2028"/>
    </row>
    <row r="85" spans="1:26" ht="12.75">
      <c r="A85" s="381" t="s">
        <v>1827</v>
      </c>
      <c r="B85" s="382" t="s">
        <v>435</v>
      </c>
      <c r="C85" s="385">
        <f ca="1">C81-C84</f>
        <v>218290</v>
      </c>
      <c r="D85" s="378" t="s">
        <v>19</v>
      </c>
      <c r="E85" s="379"/>
      <c r="F85" s="42"/>
      <c r="G85" s="42"/>
      <c r="H85" s="1003"/>
      <c r="I85" s="311"/>
      <c r="J85" s="2028"/>
      <c r="K85" s="3274"/>
      <c r="L85" s="3088" t="s">
        <v>2880</v>
      </c>
      <c r="M85" s="3078">
        <f ca="1">IF(N69&gt;1000,N69*0.1%,IF(AND(N69&gt;500,N69&lt;=1000),N69*0.5%,IF(AND(N69&gt;50,N69&lt;=500),N69*1%,IF(AND(N69&gt;1,N69&lt;=50),N69*1.5%))))</f>
        <v>385.37700000000001</v>
      </c>
      <c r="N85" s="53">
        <f t="shared" ca="1" si="2"/>
        <v>385.4</v>
      </c>
      <c r="O85" s="2028" t="s">
        <v>2879</v>
      </c>
      <c r="P85" s="2028"/>
      <c r="Q85" s="2028"/>
      <c r="R85" s="2028"/>
      <c r="S85" s="2028"/>
      <c r="T85" s="2028"/>
      <c r="U85" s="2028"/>
      <c r="V85" s="2028"/>
    </row>
    <row r="86" spans="1:26" ht="13.5" thickBot="1">
      <c r="A86" s="386" t="s">
        <v>1828</v>
      </c>
      <c r="B86" s="387" t="s">
        <v>436</v>
      </c>
      <c r="C86" s="388">
        <f ca="1">IF(C85&lt;=0,0,ROUND(C85*D86,0))</f>
        <v>12224</v>
      </c>
      <c r="D86" s="389">
        <f>'数据-取费表'!B41</f>
        <v>5.6000000000000001E-2</v>
      </c>
      <c r="E86" s="390"/>
      <c r="F86" s="42"/>
      <c r="G86" s="42"/>
      <c r="H86" s="1003"/>
      <c r="I86" s="311"/>
      <c r="J86" s="2028"/>
      <c r="K86" s="3274"/>
      <c r="L86" s="3088" t="s">
        <v>2881</v>
      </c>
      <c r="M86" s="3078">
        <f ca="1">N69*0.5%</f>
        <v>1926.885</v>
      </c>
      <c r="N86" s="53">
        <f ca="1">IF(M86&gt;0.5,0.5,ROUND(M86,0))</f>
        <v>0.5</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74"/>
      <c r="L87" s="3088" t="s">
        <v>2883</v>
      </c>
      <c r="M87" s="3078">
        <f ca="1">IF(N69&gt;=10000,(8.25+(N69-10000)*0.01%),IF(AND(N69&gt;=8000,N69&lt;10000),(7.85+(N69-8000)*0.02%),IF(AND(N69&gt;=5000,N69&lt;8000),(6.65+(N69-5000)*0.04%),IF(AND(N69&gt;=2000,N69&lt;5000),(4.25+(PN69-2000)*0.08%),IF(AND(N69&gt;=1000,N69&lt;2000),(2.75+(N69-1000)*0.15%),IF(AND(N69&gt;=100,N69&lt;1000),(0.5+(N69-100)*0.25%),IF(AND(N69&gt;0,N69&lt;100),N69*0.5%)))))))</f>
        <v>45.787700000000001</v>
      </c>
      <c r="N87" s="53">
        <f ca="1">ROUND(M87*0.9,1)</f>
        <v>41.2</v>
      </c>
      <c r="O87" s="3081"/>
      <c r="P87" s="311"/>
      <c r="Q87" s="2028"/>
      <c r="R87" s="2028"/>
      <c r="S87" s="2028"/>
      <c r="T87" s="2028"/>
      <c r="U87" s="2028"/>
      <c r="V87" s="2028"/>
      <c r="W87" s="292"/>
      <c r="X87" s="292"/>
      <c r="Y87" s="292"/>
      <c r="Z87" s="292"/>
    </row>
    <row r="88" spans="1:26" s="1314" customFormat="1" ht="15" thickBot="1">
      <c r="A88" s="3328" t="s">
        <v>437</v>
      </c>
      <c r="B88" s="3329"/>
      <c r="C88" s="3329"/>
      <c r="D88" s="3329"/>
      <c r="E88" s="3329"/>
      <c r="F88" s="3329"/>
      <c r="G88" s="3329"/>
      <c r="H88" s="3329"/>
      <c r="I88" s="1315"/>
      <c r="J88" s="2036"/>
      <c r="K88" s="3274"/>
      <c r="L88" s="3088" t="s">
        <v>2884</v>
      </c>
      <c r="M88" s="3078">
        <f ca="1">IF(N69&gt;10000,N69*0.5%,IF(AND(N69&gt;5000,N69&lt;=10000),N69*1%,IF(AND(N69&gt;1000,N69&lt;=5000),N69*2%,IF(AND(N69&gt;200,N69&lt;=1000),N69*3%,N69*5%))))</f>
        <v>1926.885</v>
      </c>
      <c r="N88" s="53">
        <f ca="1">ROUND(M88,1)</f>
        <v>1926.9</v>
      </c>
      <c r="O88" s="3081"/>
      <c r="P88" s="11"/>
      <c r="Q88" s="2033"/>
      <c r="R88" s="2033"/>
      <c r="S88" s="2033"/>
      <c r="T88" s="2033"/>
      <c r="U88" s="2033"/>
      <c r="V88" s="2033"/>
      <c r="W88" s="2037"/>
      <c r="X88" s="2037"/>
      <c r="Y88" s="2037"/>
      <c r="Z88" s="2037"/>
    </row>
    <row r="89" spans="1:26" s="1314" customFormat="1" ht="14.25">
      <c r="A89" s="3292" t="s">
        <v>428</v>
      </c>
      <c r="B89" s="3293"/>
      <c r="C89" s="994"/>
      <c r="D89" s="994" t="s">
        <v>429</v>
      </c>
      <c r="E89" s="391" t="s">
        <v>438</v>
      </c>
      <c r="F89" s="392"/>
      <c r="G89" s="392"/>
      <c r="H89" s="393"/>
      <c r="I89" s="1316"/>
      <c r="J89" s="2038"/>
      <c r="K89" s="3274"/>
      <c r="L89" s="3088" t="s">
        <v>27</v>
      </c>
      <c r="M89" s="3079"/>
      <c r="N89" s="53">
        <f ca="1">ROUND(SUM(N83:N88),0)</f>
        <v>6208</v>
      </c>
      <c r="O89" s="3089">
        <f ca="1">N89/N69</f>
        <v>1.6108901153934978E-2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220290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3883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25" t="s">
        <v>447</v>
      </c>
      <c r="F94" s="3326"/>
      <c r="G94" s="3326"/>
      <c r="H94" s="3327"/>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1322</v>
      </c>
      <c r="D96" s="406">
        <f>'数据-取费表'!B43</f>
        <v>6.000000000000001E-3</v>
      </c>
      <c r="E96" s="3315" t="s">
        <v>2431</v>
      </c>
      <c r="F96" s="3316"/>
      <c r="G96" s="3316"/>
      <c r="H96" s="331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1835</v>
      </c>
      <c r="B97" s="382" t="s">
        <v>451</v>
      </c>
      <c r="C97" s="385">
        <f ca="1">C90-C91</f>
        <v>216407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452</v>
      </c>
      <c r="C98" s="407">
        <f ca="1">IF(C97&lt;=0,0,C97/C91)</f>
        <v>55.731908318310587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1837</v>
      </c>
      <c r="B99" s="387" t="s">
        <v>453</v>
      </c>
      <c r="C99" s="408">
        <f ca="1">ROUND(IF(C97&lt;=0,0,IF(C98&gt;=200%,C97*60%-C91*35%,IF(C98&gt;=100%,C97*50%-C91*15%,IF(C98&gt;=50%,C97*40%-C91*5%,IF(C98&lt;50%,C97*30%,0))))),0)</f>
        <v>128485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8" t="s">
        <v>454</v>
      </c>
      <c r="B101" s="3329"/>
      <c r="C101" s="3329"/>
      <c r="D101" s="3329"/>
      <c r="E101" s="3329"/>
      <c r="F101" s="3329"/>
      <c r="G101" s="3329"/>
      <c r="H101" s="332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292" t="s">
        <v>428</v>
      </c>
      <c r="B102" s="329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220290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2012</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461</v>
      </c>
      <c r="C109" s="405">
        <f>IF(H109="——",IF(F1="现房",'剩余法-现房'!C18,'剩余法-待开发'!C18),I109)</f>
        <v>55</v>
      </c>
      <c r="D109" s="406"/>
      <c r="E109" s="3318" t="s">
        <v>462</v>
      </c>
      <c r="F109" s="3316"/>
      <c r="G109" s="3316"/>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463</v>
      </c>
      <c r="C110" s="405">
        <f>ROUND((C105+C108+C109)*D110,0)</f>
        <v>63</v>
      </c>
      <c r="D110" s="406">
        <v>0.1</v>
      </c>
      <c r="E110" s="3318" t="s">
        <v>464</v>
      </c>
      <c r="F110" s="3316"/>
      <c r="G110" s="3316"/>
      <c r="H110" s="331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450</v>
      </c>
      <c r="C111" s="405">
        <f ca="1">ROUND(D63*D111/(1+'数据-取费表'!C42),0)</f>
        <v>1322</v>
      </c>
      <c r="D111" s="406">
        <f>'数据-取费表'!B43</f>
        <v>6.000000000000001E-3</v>
      </c>
      <c r="E111" s="3315" t="s">
        <v>2431</v>
      </c>
      <c r="F111" s="3316"/>
      <c r="G111" s="3316"/>
      <c r="H111" s="331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465</v>
      </c>
      <c r="C112" s="405">
        <f>ROUND(C108*D112,0)</f>
        <v>0</v>
      </c>
      <c r="D112" s="406">
        <v>0.2</v>
      </c>
      <c r="E112" s="3318" t="s">
        <v>2456</v>
      </c>
      <c r="F112" s="3316"/>
      <c r="G112" s="3316"/>
      <c r="H112" s="331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1835</v>
      </c>
      <c r="B113" s="382" t="s">
        <v>451</v>
      </c>
      <c r="C113" s="385">
        <f ca="1">ROUND(C103-C104,0)</f>
        <v>218278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452</v>
      </c>
      <c r="C114" s="407">
        <f ca="1">IF(C113&lt;=0,0,C113/C104)</f>
        <v>108.48807157057654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1837</v>
      </c>
      <c r="B115" s="387" t="s">
        <v>453</v>
      </c>
      <c r="C115" s="408">
        <f ca="1">ROUND(IF(C113&lt;=0,0,IF(C114&gt;=200%,C113*60%-C104*35%,IF(C114&gt;=100%,C113*50%-C104*15%,IF(C114&gt;=50%,C113*40%-C104*5%,IF(C114&lt;50%,C113*30%,0))))),0)</f>
        <v>130263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6" sqref="I2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10</v>
      </c>
    </row>
    <row r="2" spans="1:31" s="2041" customFormat="1" ht="18" customHeight="1">
      <c r="A2" s="2101" t="s">
        <v>467</v>
      </c>
      <c r="B2" s="2105">
        <f ca="1">C36</f>
        <v>333594</v>
      </c>
      <c r="C2" s="2104"/>
      <c r="D2" s="2104"/>
      <c r="E2" s="2104"/>
      <c r="F2" s="2104"/>
      <c r="G2" s="2104"/>
      <c r="H2" s="2104"/>
      <c r="I2" s="2104"/>
      <c r="J2" s="2104"/>
      <c r="K2" s="2104"/>
    </row>
    <row r="3" spans="1:31" s="2041" customFormat="1" ht="18" customHeight="1">
      <c r="A3" s="2106" t="s">
        <v>1684</v>
      </c>
      <c r="B3" s="2107">
        <f ca="1">ROUND(B2*10000/IF(B1="",'数据-汇总表'!E3,INDIRECT("'数据-取费表'!K"&amp;$K$1)),0)</f>
        <v>11942</v>
      </c>
      <c r="C3" s="2104"/>
      <c r="D3" s="2104"/>
      <c r="E3" s="2104"/>
      <c r="F3" s="2104"/>
      <c r="G3" s="2104"/>
      <c r="H3" s="2104"/>
      <c r="I3" s="2104"/>
      <c r="J3" s="2104"/>
      <c r="K3" s="2104"/>
    </row>
    <row r="4" spans="1:31" s="2041" customFormat="1" ht="18" customHeight="1">
      <c r="A4" s="426" t="s">
        <v>468</v>
      </c>
      <c r="B4" s="427">
        <f ca="1">ROUND(B2*10000/IF(B1="",'数据-汇总表'!D3,INDIRECT("'数据-取费表'!R"&amp;$K$1)),0)</f>
        <v>37705</v>
      </c>
      <c r="C4" s="428"/>
      <c r="D4" s="422"/>
      <c r="E4" s="422"/>
      <c r="F4" s="422"/>
      <c r="G4" s="422"/>
      <c r="H4" s="422"/>
      <c r="I4" s="422"/>
      <c r="J4" s="422"/>
      <c r="K4" s="422"/>
    </row>
    <row r="5" spans="1:31" s="2041" customFormat="1" ht="18" customHeight="1" thickBot="1">
      <c r="A5" s="429"/>
      <c r="B5" s="430">
        <f ca="1">ROUND(B2/(IF(B1="",'数据-汇总表'!D3,INDIRECT("'数据-取费表'!R"&amp;$K$1))/666.67),0)</f>
        <v>2514</v>
      </c>
      <c r="C5" s="431" t="s">
        <v>469</v>
      </c>
      <c r="D5" s="422"/>
      <c r="E5" s="422"/>
      <c r="F5" s="422"/>
      <c r="G5" s="422"/>
      <c r="H5" s="422"/>
      <c r="I5" s="422"/>
      <c r="J5" s="422"/>
      <c r="K5" s="422"/>
    </row>
    <row r="6" spans="1:31" s="2111" customFormat="1" ht="16.5" customHeight="1">
      <c r="A6" s="2852" t="s">
        <v>1842</v>
      </c>
      <c r="B6" s="2853"/>
      <c r="C6" s="2854">
        <f ca="1">SUM(C10:K10)</f>
        <v>630095</v>
      </c>
      <c r="D6" s="2853"/>
      <c r="E6" s="2853"/>
      <c r="F6" s="2853"/>
      <c r="G6" s="2853"/>
      <c r="H6" s="2853"/>
      <c r="I6" s="2853"/>
      <c r="J6" s="2853"/>
      <c r="K6" s="2855"/>
    </row>
    <row r="7" spans="1:31" s="2113" customFormat="1" ht="15">
      <c r="A7" s="2856" t="s">
        <v>470</v>
      </c>
      <c r="B7" s="2857" t="s">
        <v>471</v>
      </c>
      <c r="C7" s="436" t="s">
        <v>923</v>
      </c>
      <c r="D7" s="436" t="s">
        <v>3008</v>
      </c>
      <c r="E7" s="436" t="s">
        <v>3032</v>
      </c>
      <c r="F7" s="436" t="s">
        <v>2998</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58">
        <v>29000</v>
      </c>
      <c r="D8" s="2858">
        <f ca="1">'不动产收益法-仓储'!B3</f>
        <v>5346</v>
      </c>
      <c r="E8" s="2858">
        <f ca="1">'不动产收益法-车库'!B3</f>
        <v>3261</v>
      </c>
      <c r="F8" s="2858">
        <f ca="1">'不动产收益法-商业'!B3</f>
        <v>20220</v>
      </c>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209359.93</v>
      </c>
      <c r="D9" s="441">
        <f>SUMIF('数据-汇总表'!$C19:$C33,'剩余法-待开发'!D7,'数据-汇总表'!$E19:$E33)</f>
        <v>15958.279999999999</v>
      </c>
      <c r="E9" s="441">
        <f>SUMIF('数据-汇总表'!$C19:$C33,'剩余法-待开发'!E7,'数据-汇总表'!$E19:$E33)</f>
        <v>43547.97</v>
      </c>
      <c r="F9" s="441">
        <f>SUMIF('数据-汇总表'!$C19:$C33,'剩余法-待开发'!F7,'数据-汇总表'!$E19:$E33)</f>
        <v>107.32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1">
        <f>ROUND(C9*C8/10000,0)</f>
        <v>607144</v>
      </c>
      <c r="D10" s="3051">
        <f ca="1">'不动产收益法-仓储'!B2</f>
        <v>8532</v>
      </c>
      <c r="E10" s="3051">
        <f ca="1">'不动产收益法-车库'!B2</f>
        <v>14202</v>
      </c>
      <c r="F10" s="2861">
        <f ca="1">'不动产收益法-商业'!B2</f>
        <v>217</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50">
        <f ca="1">IF(B1="",'数据-取费表'!P16,INDIRECT("'数据-取费表'!p"&amp;$K$1)+INDIRECT("'数据-取费表'!t"&amp;$K$1))</f>
        <v>92546</v>
      </c>
      <c r="D13" s="2868"/>
      <c r="E13" s="2869"/>
      <c r="F13" s="2870"/>
      <c r="G13" s="2836"/>
      <c r="H13" s="2837"/>
      <c r="I13" s="2837"/>
      <c r="J13" s="2837"/>
      <c r="K13" s="2838"/>
    </row>
    <row r="14" spans="1:31" s="2116" customFormat="1" ht="13.5" customHeight="1">
      <c r="A14" s="2866" t="s">
        <v>1849</v>
      </c>
      <c r="B14" s="2867" t="s">
        <v>480</v>
      </c>
      <c r="C14" s="53">
        <f ca="1">ROUND(C13*F14,0)</f>
        <v>2776</v>
      </c>
      <c r="D14" s="2868"/>
      <c r="E14" s="2869"/>
      <c r="F14" s="2871">
        <f>'数据-取费表'!B33</f>
        <v>0.03</v>
      </c>
      <c r="G14" s="2836" t="s">
        <v>481</v>
      </c>
      <c r="H14" s="2837"/>
      <c r="I14" s="2837"/>
      <c r="J14" s="2837"/>
      <c r="K14" s="2838"/>
    </row>
    <row r="15" spans="1:31" s="2116" customFormat="1" ht="13.5" customHeight="1">
      <c r="A15" s="2866" t="s">
        <v>1850</v>
      </c>
      <c r="B15" s="2867" t="s">
        <v>482</v>
      </c>
      <c r="C15" s="53">
        <f ca="1">ROUND(IF(B1="",SUMIF('数据-取费表'!C:C,"住宅",'数据-取费表'!P:P)*F15,IF(INDIRECT("'数据-取费表'!c"&amp;$K$1)="住宅",INDIRECT("'数据-取费表'!P"&amp;$K$1)*F15,0)),0)</f>
        <v>3664</v>
      </c>
      <c r="D15" s="2868"/>
      <c r="E15" s="2869"/>
      <c r="F15" s="2871">
        <f>'数据-取费表'!B34</f>
        <v>0.05</v>
      </c>
      <c r="G15" s="2836" t="s">
        <v>483</v>
      </c>
      <c r="H15" s="2837"/>
      <c r="I15" s="2837"/>
      <c r="J15" s="2837"/>
      <c r="K15" s="2838"/>
    </row>
    <row r="16" spans="1:31" s="2117" customFormat="1" ht="13.5" customHeight="1">
      <c r="A16" s="2866" t="s">
        <v>1851</v>
      </c>
      <c r="B16" s="2867" t="s">
        <v>484</v>
      </c>
      <c r="C16" s="53">
        <f ca="1">ROUND(D16*E16/10000,0)</f>
        <v>5587</v>
      </c>
      <c r="D16" s="2868">
        <f ca="1">IF(B1="",'数据-汇总表'!E3,INDIRECT("'数据-取费表'!K"&amp;$K$1)+INDIRECT("'数据-取费表'!S"&amp;$K$1))</f>
        <v>279349.84999999998</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1388</v>
      </c>
      <c r="D17" s="475"/>
      <c r="E17" s="2872"/>
      <c r="F17" s="2873">
        <f>'数据-取费表'!B36</f>
        <v>1.4999999999999999E-2</v>
      </c>
      <c r="G17" s="261" t="s">
        <v>486</v>
      </c>
      <c r="H17" s="2839"/>
      <c r="I17" s="2839"/>
      <c r="J17" s="2839"/>
      <c r="K17" s="279"/>
    </row>
    <row r="18" spans="1:14" s="2116" customFormat="1" ht="13.5" customHeight="1">
      <c r="A18" s="2874" t="s">
        <v>1853</v>
      </c>
      <c r="B18" s="2875" t="s">
        <v>487</v>
      </c>
      <c r="C18" s="2876">
        <f ca="1">SUM(C13:C17)</f>
        <v>105961</v>
      </c>
      <c r="D18" s="2877"/>
      <c r="E18" s="468"/>
      <c r="F18" s="468"/>
      <c r="G18" s="2840" t="s">
        <v>2433</v>
      </c>
      <c r="H18" s="2841"/>
      <c r="I18" s="2841"/>
      <c r="J18" s="2841"/>
      <c r="K18" s="2842"/>
    </row>
    <row r="19" spans="1:14" s="2116" customFormat="1" ht="13.5" customHeight="1">
      <c r="A19" s="2874" t="s">
        <v>1854</v>
      </c>
      <c r="B19" s="2875" t="s">
        <v>488</v>
      </c>
      <c r="C19" s="2832">
        <f ca="1">ROUND(D19*E19/10000,0)</f>
        <v>1397</v>
      </c>
      <c r="D19" s="2878">
        <f ca="1">D16</f>
        <v>279349.84999999998</v>
      </c>
      <c r="E19" s="2832">
        <f>'数据-取费表'!B32</f>
        <v>50</v>
      </c>
      <c r="F19" s="468"/>
      <c r="G19" s="2836" t="s">
        <v>489</v>
      </c>
      <c r="H19" s="2837"/>
      <c r="I19" s="2841"/>
      <c r="J19" s="2841"/>
      <c r="K19" s="2842"/>
    </row>
    <row r="20" spans="1:14" s="2116" customFormat="1" ht="13.5" customHeight="1">
      <c r="A20" s="2874" t="s">
        <v>1855</v>
      </c>
      <c r="B20" s="2875" t="s">
        <v>490</v>
      </c>
      <c r="C20" s="2832">
        <f ca="1">C21+C22-IF(B1="",'数据-取费表'!B29,IF(G20="已全部缴纳",C21+C22,H20))</f>
        <v>4750</v>
      </c>
      <c r="D20" s="2878"/>
      <c r="E20" s="2832"/>
      <c r="F20" s="2879"/>
      <c r="G20" s="3111" t="s">
        <v>3049</v>
      </c>
      <c r="H20" s="2834">
        <f>'数据-取费表'!B29</f>
        <v>0</v>
      </c>
      <c r="I20" s="2835" t="s">
        <v>2653</v>
      </c>
      <c r="J20" s="2841"/>
      <c r="K20" s="2842"/>
    </row>
    <row r="21" spans="1:14" s="2116" customFormat="1" ht="13.5" customHeight="1">
      <c r="A21" s="2866" t="s">
        <v>1856</v>
      </c>
      <c r="B21" s="2867" t="s">
        <v>491</v>
      </c>
      <c r="C21" s="53">
        <f ca="1">ROUND(D21*E21/10000,0)</f>
        <v>3350</v>
      </c>
      <c r="D21" s="2868">
        <f ca="1">IF(B1="",'数据-汇总表'!E5,IF(INDIRECT("'数据-取费表'!c"&amp;$K$1)="住宅",INDIRECT("'数据-取费表'!k"&amp;$K$1),0))</f>
        <v>209359.93</v>
      </c>
      <c r="E21" s="53">
        <f>'数据-取费表'!B27</f>
        <v>160</v>
      </c>
      <c r="F21" s="2871"/>
      <c r="G21" s="26"/>
      <c r="H21" s="51"/>
      <c r="I21" s="51"/>
      <c r="J21" s="51"/>
      <c r="K21" s="2843"/>
    </row>
    <row r="22" spans="1:14" s="2116" customFormat="1" ht="13.5" customHeight="1">
      <c r="A22" s="2866" t="s">
        <v>1857</v>
      </c>
      <c r="B22" s="2867" t="s">
        <v>492</v>
      </c>
      <c r="C22" s="53">
        <f ca="1">ROUND(D22*E22/10000,0)</f>
        <v>1400</v>
      </c>
      <c r="D22" s="2868">
        <f ca="1">IF(B1="",'数据-汇总表'!E6,IF(INDIRECT("'数据-取费表'!c"&amp;$K$1)="住宅",INDIRECT("'数据-取费表'!s"&amp;$K$1),INDIRECT("'数据-取费表'!k"&amp;$K$1)+INDIRECT("'数据-取费表'!s"&amp;$K$1)))</f>
        <v>69989.919999999984</v>
      </c>
      <c r="E22" s="53">
        <f>'数据-取费表'!B28</f>
        <v>200</v>
      </c>
      <c r="F22" s="2871"/>
      <c r="G22" s="26"/>
      <c r="H22" s="51"/>
      <c r="I22" s="51"/>
      <c r="J22" s="51"/>
      <c r="K22" s="2843"/>
    </row>
    <row r="23" spans="1:14" s="2116" customFormat="1" ht="13.5" customHeight="1">
      <c r="A23" s="2874" t="s">
        <v>1858</v>
      </c>
      <c r="B23" s="3057" t="s">
        <v>2836</v>
      </c>
      <c r="C23" s="2876">
        <f ca="1">ROUND((C18+C19+C20)*F23,0)</f>
        <v>2242</v>
      </c>
      <c r="D23" s="468"/>
      <c r="E23" s="468"/>
      <c r="F23" s="2880">
        <f>'数据-取费表'!B37</f>
        <v>0.02</v>
      </c>
      <c r="G23" s="2836" t="s">
        <v>2434</v>
      </c>
      <c r="H23" s="2837"/>
      <c r="I23" s="2837"/>
      <c r="J23" s="2837"/>
      <c r="K23" s="2838"/>
      <c r="L23" s="2118"/>
      <c r="M23" s="2118"/>
      <c r="N23" s="2118"/>
    </row>
    <row r="24" spans="1:14" s="2116" customFormat="1" ht="13.5" customHeight="1">
      <c r="A24" s="2874" t="s">
        <v>1859</v>
      </c>
      <c r="B24" s="3057" t="s">
        <v>2839</v>
      </c>
      <c r="C24" s="2876">
        <f ca="1">ROUND(C6*F24,0)</f>
        <v>12602</v>
      </c>
      <c r="D24" s="475"/>
      <c r="E24" s="473"/>
      <c r="F24" s="2880">
        <f>'数据-取费表'!B38</f>
        <v>0.02</v>
      </c>
      <c r="G24" s="2845" t="s">
        <v>499</v>
      </c>
      <c r="H24" s="2839"/>
      <c r="I24" s="2839"/>
      <c r="J24" s="2839"/>
      <c r="K24" s="279"/>
      <c r="L24" s="2118"/>
      <c r="M24" s="2118"/>
      <c r="N24" s="2118"/>
    </row>
    <row r="25" spans="1:14" s="2119" customFormat="1" ht="13.5" customHeight="1">
      <c r="A25" s="2874" t="s">
        <v>1860</v>
      </c>
      <c r="B25" s="3057" t="s">
        <v>2837</v>
      </c>
      <c r="C25" s="467">
        <f>ROUND(F25/(1+'数据-取费表'!C42),4)</f>
        <v>2.9000000000000001E-2</v>
      </c>
      <c r="D25" s="462" t="s">
        <v>2831</v>
      </c>
      <c r="E25" s="469"/>
      <c r="F25" s="2880">
        <f>'数据-取费表'!B48+'数据-取费表'!B49</f>
        <v>3.0499999999999999E-2</v>
      </c>
      <c r="G25" s="2844" t="s">
        <v>2291</v>
      </c>
      <c r="H25" s="2837"/>
      <c r="I25" s="2837"/>
      <c r="J25" s="2837"/>
      <c r="K25" s="2838"/>
    </row>
    <row r="26" spans="1:14" s="2118" customFormat="1" ht="13.5" customHeight="1">
      <c r="A26" s="2874" t="s">
        <v>1861</v>
      </c>
      <c r="B26" s="3058" t="s">
        <v>2838</v>
      </c>
      <c r="C26" s="2881">
        <f ca="1">C28</f>
        <v>9152</v>
      </c>
      <c r="D26" s="467">
        <f ca="1">C27</f>
        <v>0.1537</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496</v>
      </c>
      <c r="C27" s="2883">
        <f ca="1">ROUND(IF('数据-取费表'!B22&lt;=1,(1+C25)*F26*'数据-取费表'!B24,(1+C25)*(POWER((1+F26),'数据-取费表'!B24)-1)),4)</f>
        <v>0.1537</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2840</v>
      </c>
      <c r="C28" s="2884">
        <f ca="1">ROUND(IF('数据-取费表'!B22&lt;=1,(C18+C19+C20+C23+C24)*F26*'数据-取费表'!B24/2,(C18+C19+C20+C23+C24)*(POWER((1+F26),'数据-取费表'!B24/2)-1)),0)</f>
        <v>9152</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497</v>
      </c>
      <c r="C29" s="2876">
        <f ca="1">ROUND(C6*F29/(1+'数据-取费表'!C42),0)</f>
        <v>33605</v>
      </c>
      <c r="D29" s="468"/>
      <c r="E29" s="468"/>
      <c r="F29" s="3059">
        <f>'数据-取费表'!B41</f>
        <v>5.6000000000000001E-2</v>
      </c>
      <c r="G29" s="2845" t="s">
        <v>498</v>
      </c>
      <c r="H29" s="2837"/>
      <c r="I29" s="2837"/>
      <c r="J29" s="2837"/>
      <c r="K29" s="2838"/>
    </row>
    <row r="30" spans="1:14" s="2121" customFormat="1" ht="13.5" customHeight="1">
      <c r="A30" s="1634" t="s">
        <v>1863</v>
      </c>
      <c r="B30" s="2886" t="s">
        <v>500</v>
      </c>
      <c r="C30" s="2881">
        <f ca="1">C31</f>
        <v>169709</v>
      </c>
      <c r="D30" s="477">
        <f ca="1">C32</f>
        <v>0.1827</v>
      </c>
      <c r="E30" s="469" t="s">
        <v>495</v>
      </c>
      <c r="F30" s="471"/>
      <c r="G30" s="2844" t="s">
        <v>2978</v>
      </c>
      <c r="H30" s="2837"/>
      <c r="I30" s="2837"/>
      <c r="J30" s="2837"/>
      <c r="K30" s="2838"/>
    </row>
    <row r="31" spans="1:14" s="2120" customFormat="1" ht="13.5" customHeight="1">
      <c r="A31" s="803" t="s">
        <v>1856</v>
      </c>
      <c r="B31" s="2882"/>
      <c r="C31" s="450">
        <f ca="1">C18+C19+C20+C23+C24+C26+C29</f>
        <v>169709</v>
      </c>
      <c r="D31" s="472"/>
      <c r="E31" s="473"/>
      <c r="F31" s="474"/>
      <c r="G31" s="261"/>
      <c r="H31" s="2839"/>
      <c r="I31" s="2839"/>
      <c r="J31" s="2839"/>
      <c r="K31" s="279"/>
    </row>
    <row r="32" spans="1:14" s="2120" customFormat="1" ht="13.5" customHeight="1">
      <c r="A32" s="803" t="s">
        <v>1857</v>
      </c>
      <c r="B32" s="2882"/>
      <c r="C32" s="53">
        <f ca="1">ROUND(C25+D26,4)</f>
        <v>0.1827</v>
      </c>
      <c r="D32" s="472"/>
      <c r="E32" s="473"/>
      <c r="F32" s="474"/>
      <c r="G32" s="261"/>
      <c r="H32" s="2839"/>
      <c r="I32" s="2839"/>
      <c r="J32" s="2839"/>
      <c r="K32" s="279"/>
    </row>
    <row r="33" spans="1:11" s="2122" customFormat="1" ht="13.5" customHeight="1">
      <c r="A33" s="3056" t="s">
        <v>2835</v>
      </c>
      <c r="B33" s="3054" t="s">
        <v>2833</v>
      </c>
      <c r="C33" s="478">
        <f ca="1">C35</f>
        <v>17773</v>
      </c>
      <c r="D33" s="467">
        <f ca="1">C34</f>
        <v>0.14410000000000001</v>
      </c>
      <c r="E33" s="469" t="s">
        <v>495</v>
      </c>
      <c r="F33" s="479">
        <f ca="1">IF(B1="",'数据-取费表'!Q16,INDIRECT("'数据-取费表'!q"&amp;$K$1))</f>
        <v>0.14000000000000001</v>
      </c>
      <c r="G33" s="2840"/>
      <c r="H33" s="2841"/>
      <c r="I33" s="2841"/>
      <c r="J33" s="2841"/>
      <c r="K33" s="2842"/>
    </row>
    <row r="34" spans="1:11" s="2123" customFormat="1" ht="13.5" customHeight="1">
      <c r="A34" s="375" t="s">
        <v>1856</v>
      </c>
      <c r="B34" s="2887" t="s">
        <v>501</v>
      </c>
      <c r="C34" s="472">
        <f ca="1">ROUND((1+C25)*F33,4)</f>
        <v>0.14410000000000001</v>
      </c>
      <c r="D34" s="472"/>
      <c r="E34" s="473"/>
      <c r="F34" s="480"/>
      <c r="G34" s="261" t="s">
        <v>2292</v>
      </c>
      <c r="H34" s="2839"/>
      <c r="I34" s="2839"/>
      <c r="J34" s="2839"/>
      <c r="K34" s="279"/>
    </row>
    <row r="35" spans="1:11" s="2123" customFormat="1" ht="13.5" customHeight="1" thickBot="1">
      <c r="A35" s="1635" t="s">
        <v>1857</v>
      </c>
      <c r="B35" s="3055" t="s">
        <v>2841</v>
      </c>
      <c r="C35" s="1627">
        <f ca="1">ROUND((C18+C19+C20+C23+C24)*F33,0)</f>
        <v>17773</v>
      </c>
      <c r="D35" s="1628"/>
      <c r="E35" s="2888"/>
      <c r="F35" s="1629"/>
      <c r="G35" s="2846"/>
      <c r="H35" s="2847"/>
      <c r="I35" s="2847"/>
      <c r="J35" s="2847"/>
      <c r="K35" s="2848"/>
    </row>
    <row r="36" spans="1:11" s="2085" customFormat="1" ht="13.5" customHeight="1" thickBot="1">
      <c r="A36" s="284" t="s">
        <v>1844</v>
      </c>
      <c r="B36" s="2850"/>
      <c r="C36" s="2889">
        <f ca="1">ROUND((C6-C30-C33)/(1+D30+D33),0)</f>
        <v>333594</v>
      </c>
      <c r="D36" s="2850"/>
      <c r="E36" s="2850"/>
      <c r="F36" s="2850"/>
      <c r="G36" s="2849" t="s">
        <v>2842</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10</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1848</v>
      </c>
      <c r="B13" s="449" t="s">
        <v>479</v>
      </c>
      <c r="C13" s="450">
        <f ca="1">IF(B1="",'数据-取费表'!M16,INDIRECT("'数据-取费表'!M"&amp;$K$1)+INDIRECT("'数据-取费表'!t"&amp;$K$1))</f>
        <v>92546</v>
      </c>
      <c r="D13" s="451"/>
      <c r="E13" s="365"/>
      <c r="F13" s="452"/>
      <c r="G13" s="444"/>
      <c r="H13" s="447"/>
      <c r="I13" s="447"/>
      <c r="J13" s="447"/>
      <c r="K13" s="448"/>
    </row>
    <row r="14" spans="1:41" s="2116" customFormat="1" ht="13.5" customHeight="1">
      <c r="A14" s="1632" t="s">
        <v>1849</v>
      </c>
      <c r="B14" s="449" t="s">
        <v>480</v>
      </c>
      <c r="C14" s="53">
        <f ca="1">ROUND(C13*F14,0)</f>
        <v>2776</v>
      </c>
      <c r="D14" s="451"/>
      <c r="E14" s="365"/>
      <c r="F14" s="453">
        <f>'数据-取费表'!B33</f>
        <v>0.03</v>
      </c>
      <c r="G14" s="444" t="s">
        <v>502</v>
      </c>
      <c r="H14" s="447"/>
      <c r="I14" s="447"/>
      <c r="J14" s="447"/>
      <c r="K14" s="448"/>
    </row>
    <row r="15" spans="1:41" s="2116" customFormat="1" ht="13.5" customHeight="1">
      <c r="A15" s="1632" t="s">
        <v>1850</v>
      </c>
      <c r="B15" s="449" t="s">
        <v>482</v>
      </c>
      <c r="C15" s="53">
        <f ca="1">ROUND(IF(B1="",SUMIF('数据-取费表'!C:C,"住宅",'数据-取费表'!M:M)*F15,IF(INDIRECT("'数据-取费表'!c"&amp;$K$1)="住宅",INDIRECT("'数据-取费表'!M"&amp;$K$1)*F15,0)),0)</f>
        <v>3664</v>
      </c>
      <c r="D15" s="451"/>
      <c r="E15" s="365"/>
      <c r="F15" s="453">
        <f>'数据-取费表'!B34</f>
        <v>0.05</v>
      </c>
      <c r="G15" s="444" t="s">
        <v>502</v>
      </c>
      <c r="H15" s="447"/>
      <c r="I15" s="447"/>
      <c r="J15" s="447"/>
      <c r="K15" s="448"/>
    </row>
    <row r="16" spans="1:41" s="2117" customFormat="1" ht="13.5" customHeight="1">
      <c r="A16" s="1632" t="s">
        <v>1851</v>
      </c>
      <c r="B16" s="449" t="s">
        <v>484</v>
      </c>
      <c r="C16" s="53">
        <f ca="1">ROUND(D16*E16/10000,0)</f>
        <v>5587</v>
      </c>
      <c r="D16" s="451">
        <f ca="1">IF(B1="",'数据-汇总表'!E3,INDIRECT("'数据-取费表'!K"&amp;$K$1)+INDIRECT("'数据-取费表'!S"&amp;$K$1))</f>
        <v>279349.84999999998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485</v>
      </c>
      <c r="C17" s="454">
        <f ca="1">ROUND(C13*F17,0)</f>
        <v>1388</v>
      </c>
      <c r="D17" s="455"/>
      <c r="E17" s="454"/>
      <c r="F17" s="456">
        <f>'数据-取费表'!B36</f>
        <v>1.4999999999999999E-2</v>
      </c>
      <c r="G17" s="444" t="s">
        <v>502</v>
      </c>
      <c r="H17" s="457"/>
      <c r="I17" s="457"/>
      <c r="J17" s="457"/>
      <c r="K17" s="458"/>
    </row>
    <row r="18" spans="1:14" s="2119" customFormat="1" ht="13.5" customHeight="1">
      <c r="A18" s="1633" t="s">
        <v>1853</v>
      </c>
      <c r="B18" s="459" t="s">
        <v>487</v>
      </c>
      <c r="C18" s="460">
        <f ca="1">SUM(C13:C17)</f>
        <v>105961</v>
      </c>
      <c r="D18" s="461"/>
      <c r="E18" s="462"/>
      <c r="F18" s="462"/>
      <c r="G18" s="1327" t="s">
        <v>2435</v>
      </c>
      <c r="H18" s="447"/>
      <c r="I18" s="447"/>
      <c r="J18" s="447"/>
      <c r="K18" s="448"/>
    </row>
    <row r="19" spans="1:14" s="2119" customFormat="1" ht="13.5" customHeight="1">
      <c r="A19" s="1633" t="s">
        <v>1854</v>
      </c>
      <c r="B19" s="459" t="s">
        <v>493</v>
      </c>
      <c r="C19" s="460">
        <f ca="1">ROUND(C18*F19,0)</f>
        <v>2119</v>
      </c>
      <c r="D19" s="462"/>
      <c r="E19" s="462"/>
      <c r="F19" s="466">
        <f>'数据-取费表'!B37</f>
        <v>0.02</v>
      </c>
      <c r="G19" s="444" t="s">
        <v>503</v>
      </c>
      <c r="H19" s="447"/>
      <c r="I19" s="447"/>
      <c r="J19" s="447"/>
      <c r="K19" s="448"/>
      <c r="L19" s="2121"/>
      <c r="M19" s="2121"/>
      <c r="N19" s="2121"/>
    </row>
    <row r="20" spans="1:14" s="2119" customFormat="1" ht="13.5" customHeight="1">
      <c r="A20" s="1633" t="s">
        <v>1855</v>
      </c>
      <c r="B20" s="459" t="s">
        <v>504</v>
      </c>
      <c r="C20" s="3052">
        <f>F20</f>
        <v>0.02</v>
      </c>
      <c r="D20" s="469" t="s">
        <v>505</v>
      </c>
      <c r="E20" s="469"/>
      <c r="F20" s="486">
        <f>'数据-取费表'!B38</f>
        <v>0.02</v>
      </c>
      <c r="G20" s="1327" t="s">
        <v>506</v>
      </c>
      <c r="H20" s="447"/>
      <c r="I20" s="447"/>
      <c r="J20" s="447"/>
      <c r="K20" s="448"/>
      <c r="L20" s="2121"/>
      <c r="M20" s="2121"/>
      <c r="N20" s="2121"/>
    </row>
    <row r="21" spans="1:14" s="2121" customFormat="1" ht="13.5" customHeight="1">
      <c r="A21" s="1633" t="s">
        <v>1858</v>
      </c>
      <c r="B21" s="461" t="s">
        <v>494</v>
      </c>
      <c r="C21" s="470">
        <f ca="1">C22</f>
        <v>7791</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2" t="s">
        <v>1848</v>
      </c>
      <c r="B22" s="1328" t="s">
        <v>2438</v>
      </c>
      <c r="C22" s="487">
        <f ca="1">ROUND(IF('数据-取费表'!B22&lt;=1,(C18+C19)*F21*'数据-取费表'!B20/2,(C18+C19)*(POWER((1+F21),'数据-取费表'!B20/2)-1)),0)</f>
        <v>7791</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508</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4" t="s">
        <v>2834</v>
      </c>
      <c r="C24" s="478">
        <f ca="1">C25</f>
        <v>15131</v>
      </c>
      <c r="D24" s="489">
        <f ca="1">C26</f>
        <v>2.8E-3</v>
      </c>
      <c r="E24" s="469" t="s">
        <v>507</v>
      </c>
      <c r="F24" s="479">
        <f ca="1">IF(B1="",'数据-取费表'!Q16,INDIRECT("'数据-取费表'!q"&amp;$K$1))</f>
        <v>0.14000000000000001</v>
      </c>
      <c r="G24" s="444"/>
      <c r="H24" s="447"/>
      <c r="I24" s="447"/>
      <c r="J24" s="447"/>
      <c r="K24" s="448"/>
    </row>
    <row r="25" spans="1:14" s="2120" customFormat="1" ht="13.5" customHeight="1">
      <c r="A25" s="1632" t="s">
        <v>1848</v>
      </c>
      <c r="B25" s="1328" t="s">
        <v>2439</v>
      </c>
      <c r="C25" s="490">
        <f ca="1">ROUND((C18+C19)*F24,0)</f>
        <v>15131</v>
      </c>
      <c r="D25" s="472"/>
      <c r="E25" s="473"/>
      <c r="F25" s="480"/>
      <c r="G25" s="1326" t="s">
        <v>2436</v>
      </c>
      <c r="H25" s="457"/>
      <c r="I25" s="457"/>
      <c r="J25" s="457"/>
      <c r="K25" s="458"/>
    </row>
    <row r="26" spans="1:14" s="2120" customFormat="1" ht="13.5" customHeight="1">
      <c r="A26" s="1632" t="s">
        <v>1849</v>
      </c>
      <c r="B26" s="1328" t="s">
        <v>509</v>
      </c>
      <c r="C26" s="491">
        <f ca="1">ROUND(F20*F24,4)</f>
        <v>2.8E-3</v>
      </c>
      <c r="D26" s="472"/>
      <c r="E26" s="481"/>
      <c r="F26" s="480"/>
      <c r="G26" s="1326" t="s">
        <v>510</v>
      </c>
      <c r="H26" s="457"/>
      <c r="I26" s="457"/>
      <c r="J26" s="457"/>
      <c r="K26" s="458"/>
    </row>
    <row r="27" spans="1:14" s="2120" customFormat="1" ht="13.5" customHeight="1">
      <c r="A27" s="1636" t="s">
        <v>1867</v>
      </c>
      <c r="B27" s="459" t="s">
        <v>511</v>
      </c>
      <c r="C27" s="3053">
        <f>ROUND(F27/(1+'数据-取费表'!C42),4)</f>
        <v>5.33E-2</v>
      </c>
      <c r="D27" s="462" t="s">
        <v>2832</v>
      </c>
      <c r="E27" s="462"/>
      <c r="F27" s="466">
        <f>'数据-取费表'!B41</f>
        <v>5.6000000000000001E-2</v>
      </c>
      <c r="G27" s="1960" t="s">
        <v>2293</v>
      </c>
      <c r="H27" s="447"/>
      <c r="I27" s="447"/>
      <c r="J27" s="447"/>
      <c r="K27" s="448"/>
    </row>
    <row r="28" spans="1:14" s="2121" customFormat="1" ht="13.5" customHeight="1">
      <c r="A28" s="1636" t="s">
        <v>1868</v>
      </c>
      <c r="B28" s="476" t="s">
        <v>512</v>
      </c>
      <c r="C28" s="470">
        <f ca="1">ROUND((C18+C19+C21+C24)/(1-C20-D21-D24-C27),0)</f>
        <v>142008</v>
      </c>
      <c r="D28" s="477"/>
      <c r="E28" s="469"/>
      <c r="F28" s="471"/>
      <c r="G28" s="1327" t="s">
        <v>2437</v>
      </c>
      <c r="H28" s="447"/>
      <c r="I28" s="447"/>
      <c r="J28" s="447"/>
      <c r="K28" s="448"/>
    </row>
    <row r="29" spans="1:14" s="2121" customFormat="1" ht="13.5" customHeight="1">
      <c r="A29" s="1636"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6" t="str">
        <f>项目基本情况!B1</f>
        <v>北京市大兴区魏善庄镇2016年世界月季大会周边配套（国家新媒体产业基地B组团）土地一级开发项目AA-43（DX07-0102-6011）地块R2二类居住用地出让国有建设用地使用权抵押价格预评估</v>
      </c>
      <c r="C37" s="3186"/>
      <c r="D37" s="3186"/>
      <c r="E37" s="3186"/>
      <c r="F37" s="3186"/>
      <c r="G37" s="3186"/>
      <c r="H37" s="3186"/>
      <c r="I37" s="3186"/>
    </row>
    <row r="38" spans="1:9">
      <c r="A38" s="1655"/>
      <c r="B38" s="1655"/>
    </row>
    <row r="39" spans="1:9">
      <c r="A39" s="1653" t="s">
        <v>1901</v>
      </c>
      <c r="B39" s="1653" t="s">
        <v>2048</v>
      </c>
    </row>
    <row r="40" spans="1:9">
      <c r="A40" s="1653"/>
      <c r="B40" s="1653" t="str">
        <f>项目基本情况!B5</f>
        <v>北京碧和信泰置业有限公司</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欧红伟、崔锴</v>
      </c>
    </row>
    <row r="47" spans="1:9">
      <c r="A47" s="1653"/>
      <c r="B47" s="1653"/>
    </row>
    <row r="48" spans="1:9">
      <c r="A48" s="1653" t="s">
        <v>1901</v>
      </c>
      <c r="B48" s="1653" t="s">
        <v>2050</v>
      </c>
    </row>
    <row r="49" spans="2:2">
      <c r="B49" s="1653"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46" sqref="E4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407756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14597</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46087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3072</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73" t="s">
        <v>522</v>
      </c>
      <c r="D6" s="3374"/>
      <c r="E6" s="3373" t="s">
        <v>523</v>
      </c>
      <c r="F6" s="3374"/>
      <c r="G6" s="3373" t="s">
        <v>524</v>
      </c>
      <c r="H6" s="3374"/>
      <c r="I6" s="3373" t="s">
        <v>525</v>
      </c>
      <c r="J6" s="3374"/>
      <c r="K6" s="514" t="s">
        <v>526</v>
      </c>
      <c r="L6" s="2133"/>
      <c r="M6" s="2132"/>
      <c r="N6" s="2132"/>
      <c r="O6" s="2134"/>
      <c r="P6" s="3375" t="s">
        <v>527</v>
      </c>
      <c r="Q6" s="3376"/>
      <c r="R6" s="3361" t="s">
        <v>523</v>
      </c>
      <c r="S6" s="3362"/>
      <c r="T6" s="3361" t="s">
        <v>524</v>
      </c>
      <c r="U6" s="3362"/>
      <c r="V6" s="3381" t="s">
        <v>525</v>
      </c>
      <c r="W6" s="3381"/>
      <c r="X6" s="1566"/>
      <c r="Y6" s="3361" t="s">
        <v>527</v>
      </c>
      <c r="Z6" s="3362"/>
      <c r="AA6" s="3356" t="s">
        <v>523</v>
      </c>
      <c r="AB6" s="3357" t="s">
        <v>524</v>
      </c>
      <c r="AC6" s="3356" t="s">
        <v>525</v>
      </c>
    </row>
    <row r="7" spans="1:30" ht="49.5" customHeight="1">
      <c r="A7" s="515"/>
      <c r="B7" s="516"/>
      <c r="C7" s="3384" t="s">
        <v>2932</v>
      </c>
      <c r="D7" s="3385"/>
      <c r="E7" s="3384" t="str">
        <f>土地案例!A4</f>
        <v>北京市大兴区黄村镇DX00-0103-1304地块R2二类居住用地</v>
      </c>
      <c r="F7" s="3385"/>
      <c r="G7" s="3384" t="str">
        <f>土地案例!A14</f>
        <v>大兴区黄村镇DX00-0102-0802地块F1住宅混合公建用地</v>
      </c>
      <c r="H7" s="3385"/>
      <c r="I7" s="3384" t="str">
        <f>土地案例!A20</f>
        <v>北京经济技术开发区II-6街区X84R3地块</v>
      </c>
      <c r="J7" s="3385"/>
      <c r="K7" s="514"/>
      <c r="L7" s="2133"/>
      <c r="M7" s="2132"/>
      <c r="N7" s="2132"/>
      <c r="O7" s="2134"/>
      <c r="P7" s="3377"/>
      <c r="Q7" s="3378"/>
      <c r="R7" s="3363"/>
      <c r="S7" s="3364"/>
      <c r="T7" s="3363"/>
      <c r="U7" s="3364"/>
      <c r="V7" s="3381"/>
      <c r="W7" s="3381"/>
      <c r="X7" s="1566"/>
      <c r="Y7" s="3363"/>
      <c r="Z7" s="3364"/>
      <c r="AA7" s="3357"/>
      <c r="AB7" s="3357"/>
      <c r="AC7" s="3357"/>
    </row>
    <row r="8" spans="1:30" ht="49.5" customHeight="1" thickBot="1">
      <c r="A8" s="515"/>
      <c r="B8" s="516"/>
      <c r="C8" s="3500" t="s">
        <v>3064</v>
      </c>
      <c r="D8" s="3387"/>
      <c r="E8" s="3386" t="str">
        <f>E7</f>
        <v>北京市大兴区黄村镇DX00-0103-1304地块R2二类居住用地</v>
      </c>
      <c r="F8" s="3387"/>
      <c r="G8" s="3382" t="str">
        <f>G7</f>
        <v>大兴区黄村镇DX00-0102-0802地块F1住宅混合公建用地</v>
      </c>
      <c r="H8" s="3383"/>
      <c r="I8" s="3382" t="str">
        <f>I7</f>
        <v>北京经济技术开发区II-6街区X84R3地块</v>
      </c>
      <c r="J8" s="3383"/>
      <c r="K8" s="514" t="s">
        <v>528</v>
      </c>
      <c r="L8" s="2133"/>
      <c r="M8" s="2132"/>
      <c r="N8" s="2132"/>
      <c r="O8" s="2134"/>
      <c r="P8" s="3379"/>
      <c r="Q8" s="3380"/>
      <c r="R8" s="3363"/>
      <c r="S8" s="3364"/>
      <c r="T8" s="3365"/>
      <c r="U8" s="3366"/>
      <c r="V8" s="3381"/>
      <c r="W8" s="3381"/>
      <c r="X8" s="1566"/>
      <c r="Y8" s="3365"/>
      <c r="Z8" s="3366"/>
      <c r="AA8" s="3358"/>
      <c r="AB8" s="3358"/>
      <c r="AC8" s="3358"/>
    </row>
    <row r="9" spans="1:30" s="1220" customFormat="1" ht="21" thickBot="1">
      <c r="A9" s="2936"/>
      <c r="B9" s="2943" t="s">
        <v>529</v>
      </c>
      <c r="C9" s="2935">
        <f>'数据-取费表'!B2</f>
        <v>43228</v>
      </c>
      <c r="D9" s="520">
        <v>100</v>
      </c>
      <c r="E9" s="521" t="str">
        <f>土地案例!AA4</f>
        <v>2018-01-18</v>
      </c>
      <c r="F9" s="522">
        <f>SUMIF(72:72,YEAR(E9)&amp;"-"&amp;INT((MONTH(E9)+2)/3),73:73)</f>
        <v>99</v>
      </c>
      <c r="G9" s="523" t="str">
        <f>土地案例!AA6</f>
        <v>2017-10-30</v>
      </c>
      <c r="H9" s="520">
        <f>SUMIF(72:72,YEAR(G9)&amp;"-"&amp;INT((MONTH(G9)+2)/3),73:73)</f>
        <v>98</v>
      </c>
      <c r="I9" s="523" t="str">
        <f>土地案例!AA14</f>
        <v>2017-07-25</v>
      </c>
      <c r="J9" s="520">
        <f>SUMIF(72:72,YEAR(I9)&amp;"-"&amp;INT((MONTH(I9)+2)/3),73:73)</f>
        <v>97</v>
      </c>
      <c r="K9" s="524"/>
      <c r="L9" s="2135"/>
      <c r="M9" s="2132"/>
      <c r="N9" s="2132"/>
      <c r="O9" s="2136"/>
      <c r="P9" s="3359" t="s">
        <v>530</v>
      </c>
      <c r="Q9" s="3368"/>
      <c r="R9" s="1567" t="s">
        <v>8</v>
      </c>
      <c r="S9" s="1568">
        <f t="shared" ref="S9:S17" si="0">F9</f>
        <v>99</v>
      </c>
      <c r="T9" s="1567" t="s">
        <v>8</v>
      </c>
      <c r="U9" s="1568">
        <f t="shared" ref="U9:U17" si="1">H9</f>
        <v>98</v>
      </c>
      <c r="V9" s="1567" t="s">
        <v>8</v>
      </c>
      <c r="W9" s="1568">
        <f t="shared" ref="W9:W17" si="2">J9</f>
        <v>97</v>
      </c>
      <c r="X9" s="1569"/>
      <c r="Y9" s="3359" t="s">
        <v>530</v>
      </c>
      <c r="Z9" s="3360"/>
      <c r="AA9" s="1570">
        <f>D9/F9</f>
        <v>1.0101010101010102</v>
      </c>
      <c r="AB9" s="1570">
        <f>D9/H9</f>
        <v>1.0204081632653061</v>
      </c>
      <c r="AC9" s="1570">
        <f>D9/J9</f>
        <v>1.0309278350515463</v>
      </c>
    </row>
    <row r="10" spans="1:30" s="1220"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59" t="s">
        <v>533</v>
      </c>
      <c r="Q10" s="3360"/>
      <c r="R10" s="1567" t="s">
        <v>8</v>
      </c>
      <c r="S10" s="1568">
        <f t="shared" si="0"/>
        <v>100</v>
      </c>
      <c r="T10" s="1567" t="s">
        <v>8</v>
      </c>
      <c r="U10" s="1568">
        <f t="shared" si="1"/>
        <v>100</v>
      </c>
      <c r="V10" s="1567" t="s">
        <v>8</v>
      </c>
      <c r="W10" s="1568">
        <f t="shared" si="2"/>
        <v>100</v>
      </c>
      <c r="X10" s="1569"/>
      <c r="Y10" s="3359" t="s">
        <v>533</v>
      </c>
      <c r="Z10" s="3360"/>
      <c r="AA10" s="1570">
        <f t="shared" ref="AA10:AA47" si="3">D10/F10</f>
        <v>1</v>
      </c>
      <c r="AB10" s="1570">
        <f t="shared" ref="AB10:AB47" si="4">D10/H10</f>
        <v>1</v>
      </c>
      <c r="AC10" s="1570">
        <f t="shared" ref="AC10:AC47" si="5">D10/J10</f>
        <v>1</v>
      </c>
    </row>
    <row r="11" spans="1:30" s="1220" customFormat="1" ht="28.5">
      <c r="A11" s="2938"/>
      <c r="B11" s="2945" t="s">
        <v>2758</v>
      </c>
      <c r="C11" s="2932" t="s">
        <v>3114</v>
      </c>
      <c r="D11" s="254">
        <v>100</v>
      </c>
      <c r="E11" s="2932" t="s">
        <v>3114</v>
      </c>
      <c r="F11" s="254">
        <f>SUMIF(77:77,E11,78:78)-SUMIF(77:77,C11,78:78)+100</f>
        <v>100</v>
      </c>
      <c r="G11" s="526" t="s">
        <v>3130</v>
      </c>
      <c r="H11" s="254">
        <f>SUMIF(77:77,G11,78:78)-SUMIF(77:77,C11,78:78)+100</f>
        <v>98</v>
      </c>
      <c r="I11" s="526" t="s">
        <v>3114</v>
      </c>
      <c r="J11" s="254">
        <f>SUMIF(77:77,I11,78:78)-SUMIF(77:77,C11,78:78)+100</f>
        <v>100</v>
      </c>
      <c r="K11" s="524"/>
      <c r="L11" s="2135"/>
      <c r="M11" s="2132"/>
      <c r="N11" s="2132"/>
      <c r="O11" s="2137"/>
      <c r="P11" s="3367" t="s">
        <v>535</v>
      </c>
      <c r="Q11" s="1151" t="str">
        <f t="shared" ref="Q11:Q17" si="6">B11</f>
        <v>用途</v>
      </c>
      <c r="R11" s="1567" t="s">
        <v>8</v>
      </c>
      <c r="S11" s="1568">
        <f t="shared" si="0"/>
        <v>100</v>
      </c>
      <c r="T11" s="1567" t="s">
        <v>8</v>
      </c>
      <c r="U11" s="1568">
        <f t="shared" si="1"/>
        <v>98</v>
      </c>
      <c r="V11" s="1567" t="s">
        <v>8</v>
      </c>
      <c r="W11" s="1568">
        <f t="shared" si="2"/>
        <v>100</v>
      </c>
      <c r="X11" s="1569"/>
      <c r="Y11" s="3324" t="s">
        <v>536</v>
      </c>
      <c r="Z11" s="1150" t="str">
        <f t="shared" ref="Z11:Z17" si="7">Q11</f>
        <v>用途</v>
      </c>
      <c r="AA11" s="1570">
        <f t="shared" si="3"/>
        <v>1</v>
      </c>
      <c r="AB11" s="1570">
        <f t="shared" si="4"/>
        <v>1.0204081632653061</v>
      </c>
      <c r="AC11" s="1570">
        <f t="shared" si="5"/>
        <v>1</v>
      </c>
    </row>
    <row r="12" spans="1:30" s="1338" customFormat="1" ht="27">
      <c r="A12" s="2939"/>
      <c r="B12" s="2944" t="s">
        <v>2759</v>
      </c>
      <c r="C12" s="910" t="s">
        <v>3247</v>
      </c>
      <c r="D12" s="255">
        <v>100</v>
      </c>
      <c r="E12" s="529" t="s">
        <v>3246</v>
      </c>
      <c r="F12" s="255">
        <f>ROUND(100/'数据-取费表'!G16,0)</f>
        <v>100</v>
      </c>
      <c r="G12" s="529" t="s">
        <v>3246</v>
      </c>
      <c r="H12" s="255">
        <f>ROUND(100/'数据-取费表'!G16,0)</f>
        <v>100</v>
      </c>
      <c r="I12" s="529" t="s">
        <v>3246</v>
      </c>
      <c r="J12" s="255">
        <f>ROUND(100/'数据-取费表'!G16,0)</f>
        <v>100</v>
      </c>
      <c r="K12" s="531"/>
      <c r="L12" s="2138"/>
      <c r="M12" s="2132"/>
      <c r="N12" s="2132"/>
      <c r="O12" s="2139"/>
      <c r="P12" s="3367"/>
      <c r="Q12" s="1151" t="str">
        <f t="shared" si="6"/>
        <v>土地使用年限（年）</v>
      </c>
      <c r="R12" s="1567" t="s">
        <v>8</v>
      </c>
      <c r="S12" s="1568">
        <f t="shared" si="0"/>
        <v>100</v>
      </c>
      <c r="T12" s="1567" t="s">
        <v>8</v>
      </c>
      <c r="U12" s="1568">
        <f t="shared" si="1"/>
        <v>100</v>
      </c>
      <c r="V12" s="1567" t="s">
        <v>8</v>
      </c>
      <c r="W12" s="1568">
        <f t="shared" si="2"/>
        <v>100</v>
      </c>
      <c r="X12" s="1569"/>
      <c r="Y12" s="3324"/>
      <c r="Z12" s="1150" t="str">
        <f t="shared" si="7"/>
        <v>土地使用年限（年）</v>
      </c>
      <c r="AA12" s="1570">
        <f t="shared" si="3"/>
        <v>1</v>
      </c>
      <c r="AB12" s="1570">
        <f t="shared" si="4"/>
        <v>1</v>
      </c>
      <c r="AC12" s="1570">
        <f t="shared" si="5"/>
        <v>1</v>
      </c>
    </row>
    <row r="13" spans="1:30" ht="20.25">
      <c r="A13" s="2940"/>
      <c r="B13" s="2944" t="s">
        <v>2760</v>
      </c>
      <c r="C13" s="534">
        <f>'数据-汇总表'!I6</f>
        <v>2.38</v>
      </c>
      <c r="D13" s="255">
        <v>100</v>
      </c>
      <c r="E13" s="533">
        <f>土地案例!L4</f>
        <v>1.8</v>
      </c>
      <c r="F13" s="255">
        <f>LOOKUP(E13,82:82,83:83)-LOOKUP(C13,82:82,83:83)+100</f>
        <v>101</v>
      </c>
      <c r="G13" s="534">
        <f>土地案例!L14</f>
        <v>2.5</v>
      </c>
      <c r="H13" s="255">
        <f>LOOKUP(G13,82:82,83:83)-LOOKUP(C13,82:82,83:83)+100</f>
        <v>100</v>
      </c>
      <c r="I13" s="533">
        <f>土地案例!L14</f>
        <v>2.5</v>
      </c>
      <c r="J13" s="255">
        <f>LOOKUP(I13,82:82,83:83)-LOOKUP(C13,82:82,83:83)+100</f>
        <v>100</v>
      </c>
      <c r="K13" s="535">
        <v>1</v>
      </c>
      <c r="L13" s="2140"/>
      <c r="M13" s="2132"/>
      <c r="N13" s="2132"/>
      <c r="O13" s="2141"/>
      <c r="P13" s="3367"/>
      <c r="Q13" s="1151" t="str">
        <f t="shared" si="6"/>
        <v>容积率</v>
      </c>
      <c r="R13" s="1567" t="s">
        <v>8</v>
      </c>
      <c r="S13" s="1568">
        <f t="shared" si="0"/>
        <v>101</v>
      </c>
      <c r="T13" s="1567" t="s">
        <v>8</v>
      </c>
      <c r="U13" s="1568">
        <f t="shared" si="1"/>
        <v>100</v>
      </c>
      <c r="V13" s="1567" t="s">
        <v>8</v>
      </c>
      <c r="W13" s="1568">
        <f t="shared" si="2"/>
        <v>100</v>
      </c>
      <c r="X13" s="1569"/>
      <c r="Y13" s="3324"/>
      <c r="Z13" s="1150" t="str">
        <f t="shared" si="7"/>
        <v>容积率</v>
      </c>
      <c r="AA13" s="1570">
        <f t="shared" si="3"/>
        <v>0.99009900990099009</v>
      </c>
      <c r="AB13" s="1570">
        <f t="shared" si="4"/>
        <v>1</v>
      </c>
      <c r="AC13" s="1570">
        <f t="shared" si="5"/>
        <v>1</v>
      </c>
    </row>
    <row r="14" spans="1:30" s="1220" customFormat="1" ht="27">
      <c r="A14" s="2937"/>
      <c r="B14" s="2946" t="s">
        <v>2761</v>
      </c>
      <c r="C14" s="2933" t="s">
        <v>3248</v>
      </c>
      <c r="D14" s="538">
        <v>100</v>
      </c>
      <c r="E14" s="2933" t="s">
        <v>3248</v>
      </c>
      <c r="F14" s="255">
        <f>SUMIF(84:84,E14,85:85)-SUMIF(84:84,C14,85:85)+100</f>
        <v>100</v>
      </c>
      <c r="G14" s="2933" t="s">
        <v>3358</v>
      </c>
      <c r="H14" s="255">
        <f>SUMIF(84:84,G14,85:85)-SUMIF(84:84,C14,85:85)+100</f>
        <v>100</v>
      </c>
      <c r="I14" s="2933" t="s">
        <v>3358</v>
      </c>
      <c r="J14" s="255">
        <f>SUMIF(84:84,I14,85:85)-SUMIF(84:84,C14,85:85)+100</f>
        <v>100</v>
      </c>
      <c r="K14" s="531"/>
      <c r="L14" s="2135"/>
      <c r="M14" s="2132"/>
      <c r="N14" s="2132"/>
      <c r="O14" s="2137"/>
      <c r="P14" s="3367"/>
      <c r="Q14" s="1151" t="str">
        <f t="shared" si="6"/>
        <v>配建</v>
      </c>
      <c r="R14" s="1567" t="s">
        <v>8</v>
      </c>
      <c r="S14" s="1568">
        <f t="shared" si="0"/>
        <v>100</v>
      </c>
      <c r="T14" s="1567" t="s">
        <v>8</v>
      </c>
      <c r="U14" s="1568">
        <f t="shared" si="1"/>
        <v>100</v>
      </c>
      <c r="V14" s="1567" t="s">
        <v>8</v>
      </c>
      <c r="W14" s="1568">
        <f t="shared" si="2"/>
        <v>100</v>
      </c>
      <c r="X14" s="1569"/>
      <c r="Y14" s="3324"/>
      <c r="Z14" s="1150" t="str">
        <f t="shared" si="7"/>
        <v>配建</v>
      </c>
      <c r="AA14" s="1570">
        <f>D14/F14</f>
        <v>1</v>
      </c>
      <c r="AB14" s="1570">
        <f>D14/H14</f>
        <v>1</v>
      </c>
      <c r="AC14" s="1570">
        <f>D14/J14</f>
        <v>1</v>
      </c>
    </row>
    <row r="15" spans="1:30" ht="20.25">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7"/>
      <c r="Q15" s="1151">
        <f t="shared" si="6"/>
        <v>111</v>
      </c>
      <c r="R15" s="1567" t="s">
        <v>8</v>
      </c>
      <c r="S15" s="1568">
        <f t="shared" si="0"/>
        <v>100</v>
      </c>
      <c r="T15" s="1567" t="s">
        <v>8</v>
      </c>
      <c r="U15" s="1568">
        <f t="shared" si="1"/>
        <v>100</v>
      </c>
      <c r="V15" s="1567" t="s">
        <v>8</v>
      </c>
      <c r="W15" s="1568">
        <f t="shared" si="2"/>
        <v>100</v>
      </c>
      <c r="X15" s="1569"/>
      <c r="Y15" s="3324"/>
      <c r="Z15" s="1150">
        <f t="shared" si="7"/>
        <v>111</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7"/>
      <c r="Q16" s="1151">
        <f t="shared" si="6"/>
        <v>111</v>
      </c>
      <c r="R16" s="1567" t="s">
        <v>8</v>
      </c>
      <c r="S16" s="1568">
        <f t="shared" si="0"/>
        <v>100</v>
      </c>
      <c r="T16" s="1567" t="s">
        <v>8</v>
      </c>
      <c r="U16" s="1568">
        <f t="shared" si="1"/>
        <v>100</v>
      </c>
      <c r="V16" s="1567" t="s">
        <v>8</v>
      </c>
      <c r="W16" s="1568">
        <f t="shared" si="2"/>
        <v>100</v>
      </c>
      <c r="X16" s="1569"/>
      <c r="Y16" s="3324"/>
      <c r="Z16" s="1150">
        <f t="shared" si="7"/>
        <v>111</v>
      </c>
      <c r="AA16" s="1570">
        <f>D16/F16</f>
        <v>1</v>
      </c>
      <c r="AB16" s="1570">
        <f>D16/H16</f>
        <v>1</v>
      </c>
      <c r="AC16" s="1570">
        <f>D16/J16</f>
        <v>1</v>
      </c>
    </row>
    <row r="17" spans="1:29" ht="99.75">
      <c r="A17" s="2934"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104</v>
      </c>
      <c r="K17" s="535">
        <v>2</v>
      </c>
      <c r="L17" s="2142"/>
      <c r="M17" s="2132"/>
      <c r="N17" s="2132"/>
      <c r="O17" s="2141"/>
      <c r="P17" s="3369" t="s">
        <v>540</v>
      </c>
      <c r="Q17" s="1571" t="str">
        <f t="shared" si="6"/>
        <v>居住社区成熟度</v>
      </c>
      <c r="R17" s="1572" t="s">
        <v>8</v>
      </c>
      <c r="S17" s="1573">
        <f t="shared" si="0"/>
        <v>102</v>
      </c>
      <c r="T17" s="1572" t="s">
        <v>8</v>
      </c>
      <c r="U17" s="1573">
        <f t="shared" si="1"/>
        <v>102</v>
      </c>
      <c r="V17" s="1572" t="s">
        <v>8</v>
      </c>
      <c r="W17" s="1573">
        <f t="shared" si="2"/>
        <v>104</v>
      </c>
      <c r="X17" s="1566"/>
      <c r="Y17" s="3369" t="s">
        <v>540</v>
      </c>
      <c r="Z17" s="1574" t="str">
        <f t="shared" si="7"/>
        <v>居住社区成熟度</v>
      </c>
      <c r="AA17" s="1575">
        <f t="shared" si="3"/>
        <v>0.98039215686274506</v>
      </c>
      <c r="AB17" s="1575">
        <f t="shared" si="4"/>
        <v>0.98039215686274506</v>
      </c>
      <c r="AC17" s="1575">
        <f t="shared" si="5"/>
        <v>0.96153846153846156</v>
      </c>
    </row>
    <row r="18" spans="1:29" ht="20.25">
      <c r="A18" s="532"/>
      <c r="B18" s="553"/>
      <c r="C18" s="554" t="s">
        <v>3339</v>
      </c>
      <c r="D18" s="557"/>
      <c r="E18" s="558" t="s">
        <v>3337</v>
      </c>
      <c r="F18" s="555"/>
      <c r="G18" s="558" t="s">
        <v>3337</v>
      </c>
      <c r="H18" s="559"/>
      <c r="I18" s="558" t="s">
        <v>3335</v>
      </c>
      <c r="J18" s="555"/>
      <c r="K18" s="531"/>
      <c r="L18" s="2142"/>
      <c r="M18" s="2132"/>
      <c r="N18" s="2132"/>
      <c r="O18" s="2141"/>
      <c r="P18" s="3370"/>
      <c r="Q18" s="1571"/>
      <c r="R18" s="1572"/>
      <c r="S18" s="1573"/>
      <c r="T18" s="1572"/>
      <c r="U18" s="1573"/>
      <c r="V18" s="1572"/>
      <c r="W18" s="1573"/>
      <c r="X18" s="1566"/>
      <c r="Y18" s="3370"/>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104</v>
      </c>
      <c r="K19" s="535">
        <v>2</v>
      </c>
      <c r="L19" s="2142"/>
      <c r="M19" s="2132"/>
      <c r="N19" s="2132"/>
      <c r="O19" s="2141"/>
      <c r="P19" s="3370"/>
      <c r="Q19" s="1571" t="str">
        <f>B19</f>
        <v>商业繁华度</v>
      </c>
      <c r="R19" s="1572" t="s">
        <v>8</v>
      </c>
      <c r="S19" s="1573">
        <f>F19</f>
        <v>102</v>
      </c>
      <c r="T19" s="1572" t="s">
        <v>8</v>
      </c>
      <c r="U19" s="1573">
        <f>H19</f>
        <v>102</v>
      </c>
      <c r="V19" s="1572" t="s">
        <v>8</v>
      </c>
      <c r="W19" s="1573">
        <f>J19</f>
        <v>104</v>
      </c>
      <c r="X19" s="1566"/>
      <c r="Y19" s="3370"/>
      <c r="Z19" s="1574" t="str">
        <f>Q19</f>
        <v>商业繁华度</v>
      </c>
      <c r="AA19" s="1575">
        <f t="shared" si="3"/>
        <v>0.98039215686274506</v>
      </c>
      <c r="AB19" s="1575">
        <f t="shared" si="4"/>
        <v>0.98039215686274506</v>
      </c>
      <c r="AC19" s="1575">
        <f t="shared" si="5"/>
        <v>0.96153846153846156</v>
      </c>
    </row>
    <row r="20" spans="1:29" ht="20.25">
      <c r="A20" s="532"/>
      <c r="B20" s="566"/>
      <c r="C20" s="567" t="s">
        <v>3341</v>
      </c>
      <c r="D20" s="563"/>
      <c r="E20" s="569" t="s">
        <v>3339</v>
      </c>
      <c r="F20" s="559"/>
      <c r="G20" s="569" t="s">
        <v>3339</v>
      </c>
      <c r="H20" s="555"/>
      <c r="I20" s="569" t="s">
        <v>3337</v>
      </c>
      <c r="J20" s="555"/>
      <c r="K20" s="531"/>
      <c r="L20" s="2142"/>
      <c r="M20" s="2132"/>
      <c r="N20" s="2132"/>
      <c r="O20" s="2141"/>
      <c r="P20" s="3370"/>
      <c r="Q20" s="1571"/>
      <c r="R20" s="1572"/>
      <c r="S20" s="1573"/>
      <c r="T20" s="1572"/>
      <c r="U20" s="1573"/>
      <c r="V20" s="1572"/>
      <c r="W20" s="1573"/>
      <c r="X20" s="1566"/>
      <c r="Y20" s="3370"/>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0"/>
      <c r="Q21" s="1571" t="str">
        <f>B21</f>
        <v>办公集聚程度</v>
      </c>
      <c r="R21" s="1572" t="s">
        <v>8</v>
      </c>
      <c r="S21" s="1573">
        <f>F21</f>
        <v>100</v>
      </c>
      <c r="T21" s="1572" t="s">
        <v>8</v>
      </c>
      <c r="U21" s="1573">
        <f>H21</f>
        <v>100</v>
      </c>
      <c r="V21" s="1572" t="s">
        <v>8</v>
      </c>
      <c r="W21" s="1573">
        <f>J21</f>
        <v>100</v>
      </c>
      <c r="X21" s="1566"/>
      <c r="Y21" s="3370"/>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370"/>
      <c r="Q22" s="1571"/>
      <c r="R22" s="1572"/>
      <c r="S22" s="1573"/>
      <c r="T22" s="1572"/>
      <c r="U22" s="1573"/>
      <c r="V22" s="1572"/>
      <c r="W22" s="1573"/>
      <c r="X22" s="1566"/>
      <c r="Y22" s="3370"/>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370"/>
      <c r="Q23" s="1571" t="str">
        <f>B23</f>
        <v>交通便捷度</v>
      </c>
      <c r="R23" s="1572" t="s">
        <v>8</v>
      </c>
      <c r="S23" s="1573">
        <f>F23</f>
        <v>102</v>
      </c>
      <c r="T23" s="1572" t="s">
        <v>8</v>
      </c>
      <c r="U23" s="1573">
        <f>H23</f>
        <v>102</v>
      </c>
      <c r="V23" s="1572" t="s">
        <v>8</v>
      </c>
      <c r="W23" s="1573">
        <f>J23</f>
        <v>100</v>
      </c>
      <c r="X23" s="1566"/>
      <c r="Y23" s="3370"/>
      <c r="Z23" s="1574" t="str">
        <f>Q23</f>
        <v>交通便捷度</v>
      </c>
      <c r="AA23" s="1575">
        <f t="shared" si="3"/>
        <v>0.98039215686274506</v>
      </c>
      <c r="AB23" s="1575">
        <f t="shared" si="4"/>
        <v>0.98039215686274506</v>
      </c>
      <c r="AC23" s="1575">
        <f t="shared" si="5"/>
        <v>1</v>
      </c>
    </row>
    <row r="24" spans="1:29" ht="20.25">
      <c r="A24" s="532"/>
      <c r="B24" s="578"/>
      <c r="C24" s="554" t="s">
        <v>3339</v>
      </c>
      <c r="D24" s="557"/>
      <c r="E24" s="558" t="s">
        <v>3337</v>
      </c>
      <c r="F24" s="555"/>
      <c r="G24" s="558" t="s">
        <v>3337</v>
      </c>
      <c r="H24" s="555"/>
      <c r="I24" s="558" t="s">
        <v>3339</v>
      </c>
      <c r="J24" s="555"/>
      <c r="K24" s="531"/>
      <c r="L24" s="2142"/>
      <c r="M24" s="2132"/>
      <c r="N24" s="2132"/>
      <c r="O24" s="2141"/>
      <c r="P24" s="3370"/>
      <c r="Q24" s="1571"/>
      <c r="R24" s="1572"/>
      <c r="S24" s="1573"/>
      <c r="T24" s="1572"/>
      <c r="U24" s="1573"/>
      <c r="V24" s="1572"/>
      <c r="W24" s="1573"/>
      <c r="X24" s="1566"/>
      <c r="Y24" s="3370"/>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370"/>
      <c r="Q25" s="1571" t="str">
        <f t="shared" ref="Q25:Q39" si="8">B25</f>
        <v>区域土地利用方向</v>
      </c>
      <c r="R25" s="1572" t="s">
        <v>8</v>
      </c>
      <c r="S25" s="1573">
        <f>F25</f>
        <v>100</v>
      </c>
      <c r="T25" s="1572" t="s">
        <v>8</v>
      </c>
      <c r="U25" s="1573">
        <f>H25</f>
        <v>100</v>
      </c>
      <c r="V25" s="1572" t="s">
        <v>8</v>
      </c>
      <c r="W25" s="1573">
        <f>J25</f>
        <v>100</v>
      </c>
      <c r="X25" s="1566"/>
      <c r="Y25" s="3370"/>
      <c r="Z25" s="1574" t="str">
        <f>Q25</f>
        <v>区域土地利用方向</v>
      </c>
      <c r="AA25" s="1575">
        <f t="shared" si="3"/>
        <v>1</v>
      </c>
      <c r="AB25" s="1575">
        <f t="shared" si="4"/>
        <v>1</v>
      </c>
      <c r="AC25" s="1575">
        <f t="shared" si="5"/>
        <v>1</v>
      </c>
    </row>
    <row r="26" spans="1:29" ht="20.25">
      <c r="A26" s="515"/>
      <c r="B26" s="1007"/>
      <c r="C26" s="554" t="s">
        <v>3337</v>
      </c>
      <c r="D26" s="557"/>
      <c r="E26" s="554" t="s">
        <v>3337</v>
      </c>
      <c r="F26" s="555"/>
      <c r="G26" s="554" t="s">
        <v>3337</v>
      </c>
      <c r="H26" s="555"/>
      <c r="I26" s="554" t="s">
        <v>3337</v>
      </c>
      <c r="J26" s="555"/>
      <c r="K26" s="531"/>
      <c r="L26" s="2142"/>
      <c r="M26" s="2132"/>
      <c r="N26" s="2132"/>
      <c r="O26" s="2141"/>
      <c r="P26" s="3370"/>
      <c r="Q26" s="1571"/>
      <c r="R26" s="1572"/>
      <c r="S26" s="1573"/>
      <c r="T26" s="1572"/>
      <c r="U26" s="1573"/>
      <c r="V26" s="1572"/>
      <c r="W26" s="1573"/>
      <c r="X26" s="1566"/>
      <c r="Y26" s="3370"/>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2"/>
      <c r="M27" s="2132"/>
      <c r="N27" s="2132"/>
      <c r="O27" s="2141"/>
      <c r="P27" s="3370"/>
      <c r="Q27" s="1571" t="str">
        <f t="shared" si="8"/>
        <v>自然及人文环境状况</v>
      </c>
      <c r="R27" s="1572" t="s">
        <v>8</v>
      </c>
      <c r="S27" s="1573">
        <f>F27</f>
        <v>100</v>
      </c>
      <c r="T27" s="1572" t="s">
        <v>8</v>
      </c>
      <c r="U27" s="1573">
        <f>H27</f>
        <v>100</v>
      </c>
      <c r="V27" s="1572" t="s">
        <v>8</v>
      </c>
      <c r="W27" s="1573">
        <f>J27</f>
        <v>100</v>
      </c>
      <c r="X27" s="1566"/>
      <c r="Y27" s="3370"/>
      <c r="Z27" s="1574" t="str">
        <f>Q27</f>
        <v>自然及人文环境状况</v>
      </c>
      <c r="AA27" s="1575">
        <f t="shared" si="3"/>
        <v>1</v>
      </c>
      <c r="AB27" s="1575">
        <f t="shared" si="4"/>
        <v>1</v>
      </c>
      <c r="AC27" s="1575">
        <f t="shared" si="5"/>
        <v>1</v>
      </c>
    </row>
    <row r="28" spans="1:29" ht="20.25">
      <c r="A28" s="515"/>
      <c r="B28" s="566"/>
      <c r="C28" s="554" t="s">
        <v>3337</v>
      </c>
      <c r="D28" s="557"/>
      <c r="E28" s="554" t="s">
        <v>3337</v>
      </c>
      <c r="F28" s="555"/>
      <c r="G28" s="554" t="s">
        <v>3337</v>
      </c>
      <c r="H28" s="555"/>
      <c r="I28" s="554" t="s">
        <v>3337</v>
      </c>
      <c r="J28" s="555"/>
      <c r="K28" s="531"/>
      <c r="L28" s="2142"/>
      <c r="M28" s="2132"/>
      <c r="N28" s="2132"/>
      <c r="O28" s="2141"/>
      <c r="P28" s="3370"/>
      <c r="Q28" s="1571"/>
      <c r="R28" s="1572"/>
      <c r="S28" s="1573"/>
      <c r="T28" s="1572"/>
      <c r="U28" s="1573"/>
      <c r="V28" s="1572"/>
      <c r="W28" s="1573"/>
      <c r="X28" s="1566"/>
      <c r="Y28" s="3370"/>
      <c r="Z28" s="1574"/>
      <c r="AA28" s="1575">
        <v>1</v>
      </c>
      <c r="AB28" s="1575">
        <v>1</v>
      </c>
      <c r="AC28" s="1575">
        <v>1</v>
      </c>
    </row>
    <row r="29" spans="1:29" s="1220" customFormat="1" ht="42.75">
      <c r="A29" s="577"/>
      <c r="B29" s="2615"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370"/>
      <c r="Q29" s="1151" t="str">
        <f t="shared" si="8"/>
        <v>公共配套设施</v>
      </c>
      <c r="R29" s="1567" t="s">
        <v>8</v>
      </c>
      <c r="S29" s="1568">
        <f>F29</f>
        <v>100</v>
      </c>
      <c r="T29" s="1567" t="s">
        <v>8</v>
      </c>
      <c r="U29" s="1568">
        <f>H29</f>
        <v>100</v>
      </c>
      <c r="V29" s="1567" t="s">
        <v>8</v>
      </c>
      <c r="W29" s="1568">
        <f>J29</f>
        <v>100</v>
      </c>
      <c r="X29" s="1569"/>
      <c r="Y29" s="3370"/>
      <c r="Z29" s="1150" t="str">
        <f>Q29</f>
        <v>公共配套设施</v>
      </c>
      <c r="AA29" s="1575">
        <f>D29/F29</f>
        <v>1</v>
      </c>
      <c r="AB29" s="1575">
        <f>D29/H29</f>
        <v>1</v>
      </c>
      <c r="AC29" s="1575">
        <f>D29/J29</f>
        <v>1</v>
      </c>
    </row>
    <row r="30" spans="1:29" s="1220" customFormat="1" ht="20.25">
      <c r="A30" s="577"/>
      <c r="B30" s="566"/>
      <c r="C30" s="579" t="s">
        <v>3339</v>
      </c>
      <c r="D30" s="557"/>
      <c r="E30" s="579" t="s">
        <v>3339</v>
      </c>
      <c r="F30" s="555"/>
      <c r="G30" s="579" t="s">
        <v>3339</v>
      </c>
      <c r="H30" s="555"/>
      <c r="I30" s="579" t="s">
        <v>3339</v>
      </c>
      <c r="J30" s="555"/>
      <c r="K30" s="531"/>
      <c r="L30" s="2135"/>
      <c r="M30" s="2132"/>
      <c r="N30" s="2132"/>
      <c r="O30" s="2137"/>
      <c r="P30" s="3370"/>
      <c r="Q30" s="1151"/>
      <c r="R30" s="1567"/>
      <c r="S30" s="1568"/>
      <c r="T30" s="1567"/>
      <c r="U30" s="1568"/>
      <c r="V30" s="1567"/>
      <c r="W30" s="1568"/>
      <c r="X30" s="1569"/>
      <c r="Y30" s="3370"/>
      <c r="Z30" s="1150"/>
      <c r="AA30" s="1575">
        <v>1</v>
      </c>
      <c r="AB30" s="1575">
        <v>1</v>
      </c>
      <c r="AC30" s="1575">
        <v>1</v>
      </c>
    </row>
    <row r="31" spans="1:29" s="1220" customFormat="1" ht="28.5">
      <c r="A31" s="577"/>
      <c r="B31" s="2615"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70"/>
      <c r="Q31" s="2602" t="str">
        <f t="shared" ref="Q31" si="9">B31</f>
        <v>基础设施水平</v>
      </c>
      <c r="R31" s="1567" t="s">
        <v>8</v>
      </c>
      <c r="S31" s="1568">
        <f>F31</f>
        <v>100</v>
      </c>
      <c r="T31" s="1567" t="s">
        <v>8</v>
      </c>
      <c r="U31" s="1568">
        <f>H31</f>
        <v>100</v>
      </c>
      <c r="V31" s="1567" t="s">
        <v>8</v>
      </c>
      <c r="W31" s="1568">
        <f>J31</f>
        <v>100</v>
      </c>
      <c r="X31" s="1569"/>
      <c r="Y31" s="3370"/>
      <c r="Z31" s="2599" t="str">
        <f>Q31</f>
        <v>基础设施水平</v>
      </c>
      <c r="AA31" s="1575">
        <f>D31/F31</f>
        <v>1</v>
      </c>
      <c r="AB31" s="1575">
        <f>D31/H31</f>
        <v>1</v>
      </c>
      <c r="AC31" s="1575">
        <f>D31/J31</f>
        <v>1</v>
      </c>
    </row>
    <row r="32" spans="1:29" s="1220" customFormat="1" ht="20.25">
      <c r="A32" s="577"/>
      <c r="B32" s="566"/>
      <c r="C32" s="579" t="s">
        <v>3326</v>
      </c>
      <c r="D32" s="557"/>
      <c r="E32" s="579" t="s">
        <v>3326</v>
      </c>
      <c r="F32" s="555"/>
      <c r="G32" s="579" t="s">
        <v>3326</v>
      </c>
      <c r="H32" s="555"/>
      <c r="I32" s="579" t="s">
        <v>3326</v>
      </c>
      <c r="J32" s="555"/>
      <c r="K32" s="531"/>
      <c r="L32" s="2135"/>
      <c r="M32" s="2132"/>
      <c r="N32" s="2132"/>
      <c r="O32" s="2137"/>
      <c r="P32" s="3370"/>
      <c r="Q32" s="2602"/>
      <c r="R32" s="1567"/>
      <c r="S32" s="1568"/>
      <c r="T32" s="1567"/>
      <c r="U32" s="1568"/>
      <c r="V32" s="1567"/>
      <c r="W32" s="1568"/>
      <c r="X32" s="1569"/>
      <c r="Y32" s="3370"/>
      <c r="Z32" s="2599"/>
      <c r="AA32" s="1575">
        <v>1</v>
      </c>
      <c r="AB32" s="1575">
        <v>1</v>
      </c>
      <c r="AC32" s="1575">
        <v>1</v>
      </c>
    </row>
    <row r="33" spans="1:29" ht="20.25">
      <c r="A33" s="532"/>
      <c r="B33" s="566" t="s">
        <v>547</v>
      </c>
      <c r="C33" s="580" t="s">
        <v>3360</v>
      </c>
      <c r="D33" s="575">
        <v>100</v>
      </c>
      <c r="E33" s="583" t="s">
        <v>3361</v>
      </c>
      <c r="F33" s="540">
        <f>SUMIF(106:106,E33,107:107)-SUMIF(106:106,C33,107:107)+100</f>
        <v>99</v>
      </c>
      <c r="G33" s="580" t="s">
        <v>3360</v>
      </c>
      <c r="H33" s="540">
        <f>SUMIF(106:106,G33,107:107)-SUMIF(106:106,C33,107:107)+100</f>
        <v>100</v>
      </c>
      <c r="I33" s="580" t="s">
        <v>3360</v>
      </c>
      <c r="J33" s="540">
        <f>SUMIF(106:106,I33,107:107)-SUMIF(106:106,C33,107:107)+100</f>
        <v>100</v>
      </c>
      <c r="K33" s="535">
        <v>1</v>
      </c>
      <c r="L33" s="2142"/>
      <c r="M33" s="2132"/>
      <c r="N33" s="2132"/>
      <c r="O33" s="2141"/>
      <c r="P33" s="3370"/>
      <c r="Q33" s="1571" t="str">
        <f t="shared" si="8"/>
        <v>临街状况</v>
      </c>
      <c r="R33" s="1572" t="s">
        <v>8</v>
      </c>
      <c r="S33" s="1573">
        <f t="shared" ref="S33:S47" si="10">F33</f>
        <v>99</v>
      </c>
      <c r="T33" s="1572" t="s">
        <v>8</v>
      </c>
      <c r="U33" s="1573">
        <f t="shared" ref="U33:U47" si="11">H33</f>
        <v>100</v>
      </c>
      <c r="V33" s="1572" t="s">
        <v>8</v>
      </c>
      <c r="W33" s="1573">
        <f t="shared" ref="W33:W47" si="12">J33</f>
        <v>100</v>
      </c>
      <c r="X33" s="1566"/>
      <c r="Y33" s="3370"/>
      <c r="Z33" s="1574" t="str">
        <f t="shared" ref="Z33:Z47" si="13">Q33</f>
        <v>临街状况</v>
      </c>
      <c r="AA33" s="1575">
        <f t="shared" si="3"/>
        <v>1.0101010101010102</v>
      </c>
      <c r="AB33" s="1575">
        <f t="shared" si="4"/>
        <v>1</v>
      </c>
      <c r="AC33" s="1575">
        <f t="shared" si="5"/>
        <v>1</v>
      </c>
    </row>
    <row r="34" spans="1:29" ht="27">
      <c r="A34" s="532"/>
      <c r="B34" s="578" t="s">
        <v>548</v>
      </c>
      <c r="C34" s="3509" t="s">
        <v>3362</v>
      </c>
      <c r="D34" s="563">
        <v>100</v>
      </c>
      <c r="E34" s="3510" t="s">
        <v>3364</v>
      </c>
      <c r="F34" s="559">
        <f>SUMIF(108:108,E35,109:109)-SUMIF(108:108,C35,109:109)+100</f>
        <v>101</v>
      </c>
      <c r="G34" s="3509" t="s">
        <v>3366</v>
      </c>
      <c r="H34" s="559">
        <f>SUMIF(108:108,G35,109:109)-SUMIF(108:108,C35,109:109)+100</f>
        <v>100</v>
      </c>
      <c r="I34" s="3510" t="s">
        <v>3367</v>
      </c>
      <c r="J34" s="559">
        <f>SUMIF(108:108,I35,109:109)-SUMIF(108:108,C35,109:109)+100</f>
        <v>100</v>
      </c>
      <c r="K34" s="535">
        <v>1</v>
      </c>
      <c r="L34" s="2142"/>
      <c r="M34" s="2132"/>
      <c r="N34" s="2132"/>
      <c r="O34" s="2141"/>
      <c r="P34" s="3370"/>
      <c r="Q34" s="1571" t="str">
        <f t="shared" si="8"/>
        <v>毗邻道路的类型与等级</v>
      </c>
      <c r="R34" s="1572" t="s">
        <v>8</v>
      </c>
      <c r="S34" s="1573">
        <f t="shared" si="10"/>
        <v>101</v>
      </c>
      <c r="T34" s="1572" t="s">
        <v>8</v>
      </c>
      <c r="U34" s="1573">
        <f t="shared" si="11"/>
        <v>100</v>
      </c>
      <c r="V34" s="1572" t="s">
        <v>8</v>
      </c>
      <c r="W34" s="1573">
        <f t="shared" si="12"/>
        <v>100</v>
      </c>
      <c r="X34" s="1566"/>
      <c r="Y34" s="3370"/>
      <c r="Z34" s="1574" t="str">
        <f t="shared" si="13"/>
        <v>毗邻道路的类型与等级</v>
      </c>
      <c r="AA34" s="1575">
        <f t="shared" si="3"/>
        <v>0.99009900990099009</v>
      </c>
      <c r="AB34" s="1575">
        <f t="shared" si="4"/>
        <v>1</v>
      </c>
      <c r="AC34" s="1575">
        <f t="shared" si="5"/>
        <v>1</v>
      </c>
    </row>
    <row r="35" spans="1:29" ht="20.25">
      <c r="A35" s="532"/>
      <c r="B35" s="566"/>
      <c r="C35" s="554" t="s">
        <v>3363</v>
      </c>
      <c r="D35" s="557"/>
      <c r="E35" s="576" t="s">
        <v>3365</v>
      </c>
      <c r="F35" s="555"/>
      <c r="G35" s="554" t="s">
        <v>3363</v>
      </c>
      <c r="H35" s="555"/>
      <c r="I35" s="576" t="s">
        <v>3363</v>
      </c>
      <c r="J35" s="555"/>
      <c r="K35" s="581"/>
      <c r="L35" s="2142"/>
      <c r="M35" s="2132"/>
      <c r="N35" s="2132"/>
      <c r="O35" s="2141"/>
      <c r="P35" s="3370"/>
      <c r="Q35" s="1571"/>
      <c r="R35" s="1572"/>
      <c r="S35" s="1573"/>
      <c r="T35" s="1572"/>
      <c r="U35" s="1573"/>
      <c r="V35" s="1572"/>
      <c r="W35" s="1573"/>
      <c r="X35" s="1566"/>
      <c r="Y35" s="3370"/>
      <c r="Z35" s="1574"/>
      <c r="AA35" s="1575">
        <v>1</v>
      </c>
      <c r="AB35" s="1575">
        <v>1</v>
      </c>
      <c r="AC35" s="1575">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0"/>
      <c r="Q36" s="1571" t="str">
        <f t="shared" si="8"/>
        <v>土地级别</v>
      </c>
      <c r="R36" s="1572" t="s">
        <v>8</v>
      </c>
      <c r="S36" s="1573">
        <f t="shared" si="10"/>
        <v>100</v>
      </c>
      <c r="T36" s="1572" t="s">
        <v>8</v>
      </c>
      <c r="U36" s="1573">
        <f t="shared" si="11"/>
        <v>100</v>
      </c>
      <c r="V36" s="1572" t="s">
        <v>8</v>
      </c>
      <c r="W36" s="1573">
        <f t="shared" si="12"/>
        <v>100</v>
      </c>
      <c r="X36" s="1566"/>
      <c r="Y36" s="3370"/>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0"/>
      <c r="Q37" s="1571">
        <f t="shared" si="8"/>
        <v>111</v>
      </c>
      <c r="R37" s="1572" t="s">
        <v>8</v>
      </c>
      <c r="S37" s="1573">
        <f t="shared" si="10"/>
        <v>100</v>
      </c>
      <c r="T37" s="1572" t="s">
        <v>8</v>
      </c>
      <c r="U37" s="1573">
        <f t="shared" si="11"/>
        <v>100</v>
      </c>
      <c r="V37" s="1572" t="s">
        <v>8</v>
      </c>
      <c r="W37" s="1573">
        <f t="shared" si="12"/>
        <v>100</v>
      </c>
      <c r="X37" s="1566"/>
      <c r="Y37" s="3370"/>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1" t="s">
        <v>550</v>
      </c>
      <c r="Q38" s="1571">
        <f t="shared" si="8"/>
        <v>111</v>
      </c>
      <c r="R38" s="1572" t="s">
        <v>8</v>
      </c>
      <c r="S38" s="1573">
        <f t="shared" si="10"/>
        <v>100</v>
      </c>
      <c r="T38" s="1572" t="s">
        <v>8</v>
      </c>
      <c r="U38" s="1573">
        <f t="shared" si="11"/>
        <v>100</v>
      </c>
      <c r="V38" s="1572" t="s">
        <v>8</v>
      </c>
      <c r="W38" s="1573">
        <f t="shared" si="12"/>
        <v>100</v>
      </c>
      <c r="X38" s="1566"/>
      <c r="Y38" s="3372" t="s">
        <v>550</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2"/>
      <c r="Q39" s="1571">
        <f t="shared" si="8"/>
        <v>111</v>
      </c>
      <c r="R39" s="1576" t="s">
        <v>8</v>
      </c>
      <c r="S39" s="1577">
        <f t="shared" si="10"/>
        <v>100</v>
      </c>
      <c r="T39" s="1576" t="s">
        <v>8</v>
      </c>
      <c r="U39" s="1577">
        <f t="shared" si="11"/>
        <v>100</v>
      </c>
      <c r="V39" s="1576" t="s">
        <v>8</v>
      </c>
      <c r="W39" s="1577">
        <f t="shared" si="12"/>
        <v>100</v>
      </c>
      <c r="X39" s="1578"/>
      <c r="Y39" s="3372"/>
      <c r="Z39" s="1579">
        <f t="shared" si="13"/>
        <v>111</v>
      </c>
      <c r="AA39" s="1575">
        <f t="shared" si="3"/>
        <v>1</v>
      </c>
      <c r="AB39" s="1575">
        <f t="shared" si="4"/>
        <v>1</v>
      </c>
      <c r="AC39" s="1575">
        <f t="shared" si="5"/>
        <v>1</v>
      </c>
    </row>
    <row r="40" spans="1:29" ht="20.25">
      <c r="A40" s="2931" t="s">
        <v>2757</v>
      </c>
      <c r="B40" s="595" t="s">
        <v>552</v>
      </c>
      <c r="C40" s="596">
        <f>'数据-基础表'!A3</f>
        <v>95947</v>
      </c>
      <c r="D40" s="597">
        <v>100</v>
      </c>
      <c r="E40" s="596">
        <f>土地案例!J4</f>
        <v>20291.37</v>
      </c>
      <c r="F40" s="597">
        <f>LOOKUP(E40,119:119,120:120)-LOOKUP(C40,119:119,120:120)+100</f>
        <v>94</v>
      </c>
      <c r="G40" s="596">
        <f>土地案例!J14</f>
        <v>31048.69</v>
      </c>
      <c r="H40" s="597">
        <f>LOOKUP(G40,119:119,120:120)-LOOKUP(C40,119:119,120:120)+100</f>
        <v>94</v>
      </c>
      <c r="I40" s="598">
        <f>土地案例!J20</f>
        <v>50662.6</v>
      </c>
      <c r="J40" s="597">
        <f>LOOKUP(I40,119:119,120:120)-LOOKUP(C40,119:119,120:120)+100</f>
        <v>96</v>
      </c>
      <c r="K40" s="581"/>
      <c r="L40" s="2142"/>
      <c r="M40" s="2132"/>
      <c r="N40" s="2132"/>
      <c r="O40" s="2141"/>
      <c r="P40" s="3372"/>
      <c r="Q40" s="1571" t="str">
        <f>B40</f>
        <v>宗地面积</v>
      </c>
      <c r="R40" s="1572" t="s">
        <v>8</v>
      </c>
      <c r="S40" s="1573">
        <f t="shared" si="10"/>
        <v>94</v>
      </c>
      <c r="T40" s="1572" t="s">
        <v>8</v>
      </c>
      <c r="U40" s="1573">
        <f t="shared" si="11"/>
        <v>94</v>
      </c>
      <c r="V40" s="1572" t="s">
        <v>8</v>
      </c>
      <c r="W40" s="1573">
        <f t="shared" si="12"/>
        <v>96</v>
      </c>
      <c r="X40" s="1566"/>
      <c r="Y40" s="3372"/>
      <c r="Z40" s="1574" t="str">
        <f t="shared" si="13"/>
        <v>宗地面积</v>
      </c>
      <c r="AA40" s="1575">
        <f t="shared" si="3"/>
        <v>1.0638297872340425</v>
      </c>
      <c r="AB40" s="1575">
        <f t="shared" si="4"/>
        <v>1.0638297872340425</v>
      </c>
      <c r="AC40" s="1575">
        <f t="shared" si="5"/>
        <v>1.0416666666666667</v>
      </c>
    </row>
    <row r="41" spans="1:29" ht="20.25">
      <c r="A41" s="594"/>
      <c r="B41" s="527" t="s">
        <v>553</v>
      </c>
      <c r="C41" s="599" t="s">
        <v>3350</v>
      </c>
      <c r="D41" s="540">
        <v>100</v>
      </c>
      <c r="E41" s="599" t="s">
        <v>3350</v>
      </c>
      <c r="F41" s="540">
        <f>SUMIF(121:121,E41,122:122)-SUMIF(121:121,C41,122:122)+100</f>
        <v>100</v>
      </c>
      <c r="G41" s="599" t="s">
        <v>3350</v>
      </c>
      <c r="H41" s="540">
        <f>SUMIF(121:121,G41,122:122)-SUMIF(121:121,C41,122:122)+100</f>
        <v>100</v>
      </c>
      <c r="I41" s="599" t="s">
        <v>3350</v>
      </c>
      <c r="J41" s="540">
        <f>SUMIF(121:121,I41,122:122)-SUMIF(121:121,C41,122:122)+100</f>
        <v>100</v>
      </c>
      <c r="K41" s="584">
        <v>1</v>
      </c>
      <c r="L41" s="2142"/>
      <c r="M41" s="2132"/>
      <c r="N41" s="2132"/>
      <c r="O41" s="2141"/>
      <c r="P41" s="3372"/>
      <c r="Q41" s="1571" t="str">
        <f t="shared" ref="Q41:Q47" si="14">B41</f>
        <v>宗地形状</v>
      </c>
      <c r="R41" s="1572" t="s">
        <v>8</v>
      </c>
      <c r="S41" s="1573">
        <f t="shared" si="10"/>
        <v>100</v>
      </c>
      <c r="T41" s="1572" t="s">
        <v>8</v>
      </c>
      <c r="U41" s="1573">
        <f t="shared" si="11"/>
        <v>100</v>
      </c>
      <c r="V41" s="1572" t="s">
        <v>8</v>
      </c>
      <c r="W41" s="1573">
        <f t="shared" si="12"/>
        <v>100</v>
      </c>
      <c r="X41" s="1566"/>
      <c r="Y41" s="3372"/>
      <c r="Z41" s="1574" t="str">
        <f t="shared" si="13"/>
        <v>宗地形状</v>
      </c>
      <c r="AA41" s="1575">
        <f t="shared" si="3"/>
        <v>1</v>
      </c>
      <c r="AB41" s="1575">
        <f t="shared" si="4"/>
        <v>1</v>
      </c>
      <c r="AC41" s="1575">
        <f t="shared" si="5"/>
        <v>1</v>
      </c>
    </row>
    <row r="42" spans="1:29" ht="42.75">
      <c r="A42" s="594"/>
      <c r="B42" s="527" t="s">
        <v>554</v>
      </c>
      <c r="C42" s="599" t="s">
        <v>3359</v>
      </c>
      <c r="D42" s="540">
        <v>100</v>
      </c>
      <c r="E42" s="599" t="s">
        <v>3359</v>
      </c>
      <c r="F42" s="540">
        <f>SUMIF(123:123,E42,124:124)-SUMIF(123:123,C42,124:124)+100</f>
        <v>100</v>
      </c>
      <c r="G42" s="599" t="s">
        <v>3359</v>
      </c>
      <c r="H42" s="540">
        <f>SUMIF(123:123,G42,124:124)-SUMIF(123:123,C42,124:124)+100</f>
        <v>100</v>
      </c>
      <c r="I42" s="599" t="s">
        <v>3359</v>
      </c>
      <c r="J42" s="540">
        <f>SUMIF(123:123,I42,124:124)-SUMIF(123:123,C42,124:124)+100</f>
        <v>100</v>
      </c>
      <c r="K42" s="584">
        <v>1</v>
      </c>
      <c r="L42" s="2142"/>
      <c r="M42" s="2132"/>
      <c r="N42" s="2132"/>
      <c r="O42" s="2141"/>
      <c r="P42" s="3372"/>
      <c r="Q42" s="1571" t="str">
        <f t="shared" si="14"/>
        <v>临街宽度及深度</v>
      </c>
      <c r="R42" s="1572" t="s">
        <v>8</v>
      </c>
      <c r="S42" s="1573">
        <f t="shared" si="10"/>
        <v>100</v>
      </c>
      <c r="T42" s="1572" t="s">
        <v>8</v>
      </c>
      <c r="U42" s="1573">
        <f t="shared" si="11"/>
        <v>100</v>
      </c>
      <c r="V42" s="1572" t="s">
        <v>8</v>
      </c>
      <c r="W42" s="1573">
        <f t="shared" si="12"/>
        <v>100</v>
      </c>
      <c r="X42" s="1566"/>
      <c r="Y42" s="3372"/>
      <c r="Z42" s="1574" t="str">
        <f t="shared" si="13"/>
        <v>临街宽度及深度</v>
      </c>
      <c r="AA42" s="1575">
        <f t="shared" si="3"/>
        <v>1</v>
      </c>
      <c r="AB42" s="1575">
        <f t="shared" si="4"/>
        <v>1</v>
      </c>
      <c r="AC42" s="1575">
        <f t="shared" si="5"/>
        <v>1</v>
      </c>
    </row>
    <row r="43" spans="1:29" s="1220" customFormat="1" ht="20.25">
      <c r="A43" s="600"/>
      <c r="B43" s="1895" t="s">
        <v>2427</v>
      </c>
      <c r="C43" s="601" t="s">
        <v>3330</v>
      </c>
      <c r="D43" s="255">
        <v>100</v>
      </c>
      <c r="E43" s="601" t="s">
        <v>3333</v>
      </c>
      <c r="F43" s="540">
        <f>SUMIF(125:125,E43,126:126)-SUMIF(125:125,C43,126:126)+100</f>
        <v>98</v>
      </c>
      <c r="G43" s="601" t="s">
        <v>3328</v>
      </c>
      <c r="H43" s="540">
        <f>SUMIF(125:125,G43,126:126)-SUMIF(125:125,C43,126:126)+100</f>
        <v>101</v>
      </c>
      <c r="I43" s="601" t="s">
        <v>3328</v>
      </c>
      <c r="J43" s="540">
        <f>SUMIF(125:125,I43,126:126)-SUMIF(125:125,C43,126:126)+100</f>
        <v>101</v>
      </c>
      <c r="K43" s="584">
        <v>1</v>
      </c>
      <c r="L43" s="2135"/>
      <c r="M43" s="2132"/>
      <c r="N43" s="2132"/>
      <c r="O43" s="2137"/>
      <c r="P43" s="3372"/>
      <c r="Q43" s="1571" t="str">
        <f t="shared" si="14"/>
        <v>宗地开发程度</v>
      </c>
      <c r="R43" s="1567" t="s">
        <v>8</v>
      </c>
      <c r="S43" s="1568">
        <f t="shared" si="10"/>
        <v>98</v>
      </c>
      <c r="T43" s="1567" t="s">
        <v>8</v>
      </c>
      <c r="U43" s="1568">
        <f t="shared" si="11"/>
        <v>101</v>
      </c>
      <c r="V43" s="1567" t="s">
        <v>8</v>
      </c>
      <c r="W43" s="1568">
        <f t="shared" si="12"/>
        <v>101</v>
      </c>
      <c r="X43" s="1569"/>
      <c r="Y43" s="3372"/>
      <c r="Z43" s="1150" t="str">
        <f t="shared" si="13"/>
        <v>宗地开发程度</v>
      </c>
      <c r="AA43" s="1570">
        <f t="shared" si="3"/>
        <v>1.0204081632653061</v>
      </c>
      <c r="AB43" s="1570">
        <f t="shared" si="4"/>
        <v>0.99009900990099009</v>
      </c>
      <c r="AC43" s="1570">
        <f t="shared" si="5"/>
        <v>0.99009900990099009</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v>1</v>
      </c>
      <c r="L44" s="2142"/>
      <c r="M44" s="2132"/>
      <c r="N44" s="2132"/>
      <c r="O44" s="2141"/>
      <c r="P44" s="3372" t="s">
        <v>550</v>
      </c>
      <c r="Q44" s="1571" t="str">
        <f t="shared" si="14"/>
        <v>工程地质条件</v>
      </c>
      <c r="R44" s="1572" t="s">
        <v>8</v>
      </c>
      <c r="S44" s="1573">
        <f t="shared" si="10"/>
        <v>100</v>
      </c>
      <c r="T44" s="1572" t="s">
        <v>8</v>
      </c>
      <c r="U44" s="1573">
        <f t="shared" si="11"/>
        <v>100</v>
      </c>
      <c r="V44" s="1572" t="s">
        <v>8</v>
      </c>
      <c r="W44" s="1573">
        <f t="shared" si="12"/>
        <v>100</v>
      </c>
      <c r="X44" s="1566"/>
      <c r="Y44" s="3372"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2"/>
      <c r="Q45" s="1571">
        <f t="shared" si="14"/>
        <v>111</v>
      </c>
      <c r="R45" s="1572" t="s">
        <v>8</v>
      </c>
      <c r="S45" s="1573">
        <f t="shared" si="10"/>
        <v>100</v>
      </c>
      <c r="T45" s="1572" t="s">
        <v>8</v>
      </c>
      <c r="U45" s="1573">
        <f t="shared" si="11"/>
        <v>100</v>
      </c>
      <c r="V45" s="1572" t="s">
        <v>8</v>
      </c>
      <c r="W45" s="1573">
        <f t="shared" si="12"/>
        <v>100</v>
      </c>
      <c r="X45" s="1566"/>
      <c r="Y45" s="3372"/>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2"/>
      <c r="Q46" s="1571">
        <f t="shared" si="14"/>
        <v>111</v>
      </c>
      <c r="R46" s="1572" t="s">
        <v>8</v>
      </c>
      <c r="S46" s="1573">
        <f t="shared" si="10"/>
        <v>100</v>
      </c>
      <c r="T46" s="1572" t="s">
        <v>8</v>
      </c>
      <c r="U46" s="1573">
        <f t="shared" si="11"/>
        <v>100</v>
      </c>
      <c r="V46" s="1572" t="s">
        <v>8</v>
      </c>
      <c r="W46" s="1573">
        <f t="shared" si="12"/>
        <v>100</v>
      </c>
      <c r="X46" s="1566"/>
      <c r="Y46" s="3372"/>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2"/>
      <c r="Q47" s="1571">
        <f t="shared" si="14"/>
        <v>111</v>
      </c>
      <c r="R47" s="1576" t="s">
        <v>8</v>
      </c>
      <c r="S47" s="1577">
        <f t="shared" si="10"/>
        <v>100</v>
      </c>
      <c r="T47" s="1576" t="s">
        <v>8</v>
      </c>
      <c r="U47" s="1577">
        <f t="shared" si="11"/>
        <v>100</v>
      </c>
      <c r="V47" s="1576" t="s">
        <v>8</v>
      </c>
      <c r="W47" s="1577">
        <f t="shared" si="12"/>
        <v>100</v>
      </c>
      <c r="X47" s="1578"/>
      <c r="Y47" s="3372"/>
      <c r="Z47" s="1579">
        <f t="shared" si="13"/>
        <v>111</v>
      </c>
      <c r="AA47" s="1575">
        <f t="shared" si="3"/>
        <v>1</v>
      </c>
      <c r="AB47" s="1575">
        <f t="shared" si="4"/>
        <v>1</v>
      </c>
      <c r="AC47" s="1575">
        <f t="shared" si="5"/>
        <v>1</v>
      </c>
    </row>
    <row r="48" spans="1:29" ht="20.25">
      <c r="A48" s="607" t="s">
        <v>556</v>
      </c>
      <c r="B48" s="608" t="s">
        <v>3239</v>
      </c>
      <c r="C48" s="609" t="s">
        <v>1</v>
      </c>
      <c r="D48" s="610"/>
      <c r="E48" s="611">
        <f>ROUND(土地案例!AK4,0)</f>
        <v>17194</v>
      </c>
      <c r="F48" s="612"/>
      <c r="G48" s="613">
        <f>ROUND(土地案例!AK14,0)</f>
        <v>18874</v>
      </c>
      <c r="H48" s="614"/>
      <c r="I48" s="611">
        <f>ROUND(土地案例!AK20,0)</f>
        <v>20824</v>
      </c>
      <c r="J48" s="614"/>
      <c r="K48" s="1340"/>
      <c r="L48" s="2144"/>
      <c r="M48" s="2132"/>
      <c r="N48" s="2132"/>
      <c r="O48" s="2145"/>
      <c r="P48" s="3367" t="str">
        <f>A48</f>
        <v>成交单价</v>
      </c>
      <c r="Q48" s="3367"/>
      <c r="R48" s="3381">
        <f>E48</f>
        <v>17194</v>
      </c>
      <c r="S48" s="3381"/>
      <c r="T48" s="3381">
        <f>G48</f>
        <v>18874</v>
      </c>
      <c r="U48" s="3381"/>
      <c r="V48" s="3381">
        <f>I48</f>
        <v>20824</v>
      </c>
      <c r="W48" s="3381"/>
      <c r="X48" s="1558"/>
      <c r="Y48" s="1580"/>
      <c r="Z48" s="1558"/>
      <c r="AA48" s="1558"/>
      <c r="AB48" s="1558"/>
      <c r="AC48" s="1558"/>
    </row>
    <row r="49" spans="1:29" ht="21" thickBot="1">
      <c r="A49" s="615" t="s">
        <v>2695</v>
      </c>
      <c r="B49" s="616"/>
      <c r="C49" s="617">
        <f>R50</f>
        <v>19190</v>
      </c>
      <c r="D49" s="618"/>
      <c r="E49" s="617">
        <f>R49</f>
        <v>17592</v>
      </c>
      <c r="F49" s="619"/>
      <c r="G49" s="620">
        <f>T49</f>
        <v>19506</v>
      </c>
      <c r="H49" s="618"/>
      <c r="I49" s="617">
        <f>V49</f>
        <v>20471</v>
      </c>
      <c r="J49" s="618"/>
      <c r="K49" s="1341"/>
      <c r="L49" s="2144"/>
      <c r="M49" s="2132"/>
      <c r="N49" s="2132"/>
      <c r="O49" s="2145"/>
      <c r="P49" s="3367" t="str">
        <f>A49</f>
        <v>比较价格（元/平方米）</v>
      </c>
      <c r="Q49" s="3367"/>
      <c r="R49" s="3391">
        <f>ROUND(PRODUCT(R48,AA9:AA47),0)</f>
        <v>17592</v>
      </c>
      <c r="S49" s="3391"/>
      <c r="T49" s="3391">
        <f>ROUND(PRODUCT(T48,AB9:AB47),0)</f>
        <v>19506</v>
      </c>
      <c r="U49" s="3391"/>
      <c r="V49" s="3391">
        <f>ROUND(PRODUCT(V48,AC9:AC47),0)</f>
        <v>20471</v>
      </c>
      <c r="W49" s="3391"/>
      <c r="X49" s="1558"/>
      <c r="Y49" s="1558"/>
      <c r="Z49" s="1558"/>
      <c r="AA49" s="1558"/>
      <c r="AB49" s="1558"/>
      <c r="AC49" s="1558"/>
    </row>
    <row r="50" spans="1:29" ht="21" thickBot="1">
      <c r="A50" s="621" t="s">
        <v>2938</v>
      </c>
      <c r="B50" s="622"/>
      <c r="C50" s="623">
        <f>R50</f>
        <v>19190</v>
      </c>
      <c r="D50" s="623"/>
      <c r="E50" s="623"/>
      <c r="F50" s="623"/>
      <c r="G50" s="623"/>
      <c r="H50" s="623"/>
      <c r="I50" s="623"/>
      <c r="J50" s="623"/>
      <c r="K50" s="1342"/>
      <c r="L50" s="2144"/>
      <c r="M50" s="2132"/>
      <c r="N50" s="2132"/>
      <c r="O50" s="2145"/>
      <c r="P50" s="3388" t="str">
        <f>A50</f>
        <v>估价对象XX用房的比较价格（楼面单价，元/平方米）</v>
      </c>
      <c r="Q50" s="3389"/>
      <c r="R50" s="3390">
        <f>ROUND(AVERAGE(R49:V49),0)</f>
        <v>19190</v>
      </c>
      <c r="S50" s="3390"/>
      <c r="T50" s="3390"/>
      <c r="U50" s="3390"/>
      <c r="V50" s="3390"/>
      <c r="W50" s="339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2.314760963126683E-2</v>
      </c>
      <c r="F53" s="627" t="str">
        <f>IF(OR(E53&gt;=0.3,E53&lt;=-0.3),"超过30%","")</f>
        <v/>
      </c>
      <c r="G53" s="626">
        <f>IF(G48&lt;G49,G49/G48-1,G48/G49-1)</f>
        <v>3.3485217759881225E-2</v>
      </c>
      <c r="H53" s="627" t="str">
        <f>IF(OR(G53&gt;=0.3,G53&lt;=-0.3),"超过30%","")</f>
        <v/>
      </c>
      <c r="I53" s="626">
        <f>IF(I48&lt;I49,I49/I48-1,I48/I49-1)</f>
        <v>1.724390601338488E-2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0.108799454297408</v>
      </c>
      <c r="F54" s="627" t="str">
        <f>IF(OR(E54&gt;=0.2,E54&lt;=-0.2),"超过20%","")</f>
        <v/>
      </c>
      <c r="G54" s="626">
        <f>IF(G49&lt;I49,I49/G49-1,G49/I49-1)</f>
        <v>4.9471957346457485E-2</v>
      </c>
      <c r="H54" s="627" t="str">
        <f>IF(OR(G54&gt;=0.2,G54&lt;=-0.2),"超过20%","")</f>
        <v/>
      </c>
      <c r="I54" s="626">
        <f>IF(I49&lt;E49,E49/I49-1,I49/E49-1)</f>
        <v>0.16365393360618463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9.7708502966151078E-2</v>
      </c>
      <c r="F55" s="627" t="str">
        <f>IF(OR(E55&gt;=0.3,E55&lt;=-0.3),"超过30%","")</f>
        <v/>
      </c>
      <c r="G55" s="626">
        <f>IF(G48&lt;I48,I48/G48-1,G48/I48-1)</f>
        <v>0.10331673201229208</v>
      </c>
      <c r="H55" s="627" t="str">
        <f>IF(OR(G55&gt;=0.3,G55&lt;=-0.3),"超过30%","")</f>
        <v/>
      </c>
      <c r="I55" s="626">
        <f>IF(I48&lt;E48,E48/I48-1,I48/E48-1)</f>
        <v>0.21112015819471908</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2295</v>
      </c>
      <c r="E57" s="631" t="s">
        <v>562</v>
      </c>
      <c r="F57" s="632" t="s">
        <v>563</v>
      </c>
      <c r="G57" s="3351" t="s">
        <v>2283</v>
      </c>
      <c r="H57" s="3352"/>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19190</v>
      </c>
      <c r="C58" s="635">
        <v>1</v>
      </c>
      <c r="D58" s="2228">
        <v>1</v>
      </c>
      <c r="E58" s="635">
        <f>'数据-汇总表'!E8+'数据-汇总表'!E9</f>
        <v>210046.65</v>
      </c>
      <c r="F58" s="636">
        <f t="shared" ref="F58:F67" si="15">ROUND(B58*E58/10000,0)</f>
        <v>403080</v>
      </c>
      <c r="G58" s="3353"/>
      <c r="H58" s="335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2879</v>
      </c>
      <c r="C59" s="378">
        <f t="shared" ref="C59:C67" si="16">IF($C$57="北京市系数",I59,J59)</f>
        <v>0.6</v>
      </c>
      <c r="D59" s="2229">
        <v>0.25</v>
      </c>
      <c r="E59" s="639">
        <v>0</v>
      </c>
      <c r="F59" s="636">
        <f t="shared" si="15"/>
        <v>0</v>
      </c>
      <c r="G59" s="3355" t="s">
        <v>2284</v>
      </c>
      <c r="H59" s="1948" t="str">
        <f>项目基本情况!B43</f>
        <v>九级</v>
      </c>
      <c r="I59" s="1555">
        <f>SUMIF(修正!$A$45:$A$56,H59,修正!B45:B56)</f>
        <v>0.6</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1439</v>
      </c>
      <c r="C60" s="378">
        <f t="shared" si="16"/>
        <v>0.3</v>
      </c>
      <c r="D60" s="2229">
        <v>0.25</v>
      </c>
      <c r="E60" s="639">
        <v>0</v>
      </c>
      <c r="F60" s="636">
        <f t="shared" si="15"/>
        <v>0</v>
      </c>
      <c r="G60" s="3355"/>
      <c r="H60" s="1948" t="str">
        <f>项目基本情况!B43</f>
        <v>九级</v>
      </c>
      <c r="I60" s="1555">
        <f>SUMIF(修正!$A$45:$A$56,H60,修正!C45:C56)</f>
        <v>0.3</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960</v>
      </c>
      <c r="C61" s="378">
        <f t="shared" si="16"/>
        <v>0.2</v>
      </c>
      <c r="D61" s="2229">
        <v>0.25</v>
      </c>
      <c r="E61" s="639">
        <v>0</v>
      </c>
      <c r="F61" s="636">
        <f t="shared" si="15"/>
        <v>0</v>
      </c>
      <c r="G61" s="3355"/>
      <c r="H61" s="1948" t="str">
        <f>项目基本情况!B43</f>
        <v>九级</v>
      </c>
      <c r="I61" s="1555">
        <f>SUMIF(修正!$A$45:$A$56,H61,修正!D45:D56)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960</v>
      </c>
      <c r="C62" s="378">
        <f t="shared" si="16"/>
        <v>0.2</v>
      </c>
      <c r="D62" s="2229">
        <v>0.25</v>
      </c>
      <c r="E62" s="639">
        <v>0</v>
      </c>
      <c r="F62" s="636">
        <f t="shared" si="15"/>
        <v>0</v>
      </c>
      <c r="G62" s="3355"/>
      <c r="H62" s="1948" t="str">
        <f>项目基本情况!B43</f>
        <v>九级</v>
      </c>
      <c r="I62" s="1555">
        <f>SUMIF(修正!$A$45:$A$56,H62,修正!E45:E56)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960</v>
      </c>
      <c r="C63" s="378">
        <f t="shared" si="16"/>
        <v>0.2</v>
      </c>
      <c r="D63" s="2229">
        <v>0.25</v>
      </c>
      <c r="E63" s="641">
        <f>'数据-汇总表'!E11</f>
        <v>95.98</v>
      </c>
      <c r="F63" s="636">
        <f t="shared" si="15"/>
        <v>9</v>
      </c>
      <c r="G63" s="1945" t="s">
        <v>2285</v>
      </c>
      <c r="H63" s="1948" t="str">
        <f>项目基本情况!C43</f>
        <v>九级</v>
      </c>
      <c r="I63" s="1555">
        <f>SUMIF(修正!$A$45:$A$56,H63,修正!F45:F56)</f>
        <v>0.2</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960</v>
      </c>
      <c r="C64" s="378">
        <f t="shared" si="16"/>
        <v>0.2</v>
      </c>
      <c r="D64" s="2229">
        <v>0.25</v>
      </c>
      <c r="E64" s="641">
        <f>'数据-汇总表'!E12</f>
        <v>15958.279999999999</v>
      </c>
      <c r="F64" s="636">
        <f t="shared" si="15"/>
        <v>1532</v>
      </c>
      <c r="G64" s="1946" t="s">
        <v>1678</v>
      </c>
      <c r="H64" s="1944" t="str">
        <f>IF(G64="商业",项目基本情况!B43,IF(G64="办公",项目基本情况!C43,IF(G64="住宅",项目基本情况!D43,项目基本情况!E43)))</f>
        <v>九级</v>
      </c>
      <c r="I64" s="1555">
        <f>SUMIF(修正!$A$45:$A$56,H64,修正!G45:G56)</f>
        <v>0.2</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720</v>
      </c>
      <c r="C65" s="378">
        <f t="shared" si="16"/>
        <v>0.15</v>
      </c>
      <c r="D65" s="2229">
        <v>0.25</v>
      </c>
      <c r="E65" s="641">
        <f>'数据-汇总表'!E13</f>
        <v>43547.97</v>
      </c>
      <c r="F65" s="636">
        <f t="shared" si="15"/>
        <v>3135</v>
      </c>
      <c r="G65" s="1946" t="s">
        <v>923</v>
      </c>
      <c r="H65" s="1944" t="str">
        <f>IF(G65="商业",项目基本情况!B43,IF(G65="办公",项目基本情况!C43,IF(G65="住宅",项目基本情况!D43,项目基本情况!E43)))</f>
        <v>九级</v>
      </c>
      <c r="I65" s="1555">
        <f>SUMIF(修正!$A$45:$A$56,H65,修正!H45:H56)</f>
        <v>0.15</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720</v>
      </c>
      <c r="C66" s="378">
        <f t="shared" si="16"/>
        <v>0.15</v>
      </c>
      <c r="D66" s="2229">
        <v>0.25</v>
      </c>
      <c r="E66" s="641">
        <f>'数据-汇总表'!E14</f>
        <v>0</v>
      </c>
      <c r="F66" s="636">
        <f t="shared" si="15"/>
        <v>0</v>
      </c>
      <c r="G66" s="1945" t="s">
        <v>2284</v>
      </c>
      <c r="H66" s="1948" t="str">
        <f>项目基本情况!B43</f>
        <v>九级</v>
      </c>
      <c r="I66" s="1555">
        <f>SUMIF(修正!$A$45:$A$56,H66,修正!H45:H56)</f>
        <v>0.15</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720</v>
      </c>
      <c r="C67" s="378">
        <f t="shared" si="16"/>
        <v>0.15</v>
      </c>
      <c r="D67" s="2229">
        <v>0.25</v>
      </c>
      <c r="E67" s="641">
        <f>'数据-汇总表'!E15</f>
        <v>0</v>
      </c>
      <c r="F67" s="636">
        <f t="shared" si="15"/>
        <v>0</v>
      </c>
      <c r="G67" s="1947" t="s">
        <v>2285</v>
      </c>
      <c r="H67" s="1949" t="str">
        <f>项目基本情况!C43</f>
        <v>九级</v>
      </c>
      <c r="I67" s="1555">
        <f>SUMIF(修正!$A$45:$A$56,H67,修正!H45:H56)</f>
        <v>0.15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269648.88</v>
      </c>
      <c r="F68" s="644">
        <f>IF(B48="楼面地价",SUM(F58:F67),ROUND(C50*E68/10000,0))</f>
        <v>407756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92" t="s">
        <v>2535</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923</v>
      </c>
      <c r="B73" s="479" t="str">
        <f>"北京市平均增长率"&amp;TEXT(SUMIF(基准地价!N21:N25,A73,基准地价!P21:P25),"0.00%")</f>
        <v>北京市平均增长率2.50%</v>
      </c>
      <c r="C73" s="894">
        <v>100</v>
      </c>
      <c r="D73" s="730">
        <v>99</v>
      </c>
      <c r="E73" s="730">
        <v>98</v>
      </c>
      <c r="F73" s="730">
        <v>97</v>
      </c>
      <c r="G73" s="730">
        <v>96</v>
      </c>
      <c r="H73" s="730">
        <v>95</v>
      </c>
      <c r="I73" s="730">
        <v>94</v>
      </c>
      <c r="J73" s="730">
        <v>93</v>
      </c>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2649</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69.75">
      <c r="A77" s="664" t="s">
        <v>577</v>
      </c>
      <c r="B77" s="665" t="s">
        <v>534</v>
      </c>
      <c r="C77" s="598" t="s">
        <v>3241</v>
      </c>
      <c r="D77" s="598" t="s">
        <v>3243</v>
      </c>
      <c r="E77" s="598" t="s">
        <v>3245</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505" t="s">
        <v>3344</v>
      </c>
      <c r="D108" s="3505" t="s">
        <v>3345</v>
      </c>
      <c r="E108" s="3505" t="s">
        <v>3346</v>
      </c>
      <c r="F108" s="3505" t="s">
        <v>3347</v>
      </c>
      <c r="G108" s="3505" t="s">
        <v>3348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39.75" thickTop="1" thickBot="1">
      <c r="A121" s="735"/>
      <c r="B121" s="673" t="s">
        <v>594</v>
      </c>
      <c r="C121" s="3507" t="s">
        <v>3349</v>
      </c>
      <c r="D121" s="3508" t="s">
        <v>3350</v>
      </c>
      <c r="E121" s="3508" t="s">
        <v>2941</v>
      </c>
      <c r="F121" s="3508" t="s">
        <v>3351</v>
      </c>
      <c r="G121" s="3508" t="s">
        <v>3352</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68.25" thickTop="1">
      <c r="A123" s="735"/>
      <c r="B123" s="673" t="s">
        <v>595</v>
      </c>
      <c r="C123" s="3505" t="s">
        <v>3353</v>
      </c>
      <c r="D123" s="3505" t="s">
        <v>3354</v>
      </c>
      <c r="E123" s="3505" t="s">
        <v>3355</v>
      </c>
      <c r="F123" s="3506" t="s">
        <v>3356</v>
      </c>
      <c r="G123" s="3506" t="s">
        <v>3357</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4" t="s">
        <v>3327</v>
      </c>
      <c r="D125" s="1374" t="s">
        <v>3329</v>
      </c>
      <c r="E125" s="1374" t="s">
        <v>3331</v>
      </c>
      <c r="F125" s="1374" t="s">
        <v>3332</v>
      </c>
      <c r="G125" s="1374" t="s">
        <v>3334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05" t="s">
        <v>3336</v>
      </c>
      <c r="D127" s="3505" t="s">
        <v>3338</v>
      </c>
      <c r="E127" s="3506" t="s">
        <v>3340</v>
      </c>
      <c r="F127" s="3506" t="s">
        <v>3342</v>
      </c>
      <c r="G127" s="3506" t="s">
        <v>3343</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73" t="s">
        <v>522</v>
      </c>
      <c r="D6" s="3374"/>
      <c r="E6" s="3397" t="s">
        <v>523</v>
      </c>
      <c r="F6" s="3398"/>
      <c r="G6" s="3373" t="s">
        <v>524</v>
      </c>
      <c r="H6" s="3374"/>
      <c r="I6" s="3373" t="s">
        <v>525</v>
      </c>
      <c r="J6" s="3374"/>
      <c r="K6" s="514" t="s">
        <v>526</v>
      </c>
      <c r="L6" s="2133"/>
      <c r="M6" s="2134"/>
      <c r="N6" s="2134"/>
      <c r="O6" s="2134"/>
      <c r="P6" s="3375" t="s">
        <v>527</v>
      </c>
      <c r="Q6" s="3376"/>
      <c r="R6" s="3361" t="s">
        <v>523</v>
      </c>
      <c r="S6" s="3362"/>
      <c r="T6" s="3361" t="s">
        <v>524</v>
      </c>
      <c r="U6" s="3362"/>
      <c r="V6" s="3381" t="s">
        <v>525</v>
      </c>
      <c r="W6" s="3381"/>
      <c r="X6" s="1566"/>
      <c r="Y6" s="3361" t="s">
        <v>527</v>
      </c>
      <c r="Z6" s="3362"/>
      <c r="AA6" s="3356" t="s">
        <v>523</v>
      </c>
      <c r="AB6" s="3357" t="s">
        <v>524</v>
      </c>
      <c r="AC6" s="3356" t="s">
        <v>525</v>
      </c>
    </row>
    <row r="7" spans="1:29" ht="15">
      <c r="A7" s="515"/>
      <c r="B7" s="516"/>
      <c r="C7" s="3384" t="s">
        <v>2932</v>
      </c>
      <c r="D7" s="3385"/>
      <c r="E7" s="3399" t="s">
        <v>2933</v>
      </c>
      <c r="F7" s="3400"/>
      <c r="G7" s="3384" t="s">
        <v>2934</v>
      </c>
      <c r="H7" s="3385"/>
      <c r="I7" s="3384" t="s">
        <v>2935</v>
      </c>
      <c r="J7" s="3385"/>
      <c r="K7" s="514"/>
      <c r="L7" s="2133"/>
      <c r="M7" s="2134"/>
      <c r="N7" s="2134"/>
      <c r="O7" s="2134"/>
      <c r="P7" s="3377"/>
      <c r="Q7" s="3378"/>
      <c r="R7" s="3363"/>
      <c r="S7" s="3364"/>
      <c r="T7" s="3363"/>
      <c r="U7" s="3364"/>
      <c r="V7" s="3381"/>
      <c r="W7" s="3381"/>
      <c r="X7" s="1566"/>
      <c r="Y7" s="3363"/>
      <c r="Z7" s="3364"/>
      <c r="AA7" s="3357"/>
      <c r="AB7" s="3357"/>
      <c r="AC7" s="3357"/>
    </row>
    <row r="8" spans="1:29" ht="15.75" thickBot="1">
      <c r="A8" s="517"/>
      <c r="B8" s="518"/>
      <c r="C8" s="3382" t="s">
        <v>2936</v>
      </c>
      <c r="D8" s="3383"/>
      <c r="E8" s="3401" t="s">
        <v>2936</v>
      </c>
      <c r="F8" s="3402"/>
      <c r="G8" s="3382" t="s">
        <v>2936</v>
      </c>
      <c r="H8" s="3383"/>
      <c r="I8" s="3382" t="s">
        <v>2936</v>
      </c>
      <c r="J8" s="3383"/>
      <c r="K8" s="514" t="s">
        <v>528</v>
      </c>
      <c r="L8" s="2133"/>
      <c r="M8" s="2134"/>
      <c r="N8" s="2134"/>
      <c r="O8" s="2134"/>
      <c r="P8" s="3379"/>
      <c r="Q8" s="3380"/>
      <c r="R8" s="3363"/>
      <c r="S8" s="3364"/>
      <c r="T8" s="3365"/>
      <c r="U8" s="3366"/>
      <c r="V8" s="3381"/>
      <c r="W8" s="3381"/>
      <c r="X8" s="1566"/>
      <c r="Y8" s="3365"/>
      <c r="Z8" s="3366"/>
      <c r="AA8" s="3358"/>
      <c r="AB8" s="3358"/>
      <c r="AC8" s="3358"/>
    </row>
    <row r="9" spans="1:29" s="1220" customFormat="1" ht="15.75" thickBot="1">
      <c r="A9" s="2936"/>
      <c r="B9" s="2943" t="s">
        <v>529</v>
      </c>
      <c r="C9" s="519">
        <f>'数据-取费表'!B2</f>
        <v>43228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59" t="s">
        <v>530</v>
      </c>
      <c r="Q9" s="3368"/>
      <c r="R9" s="1567" t="s">
        <v>8</v>
      </c>
      <c r="S9" s="1568">
        <f t="shared" ref="S9:S17" si="0">F9</f>
        <v>0</v>
      </c>
      <c r="T9" s="1567" t="s">
        <v>8</v>
      </c>
      <c r="U9" s="1568">
        <f t="shared" ref="U9:U17" si="1">H9</f>
        <v>0</v>
      </c>
      <c r="V9" s="1567" t="s">
        <v>8</v>
      </c>
      <c r="W9" s="1568">
        <f t="shared" ref="W9:W17" si="2">J9</f>
        <v>0</v>
      </c>
      <c r="X9" s="1569"/>
      <c r="Y9" s="3359" t="s">
        <v>530</v>
      </c>
      <c r="Z9" s="3360"/>
      <c r="AA9" s="1570" t="e">
        <f>D9/F9</f>
        <v>#DIV/0!</v>
      </c>
      <c r="AB9" s="1570" t="e">
        <f>D9/H9</f>
        <v>#DIV/0!</v>
      </c>
      <c r="AC9" s="1570"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59" t="s">
        <v>533</v>
      </c>
      <c r="Q10" s="3360"/>
      <c r="R10" s="1567" t="s">
        <v>8</v>
      </c>
      <c r="S10" s="1568">
        <f t="shared" si="0"/>
        <v>0</v>
      </c>
      <c r="T10" s="1567" t="s">
        <v>8</v>
      </c>
      <c r="U10" s="1568">
        <f t="shared" si="1"/>
        <v>0</v>
      </c>
      <c r="V10" s="1567" t="s">
        <v>8</v>
      </c>
      <c r="W10" s="1568">
        <f t="shared" si="2"/>
        <v>0</v>
      </c>
      <c r="X10" s="1569"/>
      <c r="Y10" s="3359" t="s">
        <v>533</v>
      </c>
      <c r="Z10" s="3360"/>
      <c r="AA10" s="1570" t="e">
        <f t="shared" ref="AA10:AA42" si="3">D10/F10</f>
        <v>#DIV/0!</v>
      </c>
      <c r="AB10" s="1570" t="e">
        <f t="shared" ref="AB10:AB42" si="4">D10/H10</f>
        <v>#DIV/0!</v>
      </c>
      <c r="AC10" s="1570" t="e">
        <f t="shared" ref="AC10:AC42" si="5">D10/J10</f>
        <v>#DIV/0!</v>
      </c>
    </row>
    <row r="11" spans="1:29" s="1220" customFormat="1" ht="15">
      <c r="A11" s="2938"/>
      <c r="B11" s="2945"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7" t="s">
        <v>535</v>
      </c>
      <c r="Q11" s="1151" t="str">
        <f t="shared" ref="Q11:Q17" si="6">B11</f>
        <v>用途</v>
      </c>
      <c r="R11" s="1567" t="s">
        <v>8</v>
      </c>
      <c r="S11" s="1568">
        <f t="shared" si="0"/>
        <v>100</v>
      </c>
      <c r="T11" s="1567" t="s">
        <v>8</v>
      </c>
      <c r="U11" s="1568">
        <f t="shared" si="1"/>
        <v>100</v>
      </c>
      <c r="V11" s="1567" t="s">
        <v>8</v>
      </c>
      <c r="W11" s="1568">
        <f t="shared" si="2"/>
        <v>100</v>
      </c>
      <c r="X11" s="1569"/>
      <c r="Y11" s="3324" t="s">
        <v>536</v>
      </c>
      <c r="Z11" s="1150" t="str">
        <f t="shared" ref="Z11:Z17" si="7">Q11</f>
        <v>用途</v>
      </c>
      <c r="AA11" s="1570">
        <f t="shared" si="3"/>
        <v>1</v>
      </c>
      <c r="AB11" s="1570">
        <f t="shared" si="4"/>
        <v>1</v>
      </c>
      <c r="AC11" s="1570">
        <f t="shared" si="5"/>
        <v>1</v>
      </c>
    </row>
    <row r="12" spans="1:29" s="1338" customFormat="1" ht="27">
      <c r="A12" s="2939"/>
      <c r="B12" s="2944" t="s">
        <v>2759</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67"/>
      <c r="Q12" s="1151" t="str">
        <f t="shared" si="6"/>
        <v>土地使用年限（年）</v>
      </c>
      <c r="R12" s="1567" t="s">
        <v>8</v>
      </c>
      <c r="S12" s="1568">
        <f t="shared" si="0"/>
        <v>100</v>
      </c>
      <c r="T12" s="1567" t="s">
        <v>8</v>
      </c>
      <c r="U12" s="1568">
        <f t="shared" si="1"/>
        <v>100</v>
      </c>
      <c r="V12" s="1567" t="s">
        <v>8</v>
      </c>
      <c r="W12" s="1568">
        <f t="shared" si="2"/>
        <v>100</v>
      </c>
      <c r="X12" s="1569"/>
      <c r="Y12" s="3324"/>
      <c r="Z12" s="1150" t="str">
        <f t="shared" si="7"/>
        <v>土地使用年限（年）</v>
      </c>
      <c r="AA12" s="1570">
        <f t="shared" si="3"/>
        <v>1</v>
      </c>
      <c r="AB12" s="1570">
        <f t="shared" si="4"/>
        <v>1</v>
      </c>
      <c r="AC12" s="1570">
        <f t="shared" si="5"/>
        <v>1</v>
      </c>
    </row>
    <row r="13" spans="1:29" ht="15">
      <c r="A13" s="2940"/>
      <c r="B13" s="2944"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7"/>
      <c r="Q13" s="1151" t="str">
        <f t="shared" si="6"/>
        <v>容积率</v>
      </c>
      <c r="R13" s="1567" t="s">
        <v>8</v>
      </c>
      <c r="S13" s="1568" t="e">
        <f t="shared" si="0"/>
        <v>#N/A</v>
      </c>
      <c r="T13" s="1567" t="s">
        <v>8</v>
      </c>
      <c r="U13" s="1568" t="e">
        <f t="shared" si="1"/>
        <v>#N/A</v>
      </c>
      <c r="V13" s="1567" t="s">
        <v>8</v>
      </c>
      <c r="W13" s="1568" t="e">
        <f t="shared" si="2"/>
        <v>#N/A</v>
      </c>
      <c r="X13" s="1569"/>
      <c r="Y13" s="3324"/>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7"/>
      <c r="Q14" s="1151">
        <f t="shared" si="6"/>
        <v>111</v>
      </c>
      <c r="R14" s="1567" t="s">
        <v>8</v>
      </c>
      <c r="S14" s="1568">
        <f t="shared" si="0"/>
        <v>100</v>
      </c>
      <c r="T14" s="1567" t="s">
        <v>8</v>
      </c>
      <c r="U14" s="1568">
        <f t="shared" si="1"/>
        <v>100</v>
      </c>
      <c r="V14" s="1567" t="s">
        <v>8</v>
      </c>
      <c r="W14" s="1568">
        <f t="shared" si="2"/>
        <v>100</v>
      </c>
      <c r="X14" s="1569"/>
      <c r="Y14" s="3324"/>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7"/>
      <c r="Q15" s="1151">
        <f t="shared" si="6"/>
        <v>111</v>
      </c>
      <c r="R15" s="1567" t="s">
        <v>8</v>
      </c>
      <c r="S15" s="1568">
        <f t="shared" si="0"/>
        <v>100</v>
      </c>
      <c r="T15" s="1567" t="s">
        <v>8</v>
      </c>
      <c r="U15" s="1568">
        <f t="shared" si="1"/>
        <v>100</v>
      </c>
      <c r="V15" s="1567" t="s">
        <v>8</v>
      </c>
      <c r="W15" s="1568">
        <f t="shared" si="2"/>
        <v>100</v>
      </c>
      <c r="X15" s="1569"/>
      <c r="Y15" s="3324"/>
      <c r="Z15" s="1150">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7"/>
      <c r="Q16" s="1151">
        <f t="shared" si="6"/>
        <v>111</v>
      </c>
      <c r="R16" s="1567" t="s">
        <v>8</v>
      </c>
      <c r="S16" s="1568">
        <f t="shared" si="0"/>
        <v>100</v>
      </c>
      <c r="T16" s="1567" t="s">
        <v>8</v>
      </c>
      <c r="U16" s="1568">
        <f t="shared" si="1"/>
        <v>100</v>
      </c>
      <c r="V16" s="1567" t="s">
        <v>8</v>
      </c>
      <c r="W16" s="1568">
        <f t="shared" si="2"/>
        <v>100</v>
      </c>
      <c r="X16" s="1569"/>
      <c r="Y16" s="3324"/>
      <c r="Z16" s="1150">
        <f t="shared" si="7"/>
        <v>111</v>
      </c>
      <c r="AA16" s="1570">
        <f t="shared" si="3"/>
        <v>1</v>
      </c>
      <c r="AB16" s="1570">
        <f t="shared" si="4"/>
        <v>1</v>
      </c>
      <c r="AC16" s="1570">
        <f t="shared" si="5"/>
        <v>1</v>
      </c>
    </row>
    <row r="17" spans="1:29" ht="57">
      <c r="A17" s="2934"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69" t="s">
        <v>540</v>
      </c>
      <c r="Q17" s="1571" t="str">
        <f t="shared" si="6"/>
        <v>产业集聚程度</v>
      </c>
      <c r="R17" s="1572" t="s">
        <v>8</v>
      </c>
      <c r="S17" s="1573">
        <f t="shared" si="0"/>
        <v>100</v>
      </c>
      <c r="T17" s="1572" t="s">
        <v>8</v>
      </c>
      <c r="U17" s="1573">
        <f t="shared" si="1"/>
        <v>100</v>
      </c>
      <c r="V17" s="1572" t="s">
        <v>8</v>
      </c>
      <c r="W17" s="1573">
        <f t="shared" si="2"/>
        <v>100</v>
      </c>
      <c r="X17" s="1566"/>
      <c r="Y17" s="3369"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70"/>
      <c r="Q18" s="1571"/>
      <c r="R18" s="1572"/>
      <c r="S18" s="1573"/>
      <c r="T18" s="1572"/>
      <c r="U18" s="1573"/>
      <c r="V18" s="1572"/>
      <c r="W18" s="1573"/>
      <c r="X18" s="1566"/>
      <c r="Y18" s="3370"/>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0"/>
      <c r="Q19" s="1571" t="str">
        <f>B19</f>
        <v>交通便捷度</v>
      </c>
      <c r="R19" s="1572" t="s">
        <v>8</v>
      </c>
      <c r="S19" s="1573">
        <f>F19</f>
        <v>100</v>
      </c>
      <c r="T19" s="1572" t="s">
        <v>8</v>
      </c>
      <c r="U19" s="1573">
        <f>H19</f>
        <v>100</v>
      </c>
      <c r="V19" s="1572" t="s">
        <v>8</v>
      </c>
      <c r="W19" s="1573">
        <f>J19</f>
        <v>100</v>
      </c>
      <c r="X19" s="1566"/>
      <c r="Y19" s="337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70"/>
      <c r="Q20" s="1571"/>
      <c r="R20" s="1572"/>
      <c r="S20" s="1573"/>
      <c r="T20" s="1572"/>
      <c r="U20" s="1573"/>
      <c r="V20" s="1572"/>
      <c r="W20" s="1573"/>
      <c r="X20" s="1566"/>
      <c r="Y20" s="3370"/>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0"/>
      <c r="Q21" s="1571" t="str">
        <f t="shared" ref="Q21:Q35" si="8">B21</f>
        <v>区域土地利用方向</v>
      </c>
      <c r="R21" s="1572" t="s">
        <v>8</v>
      </c>
      <c r="S21" s="1573">
        <f>F21</f>
        <v>100</v>
      </c>
      <c r="T21" s="1572" t="s">
        <v>8</v>
      </c>
      <c r="U21" s="1573">
        <f>H21</f>
        <v>100</v>
      </c>
      <c r="V21" s="1572" t="s">
        <v>8</v>
      </c>
      <c r="W21" s="1573">
        <f>J21</f>
        <v>100</v>
      </c>
      <c r="X21" s="1566"/>
      <c r="Y21" s="337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370"/>
      <c r="Q22" s="1571"/>
      <c r="R22" s="1572"/>
      <c r="S22" s="1573"/>
      <c r="T22" s="1572"/>
      <c r="U22" s="1573"/>
      <c r="V22" s="1572"/>
      <c r="W22" s="1573"/>
      <c r="X22" s="1566"/>
      <c r="Y22" s="3370"/>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0"/>
      <c r="Q23" s="1571" t="str">
        <f t="shared" si="8"/>
        <v>环境状况</v>
      </c>
      <c r="R23" s="1572" t="s">
        <v>8</v>
      </c>
      <c r="S23" s="1573">
        <f>F23</f>
        <v>100</v>
      </c>
      <c r="T23" s="1572" t="s">
        <v>8</v>
      </c>
      <c r="U23" s="1573">
        <f>H23</f>
        <v>100</v>
      </c>
      <c r="V23" s="1572" t="s">
        <v>8</v>
      </c>
      <c r="W23" s="1573">
        <f>J23</f>
        <v>100</v>
      </c>
      <c r="X23" s="1566"/>
      <c r="Y23" s="337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70"/>
      <c r="Q24" s="1571"/>
      <c r="R24" s="1572"/>
      <c r="S24" s="1573"/>
      <c r="T24" s="1572"/>
      <c r="U24" s="1573"/>
      <c r="V24" s="1572"/>
      <c r="W24" s="1573"/>
      <c r="X24" s="1566"/>
      <c r="Y24" s="3370"/>
      <c r="Z24" s="1574"/>
      <c r="AA24" s="1575">
        <v>1</v>
      </c>
      <c r="AB24" s="1575">
        <v>1</v>
      </c>
      <c r="AC24" s="1575">
        <v>1</v>
      </c>
    </row>
    <row r="25" spans="1:29" s="1220"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0"/>
      <c r="Q25" s="1151" t="str">
        <f t="shared" si="8"/>
        <v>公共配套设施</v>
      </c>
      <c r="R25" s="1567" t="s">
        <v>8</v>
      </c>
      <c r="S25" s="1568">
        <f>F25</f>
        <v>100</v>
      </c>
      <c r="T25" s="1567" t="s">
        <v>8</v>
      </c>
      <c r="U25" s="1568">
        <f>H25</f>
        <v>100</v>
      </c>
      <c r="V25" s="1567" t="s">
        <v>8</v>
      </c>
      <c r="W25" s="1568">
        <f>J25</f>
        <v>100</v>
      </c>
      <c r="X25" s="1569"/>
      <c r="Y25" s="3370"/>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370"/>
      <c r="Q26" s="1151"/>
      <c r="R26" s="1567"/>
      <c r="S26" s="1568"/>
      <c r="T26" s="1567"/>
      <c r="U26" s="1568"/>
      <c r="V26" s="1567"/>
      <c r="W26" s="1568"/>
      <c r="X26" s="1569"/>
      <c r="Y26" s="3370"/>
      <c r="Z26" s="1150"/>
      <c r="AA26" s="1570">
        <v>1</v>
      </c>
      <c r="AB26" s="1570">
        <v>1</v>
      </c>
      <c r="AC26" s="1570">
        <v>1</v>
      </c>
    </row>
    <row r="27" spans="1:29" s="1220"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0"/>
      <c r="Q27" s="2602" t="str">
        <f t="shared" ref="Q27" si="9">B27</f>
        <v>基础设施水平</v>
      </c>
      <c r="R27" s="1567" t="s">
        <v>8</v>
      </c>
      <c r="S27" s="1568">
        <f>F27</f>
        <v>100</v>
      </c>
      <c r="T27" s="1567" t="s">
        <v>8</v>
      </c>
      <c r="U27" s="1568">
        <f>H27</f>
        <v>100</v>
      </c>
      <c r="V27" s="1567" t="s">
        <v>8</v>
      </c>
      <c r="W27" s="1568">
        <f>J27</f>
        <v>100</v>
      </c>
      <c r="X27" s="1569"/>
      <c r="Y27" s="3370"/>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370"/>
      <c r="Q28" s="2602"/>
      <c r="R28" s="1567"/>
      <c r="S28" s="1568"/>
      <c r="T28" s="1567"/>
      <c r="U28" s="1568"/>
      <c r="V28" s="1567"/>
      <c r="W28" s="1568"/>
      <c r="X28" s="1569"/>
      <c r="Y28" s="3370"/>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0"/>
      <c r="Z29" s="1574" t="str">
        <f t="shared" ref="Z29:Z42" si="13">Q29</f>
        <v>临街状况</v>
      </c>
      <c r="AA29" s="1575">
        <f t="shared" si="3"/>
        <v>1</v>
      </c>
      <c r="AB29" s="1575">
        <f t="shared" si="4"/>
        <v>1</v>
      </c>
      <c r="AC29" s="1575">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0"/>
      <c r="Q30" s="1571" t="str">
        <f t="shared" si="8"/>
        <v>毗邻道路的类型与等级</v>
      </c>
      <c r="R30" s="1572" t="s">
        <v>8</v>
      </c>
      <c r="S30" s="1573">
        <f t="shared" si="10"/>
        <v>100</v>
      </c>
      <c r="T30" s="1572" t="s">
        <v>8</v>
      </c>
      <c r="U30" s="1573">
        <f t="shared" si="11"/>
        <v>100</v>
      </c>
      <c r="V30" s="1572" t="s">
        <v>8</v>
      </c>
      <c r="W30" s="1573">
        <f t="shared" si="12"/>
        <v>100</v>
      </c>
      <c r="X30" s="1566"/>
      <c r="Y30" s="337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70"/>
      <c r="Q31" s="1571"/>
      <c r="R31" s="1572"/>
      <c r="S31" s="1573"/>
      <c r="T31" s="1572"/>
      <c r="U31" s="1573"/>
      <c r="V31" s="1572"/>
      <c r="W31" s="1573"/>
      <c r="X31" s="1566"/>
      <c r="Y31" s="3370"/>
      <c r="Z31" s="1574"/>
      <c r="AA31" s="1575">
        <v>1</v>
      </c>
      <c r="AB31" s="1575">
        <v>1</v>
      </c>
      <c r="AC31" s="1575">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0"/>
      <c r="Q32" s="1571" t="str">
        <f t="shared" si="8"/>
        <v>土地级别</v>
      </c>
      <c r="R32" s="1572" t="s">
        <v>8</v>
      </c>
      <c r="S32" s="1573">
        <f t="shared" si="10"/>
        <v>100</v>
      </c>
      <c r="T32" s="1572" t="s">
        <v>8</v>
      </c>
      <c r="U32" s="1573">
        <f t="shared" si="11"/>
        <v>100</v>
      </c>
      <c r="V32" s="1572" t="s">
        <v>8</v>
      </c>
      <c r="W32" s="1573">
        <f t="shared" si="12"/>
        <v>100</v>
      </c>
      <c r="X32" s="1566"/>
      <c r="Y32" s="337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0"/>
      <c r="Q33" s="1571">
        <f t="shared" si="8"/>
        <v>111</v>
      </c>
      <c r="R33" s="1572" t="s">
        <v>8</v>
      </c>
      <c r="S33" s="1573">
        <f t="shared" si="10"/>
        <v>100</v>
      </c>
      <c r="T33" s="1572" t="s">
        <v>8</v>
      </c>
      <c r="U33" s="1573">
        <f t="shared" si="11"/>
        <v>100</v>
      </c>
      <c r="V33" s="1572" t="s">
        <v>8</v>
      </c>
      <c r="W33" s="1573">
        <f t="shared" si="12"/>
        <v>100</v>
      </c>
      <c r="X33" s="1566"/>
      <c r="Y33" s="337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1" t="s">
        <v>550</v>
      </c>
      <c r="Q34" s="1571">
        <f t="shared" si="8"/>
        <v>111</v>
      </c>
      <c r="R34" s="1572" t="s">
        <v>8</v>
      </c>
      <c r="S34" s="1573">
        <f t="shared" si="10"/>
        <v>100</v>
      </c>
      <c r="T34" s="1572" t="s">
        <v>8</v>
      </c>
      <c r="U34" s="1573">
        <f t="shared" si="11"/>
        <v>100</v>
      </c>
      <c r="V34" s="1572" t="s">
        <v>8</v>
      </c>
      <c r="W34" s="1573">
        <f t="shared" si="12"/>
        <v>100</v>
      </c>
      <c r="X34" s="1566"/>
      <c r="Y34" s="3372" t="s">
        <v>550</v>
      </c>
      <c r="Z34" s="1574">
        <f t="shared" si="13"/>
        <v>111</v>
      </c>
      <c r="AA34" s="1575">
        <f t="shared" si="3"/>
        <v>1</v>
      </c>
      <c r="AB34" s="1575">
        <f t="shared" si="4"/>
        <v>1</v>
      </c>
      <c r="AC34" s="1575">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2"/>
      <c r="Q35" s="1571">
        <f t="shared" si="8"/>
        <v>111</v>
      </c>
      <c r="R35" s="1576" t="s">
        <v>8</v>
      </c>
      <c r="S35" s="1577">
        <f t="shared" si="10"/>
        <v>100</v>
      </c>
      <c r="T35" s="1576" t="s">
        <v>8</v>
      </c>
      <c r="U35" s="1577">
        <f t="shared" si="11"/>
        <v>100</v>
      </c>
      <c r="V35" s="1576" t="s">
        <v>8</v>
      </c>
      <c r="W35" s="1577">
        <f t="shared" si="12"/>
        <v>100</v>
      </c>
      <c r="X35" s="1578"/>
      <c r="Y35" s="3372"/>
      <c r="Z35" s="1579">
        <f t="shared" si="13"/>
        <v>111</v>
      </c>
      <c r="AA35" s="1575">
        <f t="shared" si="3"/>
        <v>1</v>
      </c>
      <c r="AB35" s="1575">
        <f t="shared" si="4"/>
        <v>1</v>
      </c>
      <c r="AC35" s="1575">
        <f t="shared" si="5"/>
        <v>1</v>
      </c>
    </row>
    <row r="36" spans="1:29" ht="15">
      <c r="A36" s="2931"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72"/>
      <c r="Q36" s="1571" t="str">
        <f>B36</f>
        <v>宗地面积</v>
      </c>
      <c r="R36" s="1572" t="s">
        <v>8</v>
      </c>
      <c r="S36" s="1573" t="e">
        <f t="shared" si="10"/>
        <v>#N/A</v>
      </c>
      <c r="T36" s="1572" t="s">
        <v>8</v>
      </c>
      <c r="U36" s="1573" t="e">
        <f t="shared" si="11"/>
        <v>#N/A</v>
      </c>
      <c r="V36" s="1572" t="s">
        <v>8</v>
      </c>
      <c r="W36" s="1573" t="e">
        <f t="shared" si="12"/>
        <v>#N/A</v>
      </c>
      <c r="X36" s="1566"/>
      <c r="Y36" s="3372"/>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72"/>
      <c r="Q37" s="1571" t="str">
        <f t="shared" ref="Q37:Q42" si="14">B37</f>
        <v>宗地形状</v>
      </c>
      <c r="R37" s="1572" t="s">
        <v>8</v>
      </c>
      <c r="S37" s="1573">
        <f t="shared" si="10"/>
        <v>100</v>
      </c>
      <c r="T37" s="1572" t="s">
        <v>8</v>
      </c>
      <c r="U37" s="1573">
        <f t="shared" si="11"/>
        <v>100</v>
      </c>
      <c r="V37" s="1572" t="s">
        <v>8</v>
      </c>
      <c r="W37" s="1573">
        <f t="shared" si="12"/>
        <v>100</v>
      </c>
      <c r="X37" s="1566"/>
      <c r="Y37" s="3372"/>
      <c r="Z37" s="1574" t="str">
        <f t="shared" si="13"/>
        <v>宗地形状</v>
      </c>
      <c r="AA37" s="1575">
        <f t="shared" si="3"/>
        <v>1</v>
      </c>
      <c r="AB37" s="1575">
        <f t="shared" si="4"/>
        <v>1</v>
      </c>
      <c r="AC37" s="1575">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72"/>
      <c r="Q38" s="1571" t="str">
        <f t="shared" si="14"/>
        <v>宗地开发程度</v>
      </c>
      <c r="R38" s="1567" t="s">
        <v>8</v>
      </c>
      <c r="S38" s="1568">
        <f t="shared" si="10"/>
        <v>100</v>
      </c>
      <c r="T38" s="1567" t="s">
        <v>8</v>
      </c>
      <c r="U38" s="1568">
        <f t="shared" si="11"/>
        <v>100</v>
      </c>
      <c r="V38" s="1567" t="s">
        <v>8</v>
      </c>
      <c r="W38" s="1568">
        <f t="shared" si="12"/>
        <v>100</v>
      </c>
      <c r="X38" s="1569"/>
      <c r="Y38" s="3372"/>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2" t="s">
        <v>601</v>
      </c>
      <c r="Q39" s="1571" t="str">
        <f t="shared" si="14"/>
        <v>工程地质条件</v>
      </c>
      <c r="R39" s="1572" t="s">
        <v>8</v>
      </c>
      <c r="S39" s="1573">
        <f t="shared" si="10"/>
        <v>100</v>
      </c>
      <c r="T39" s="1572" t="s">
        <v>8</v>
      </c>
      <c r="U39" s="1573">
        <f t="shared" si="11"/>
        <v>100</v>
      </c>
      <c r="V39" s="1572" t="s">
        <v>8</v>
      </c>
      <c r="W39" s="1573">
        <f t="shared" si="12"/>
        <v>100</v>
      </c>
      <c r="X39" s="1566"/>
      <c r="Y39" s="3372"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2"/>
      <c r="Q40" s="1571">
        <f t="shared" si="14"/>
        <v>111</v>
      </c>
      <c r="R40" s="1572" t="s">
        <v>8</v>
      </c>
      <c r="S40" s="1573">
        <f t="shared" si="10"/>
        <v>100</v>
      </c>
      <c r="T40" s="1572" t="s">
        <v>8</v>
      </c>
      <c r="U40" s="1573">
        <f t="shared" si="11"/>
        <v>100</v>
      </c>
      <c r="V40" s="1572" t="s">
        <v>8</v>
      </c>
      <c r="W40" s="1573">
        <f t="shared" si="12"/>
        <v>100</v>
      </c>
      <c r="X40" s="1566"/>
      <c r="Y40" s="337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2"/>
      <c r="Q41" s="1571">
        <f t="shared" si="14"/>
        <v>111</v>
      </c>
      <c r="R41" s="1572" t="s">
        <v>8</v>
      </c>
      <c r="S41" s="1573">
        <f t="shared" si="10"/>
        <v>100</v>
      </c>
      <c r="T41" s="1572" t="s">
        <v>8</v>
      </c>
      <c r="U41" s="1573">
        <f t="shared" si="11"/>
        <v>100</v>
      </c>
      <c r="V41" s="1572" t="s">
        <v>8</v>
      </c>
      <c r="W41" s="1573">
        <f t="shared" si="12"/>
        <v>100</v>
      </c>
      <c r="X41" s="1566"/>
      <c r="Y41" s="3372"/>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2"/>
      <c r="Q42" s="1571">
        <f t="shared" si="14"/>
        <v>111</v>
      </c>
      <c r="R42" s="1576" t="s">
        <v>8</v>
      </c>
      <c r="S42" s="1577">
        <f t="shared" si="10"/>
        <v>100</v>
      </c>
      <c r="T42" s="1576" t="s">
        <v>8</v>
      </c>
      <c r="U42" s="1577">
        <f t="shared" si="11"/>
        <v>100</v>
      </c>
      <c r="V42" s="1576" t="s">
        <v>8</v>
      </c>
      <c r="W42" s="1577">
        <f t="shared" si="12"/>
        <v>100</v>
      </c>
      <c r="X42" s="1578"/>
      <c r="Y42" s="3372"/>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40"/>
      <c r="L43" s="2144"/>
      <c r="M43" s="2134"/>
      <c r="N43" s="2134"/>
      <c r="O43" s="2145"/>
      <c r="P43" s="3367" t="str">
        <f>A43</f>
        <v>成交单价</v>
      </c>
      <c r="Q43" s="3367"/>
      <c r="R43" s="3381">
        <f>E43</f>
        <v>0</v>
      </c>
      <c r="S43" s="3381"/>
      <c r="T43" s="3381">
        <f>G43</f>
        <v>0</v>
      </c>
      <c r="U43" s="3381"/>
      <c r="V43" s="3381">
        <f>I43</f>
        <v>0</v>
      </c>
      <c r="W43" s="3381"/>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67" t="str">
        <f>A44</f>
        <v>比较价格（元/平方米）</v>
      </c>
      <c r="Q44" s="3367"/>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2"/>
      <c r="L45" s="2144"/>
      <c r="M45" s="2134"/>
      <c r="N45" s="2134"/>
      <c r="O45" s="2145"/>
      <c r="P45" s="3388" t="str">
        <f>A45</f>
        <v>估价对象XX用房的比较价格（楼面单价，元/平方米）</v>
      </c>
      <c r="Q45" s="3389"/>
      <c r="R45" s="3390" t="e">
        <f>ROUND(AVERAGE(R44:V44),0)</f>
        <v>#DIV/0!</v>
      </c>
      <c r="S45" s="3390"/>
      <c r="T45" s="3390"/>
      <c r="U45" s="3390"/>
      <c r="V45" s="3390"/>
      <c r="W45" s="339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2295</v>
      </c>
      <c r="E52" s="631" t="s">
        <v>562</v>
      </c>
      <c r="F52" s="1951" t="s">
        <v>563</v>
      </c>
      <c r="G52" s="3392" t="s">
        <v>2286</v>
      </c>
      <c r="H52" s="3393"/>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210046.65</v>
      </c>
      <c r="F53" s="1950" t="e">
        <f t="shared" ref="F53:F62" si="15">ROUND(B53*E53/10000,0)</f>
        <v>#DIV/0!</v>
      </c>
      <c r="G53" s="3394"/>
      <c r="H53" s="339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0.6</v>
      </c>
      <c r="D54" s="2229">
        <v>0.25</v>
      </c>
      <c r="E54" s="639"/>
      <c r="F54" s="1950" t="e">
        <f t="shared" si="15"/>
        <v>#DIV/0!</v>
      </c>
      <c r="G54" s="3396" t="s">
        <v>2287</v>
      </c>
      <c r="H54" s="1954" t="str">
        <f>项目基本情况!B43</f>
        <v>九级</v>
      </c>
      <c r="I54" s="1953">
        <f>SUMIF(修正!$A$45:$A$56,H54,修正!B45:B56)</f>
        <v>0.6</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0.3</v>
      </c>
      <c r="D55" s="2229">
        <v>0.25</v>
      </c>
      <c r="E55" s="639"/>
      <c r="F55" s="1950" t="e">
        <f t="shared" si="15"/>
        <v>#DIV/0!</v>
      </c>
      <c r="G55" s="3396"/>
      <c r="H55" s="1955" t="str">
        <f>项目基本情况!B43</f>
        <v>九级</v>
      </c>
      <c r="I55" s="1953">
        <f>SUMIF(修正!$A$45:$A$56,H55,修正!C45:C56)</f>
        <v>0.3</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0.2</v>
      </c>
      <c r="D56" s="2229">
        <v>0.25</v>
      </c>
      <c r="E56" s="639"/>
      <c r="F56" s="1950" t="e">
        <f t="shared" si="15"/>
        <v>#DIV/0!</v>
      </c>
      <c r="G56" s="3396"/>
      <c r="H56" s="1955" t="str">
        <f>项目基本情况!B43</f>
        <v>九级</v>
      </c>
      <c r="I56" s="1953">
        <f>SUMIF(修正!$A$45:$A$56,H56,修正!D45:D56)</f>
        <v>0.2</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0.2</v>
      </c>
      <c r="D57" s="2229">
        <v>0.25</v>
      </c>
      <c r="E57" s="639"/>
      <c r="F57" s="1950" t="e">
        <f t="shared" si="15"/>
        <v>#DIV/0!</v>
      </c>
      <c r="G57" s="3396"/>
      <c r="H57" s="1955" t="str">
        <f>项目基本情况!B43</f>
        <v>九级</v>
      </c>
      <c r="I57" s="1953">
        <f>SUMIF(修正!$A$45:$A$56,H57,修正!E45:E56)</f>
        <v>0.2</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0.2</v>
      </c>
      <c r="D58" s="2229">
        <v>0.25</v>
      </c>
      <c r="E58" s="641">
        <f>'数据-汇总表'!E11</f>
        <v>95.98</v>
      </c>
      <c r="F58" s="1950" t="e">
        <f t="shared" si="15"/>
        <v>#DIV/0!</v>
      </c>
      <c r="G58" s="1956" t="s">
        <v>2288</v>
      </c>
      <c r="H58" s="1955" t="str">
        <f>项目基本情况!C43</f>
        <v>九级</v>
      </c>
      <c r="I58" s="1953">
        <f>SUMIF(修正!$A$45:$A$56,H58,修正!F45:F56)</f>
        <v>0.2</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0.2</v>
      </c>
      <c r="D59" s="2229">
        <v>0.25</v>
      </c>
      <c r="E59" s="641">
        <f>'数据-汇总表'!E12</f>
        <v>15958.279999999999</v>
      </c>
      <c r="F59" s="1950" t="e">
        <f t="shared" si="15"/>
        <v>#DIV/0!</v>
      </c>
      <c r="G59" s="1946" t="s">
        <v>1678</v>
      </c>
      <c r="H59" s="1954" t="str">
        <f>IF(G59="商业",项目基本情况!B43,IF(G59="办公",项目基本情况!C43,IF(G59="住宅",项目基本情况!D43,项目基本情况!E43)))</f>
        <v>九级</v>
      </c>
      <c r="I59" s="1953">
        <f>SUMIF(修正!$A$45:$A$56,H59,修正!G45:G56)</f>
        <v>0.2</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0.15</v>
      </c>
      <c r="D60" s="2229">
        <v>0.25</v>
      </c>
      <c r="E60" s="641">
        <f>'数据-汇总表'!E13</f>
        <v>43547.97</v>
      </c>
      <c r="F60" s="1950" t="e">
        <f t="shared" si="15"/>
        <v>#DIV/0!</v>
      </c>
      <c r="G60" s="1946" t="s">
        <v>923</v>
      </c>
      <c r="H60" s="1954" t="str">
        <f>IF(G60="商业",项目基本情况!B43,IF(G60="办公",项目基本情况!C43,IF(G60="住宅",项目基本情况!D43,项目基本情况!E43)))</f>
        <v>九级</v>
      </c>
      <c r="I60" s="1953">
        <f>SUMIF(修正!$A$45:$A$56,H60,修正!H45:H56)</f>
        <v>0.15</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0.15</v>
      </c>
      <c r="D61" s="2229">
        <v>0.25</v>
      </c>
      <c r="E61" s="641">
        <f>'数据-汇总表'!E14</f>
        <v>0</v>
      </c>
      <c r="F61" s="1950" t="e">
        <f t="shared" si="15"/>
        <v>#DIV/0!</v>
      </c>
      <c r="G61" s="1956" t="s">
        <v>2287</v>
      </c>
      <c r="H61" s="1955" t="str">
        <f>项目基本情况!B43</f>
        <v>九级</v>
      </c>
      <c r="I61" s="1953">
        <f>SUMIF(修正!$A$45:$A$56,H61,修正!H45:H56)</f>
        <v>0.15</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0.15</v>
      </c>
      <c r="D62" s="2229">
        <v>0.25</v>
      </c>
      <c r="E62" s="641">
        <f>'数据-汇总表'!E15</f>
        <v>0</v>
      </c>
      <c r="F62" s="1950" t="e">
        <f t="shared" si="15"/>
        <v>#DIV/0!</v>
      </c>
      <c r="G62" s="1957" t="s">
        <v>2288</v>
      </c>
      <c r="H62" s="1958" t="str">
        <f>项目基本情况!C43</f>
        <v>九级</v>
      </c>
      <c r="I62" s="1953">
        <f>SUMIF(修正!$A$45:$A$56,H62,修正!H45:H56)</f>
        <v>0.15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88475.28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92" t="s">
        <v>2536</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2651</v>
      </c>
      <c r="B68" s="479" t="str">
        <f>"北京市平均增长率"&amp;TEXT(基准地价!P24,"0.00%")</f>
        <v>北京市平均增长率1.35%</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2429</v>
      </c>
      <c r="D1" s="1520">
        <f>SUM(D29:D30,D33:D39)</f>
        <v>0</v>
      </c>
      <c r="E1" s="1405" t="s">
        <v>2430</v>
      </c>
      <c r="F1" s="2476"/>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60" t="s">
        <v>2764</v>
      </c>
      <c r="S1" s="2960" t="s">
        <v>2765</v>
      </c>
      <c r="T1" s="2960" t="s">
        <v>2786</v>
      </c>
      <c r="U1" s="2960" t="s">
        <v>2787</v>
      </c>
      <c r="V1" s="2960" t="s">
        <v>2788</v>
      </c>
      <c r="W1" s="2189"/>
      <c r="X1" s="2189"/>
      <c r="Y1" s="2189"/>
      <c r="Z1" s="2189"/>
      <c r="AA1" s="2189"/>
      <c r="AB1" s="2189"/>
      <c r="AC1" s="2190"/>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8" t="e">
        <f>ROUND(B2*10000/D1,0)</f>
        <v>#DIV/0!</v>
      </c>
      <c r="C3" s="1406" t="s">
        <v>927</v>
      </c>
      <c r="D3" s="1407" t="s">
        <v>928</v>
      </c>
      <c r="E3" s="1411"/>
      <c r="F3" s="1412" t="s">
        <v>2939</v>
      </c>
      <c r="G3" s="1039">
        <f>IF(F3="宗地容积率",'数据-汇总表'!I4,IF(F3="估价对象容积率",'数据-汇总表'!I6,'数据-汇总表'!I7))</f>
        <v>2.2000000000000002</v>
      </c>
      <c r="H3" s="1413" t="s">
        <v>929</v>
      </c>
      <c r="I3" s="1040">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931</v>
      </c>
      <c r="C5" s="1041" t="e">
        <f>ROUND(IF(E2="商业",IF(F16="增加",C6*C7+C16,C6*C7-C16),IF(E2="住宅",IF(F16="增加",C6*C12+C16,C6*C12-C16),IF(F16="增加",C6+C16,C6-C16))),0)</f>
        <v>#DIV/0!</v>
      </c>
      <c r="D5" s="3147">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2">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04" t="str">
        <f>IF(E2="商业",IF(C8="不临58条商业街","",2),"")</f>
        <v/>
      </c>
      <c r="B7" s="1426" t="s">
        <v>932</v>
      </c>
      <c r="C7" s="1043" t="e">
        <f>IF(C8="不临58条商业街",1,ROUND(1+(1.6*E8+1.2*E9+0.8*E10+0.4*E11)*C9,4))</f>
        <v>#DIV/0!</v>
      </c>
      <c r="D7" s="1427" t="s">
        <v>933</v>
      </c>
      <c r="E7" s="1044"/>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2767</v>
      </c>
      <c r="X7" s="2951">
        <f>G2</f>
        <v>0</v>
      </c>
      <c r="Y7" s="2951" t="s">
        <v>2768</v>
      </c>
      <c r="Z7" s="2952">
        <f>G3</f>
        <v>2.2000000000000002</v>
      </c>
      <c r="AA7" s="2192"/>
      <c r="AB7" s="2192"/>
      <c r="AC7" s="2193"/>
      <c r="AD7" s="2953"/>
      <c r="AE7" s="2953"/>
      <c r="AF7" s="2953"/>
      <c r="AG7" s="2953"/>
      <c r="AH7" s="2953"/>
      <c r="AI7" s="2953"/>
      <c r="AJ7" s="2954"/>
    </row>
    <row r="8" spans="1:39" ht="15">
      <c r="A8" s="3405"/>
      <c r="B8" s="1413" t="s">
        <v>934</v>
      </c>
      <c r="C8" s="1528"/>
      <c r="D8" s="1045" t="s">
        <v>935</v>
      </c>
      <c r="E8" s="1046"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14" t="s">
        <v>2785</v>
      </c>
      <c r="X8" s="3415"/>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05"/>
      <c r="B9" s="1413" t="s">
        <v>937</v>
      </c>
      <c r="C9" s="1047">
        <f>SUMIF(修正!C59:C119,C8,修正!E59:E119)</f>
        <v>0</v>
      </c>
      <c r="D9" s="1048" t="s">
        <v>938</v>
      </c>
      <c r="E9" s="1048"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13" t="s">
        <v>2781</v>
      </c>
      <c r="X9" s="2955" t="s">
        <v>2782</v>
      </c>
      <c r="Y9" s="3121"/>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05"/>
      <c r="B10" s="1413" t="s">
        <v>940</v>
      </c>
      <c r="C10" s="1048">
        <f>SUMIF(修正!C59:C119,C8,修正!F59:F119)</f>
        <v>0</v>
      </c>
      <c r="D10" s="1048" t="s">
        <v>941</v>
      </c>
      <c r="E10" s="1048"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1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05"/>
      <c r="B11" s="1434" t="s">
        <v>943</v>
      </c>
      <c r="C11" s="1049">
        <f>C10/4</f>
        <v>0</v>
      </c>
      <c r="D11" s="1049" t="s">
        <v>944</v>
      </c>
      <c r="E11" s="1049"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13" t="s">
        <v>2783</v>
      </c>
      <c r="X11" s="1048" t="s">
        <v>2768</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04" t="s">
        <v>1871</v>
      </c>
      <c r="B12" s="1438" t="s">
        <v>946</v>
      </c>
      <c r="C12" s="1043">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13"/>
      <c r="X12" s="2958" t="s">
        <v>2784</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06"/>
      <c r="B13" s="1443" t="s">
        <v>1696</v>
      </c>
      <c r="C13" s="1444" t="s">
        <v>1697</v>
      </c>
      <c r="D13" s="1089" t="s">
        <v>1698</v>
      </c>
      <c r="E13" s="1089" t="s">
        <v>1699</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13"/>
      <c r="X13" s="2958"/>
      <c r="Y13" s="2957">
        <f>(-0.163*(Y12^2)-0.59*Y12+7617)*(10^(-4))/Y11</f>
        <v>0.34622727272727272</v>
      </c>
      <c r="Z13" s="2957">
        <f t="shared" ref="Z13:AJ13" si="5">(-0.163*(Z12^2)-0.59*Z12+7617)*(10^(-4))/Z11</f>
        <v>0.34622727272727272</v>
      </c>
      <c r="AA13" s="2957">
        <f t="shared" si="5"/>
        <v>0.34622727272727272</v>
      </c>
      <c r="AB13" s="2957">
        <f t="shared" si="5"/>
        <v>0.34622727272727272</v>
      </c>
      <c r="AC13" s="2957">
        <f t="shared" si="5"/>
        <v>0.34622727272727272</v>
      </c>
      <c r="AD13" s="2957">
        <f t="shared" si="5"/>
        <v>0.34622727272727272</v>
      </c>
      <c r="AE13" s="2957">
        <f t="shared" si="5"/>
        <v>0.34622727272727272</v>
      </c>
      <c r="AF13" s="2957">
        <f t="shared" si="5"/>
        <v>0.34622727272727272</v>
      </c>
      <c r="AG13" s="2957">
        <f t="shared" si="5"/>
        <v>0.34622727272727272</v>
      </c>
      <c r="AH13" s="2957">
        <f t="shared" si="5"/>
        <v>0.34622727272727272</v>
      </c>
      <c r="AI13" s="2957">
        <f t="shared" si="5"/>
        <v>0.34622727272727272</v>
      </c>
      <c r="AJ13" s="2957">
        <f t="shared" si="5"/>
        <v>0.34622727272727272</v>
      </c>
    </row>
    <row r="14" spans="1:39" ht="12.75" customHeight="1" thickBot="1">
      <c r="A14" s="3406"/>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07"/>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404" t="s">
        <v>1838</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05"/>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7" t="e">
        <f>ROUND(IF(H19="按公示增长率计算",SUMPRODUCT((地价!A3:A22=YEAR(G19)&amp;"-"&amp;ROUNDUP(MONTH(G19)/3,0))*(地价!X2:AB2=E2)*(地价!X3:AB22)),IF(H19="地价指数",M20/M19,(1+I19)^O19)),4)</f>
        <v>#DIV/0!</v>
      </c>
      <c r="D19" s="1473" t="s">
        <v>958</v>
      </c>
      <c r="E19" s="1058">
        <v>41640</v>
      </c>
      <c r="F19" s="1473" t="s">
        <v>959</v>
      </c>
      <c r="G19" s="1059">
        <f>'数据-取费表'!B2</f>
        <v>43228</v>
      </c>
      <c r="H19" s="1474" t="s">
        <v>2940</v>
      </c>
      <c r="I19" s="2808" t="str">
        <f>IF(H19="季度增幅（自定义）",SUMIF(N21:N24,E2,O21:O24),"")</f>
        <v/>
      </c>
      <c r="J19" s="1470"/>
      <c r="K19" s="1480"/>
      <c r="L19" s="3062" t="s">
        <v>2843</v>
      </c>
      <c r="M19" s="3063">
        <f>ROUND(SUMIF(地价!B2:F2,E2,地价!B22:F22),0)</f>
        <v>0</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8">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4" t="s">
        <v>2844</v>
      </c>
      <c r="M20" s="3065">
        <f>ROUND(SUMPRODUCT((地价!A4:A22=YEAR(G19)&amp;"-"&amp;ROUNDUP(MONTH(G19)/3,0))*(地价!B2:F2=E2)*(地价!B4:F22)),0)</f>
        <v>0</v>
      </c>
      <c r="N20" s="2813" t="s">
        <v>2648</v>
      </c>
      <c r="O20" s="2811" t="s">
        <v>2647</v>
      </c>
      <c r="P20" s="2812" t="s">
        <v>2652</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8">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60" t="s">
        <v>1702</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1872</v>
      </c>
      <c r="B24" s="1414" t="s">
        <v>981</v>
      </c>
      <c r="C24" s="1062">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2650</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51"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0" t="s">
        <v>2967</v>
      </c>
      <c r="B33" s="1523" t="s">
        <v>1000</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1"/>
      <c r="B34" s="1444" t="s">
        <v>1001</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1"/>
      <c r="B35" s="1444" t="s">
        <v>1002</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2"/>
      <c r="B36" s="1444" t="s">
        <v>1003</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1009</v>
      </c>
      <c r="B46" s="2432" t="s">
        <v>1010</v>
      </c>
      <c r="C46" s="2454" t="s">
        <v>1011</v>
      </c>
      <c r="D46" s="2455" t="s">
        <v>1012</v>
      </c>
      <c r="E46" s="2456" t="s">
        <v>1014</v>
      </c>
      <c r="F46" s="2457" t="s">
        <v>2252</v>
      </c>
      <c r="G46" s="2455" t="s">
        <v>1015</v>
      </c>
      <c r="H46" s="2438" t="s">
        <v>2421</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1021</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7" t="s">
        <v>1022</v>
      </c>
      <c r="B48" s="2432" t="str">
        <f>估价对象房地状况!C18</f>
        <v>估价对象周边道路状况、公共交通通达情况、停车便捷程度，综合评价交通便捷度较好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1023</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1024</v>
      </c>
      <c r="B50" s="3120" t="s">
        <v>2942</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1025</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1026</v>
      </c>
      <c r="B52" s="3119" t="s">
        <v>2941</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估价对象所在区域公共配套设施齐备情况</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区域自然环境：；人文环境；综合评价环境状况一般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1009</v>
      </c>
      <c r="B57" s="2432"/>
      <c r="C57" s="2454" t="s">
        <v>1011</v>
      </c>
      <c r="D57" s="2455" t="s">
        <v>1012</v>
      </c>
      <c r="E57" s="2456" t="s">
        <v>1014</v>
      </c>
      <c r="F57" s="2457" t="s">
        <v>2253</v>
      </c>
      <c r="G57" s="2455" t="s">
        <v>1015</v>
      </c>
      <c r="H57" s="2438" t="s">
        <v>2421</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1031</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7" t="s">
        <v>1022</v>
      </c>
      <c r="B59" s="2432" t="str">
        <f>估价对象房地状况!C18</f>
        <v>估价对象周边道路状况、公共交通通达情况、停车便捷程度，综合评价交通便捷度较好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1023</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1024</v>
      </c>
      <c r="B61" s="3120" t="s">
        <v>2943</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1025</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1026</v>
      </c>
      <c r="B63" s="3119" t="s">
        <v>2941</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1027</v>
      </c>
      <c r="B64" s="2433" t="str">
        <f>估价对象房地状况!C21</f>
        <v>估价对象所在区域公共配套设施齐备情况</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1028</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区域自然环境：；人文环境；综合评价环境状况一般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1009</v>
      </c>
      <c r="B68" s="2432"/>
      <c r="C68" s="2454" t="s">
        <v>1011</v>
      </c>
      <c r="D68" s="2455" t="s">
        <v>1012</v>
      </c>
      <c r="E68" s="2456" t="s">
        <v>1014</v>
      </c>
      <c r="F68" s="2457" t="s">
        <v>2254</v>
      </c>
      <c r="G68" s="2455" t="s">
        <v>1015</v>
      </c>
      <c r="H68" s="2438" t="s">
        <v>2421</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7" t="s">
        <v>1033</v>
      </c>
      <c r="B69" s="2435" t="str">
        <f>估价对象房地状况!C15</f>
        <v>估价对象周边居住用地比例、居住小区规模和社区发展完善程度，综合评价居住社区成熟度一般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7" t="s">
        <v>1034</v>
      </c>
      <c r="B70" s="2432" t="str">
        <f>估价对象房地状况!C18</f>
        <v>估价对象周边道路状况、公共交通通达情况、停车便捷程度，综合评价交通便捷度较好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1023</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1035</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1027</v>
      </c>
      <c r="B73" s="2433" t="str">
        <f>估价对象房地状况!C21</f>
        <v>估价对象所在区域公共配套设施齐备情况</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1028</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1026</v>
      </c>
      <c r="B75" s="3119" t="s">
        <v>2941</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1029</v>
      </c>
      <c r="B76" s="2435" t="str">
        <f>估价对象房地状况!C20</f>
        <v>区域自然环境：；人文环境；综合评价环境状况一般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1009</v>
      </c>
      <c r="B79" s="2432"/>
      <c r="C79" s="2454" t="s">
        <v>1011</v>
      </c>
      <c r="D79" s="2455" t="s">
        <v>1012</v>
      </c>
      <c r="E79" s="2456" t="s">
        <v>1014</v>
      </c>
      <c r="F79" s="2457" t="s">
        <v>2255</v>
      </c>
      <c r="G79" s="2455" t="s">
        <v>1015</v>
      </c>
      <c r="H79" s="2438" t="s">
        <v>2421</v>
      </c>
      <c r="I79" s="2455" t="s">
        <v>1013</v>
      </c>
      <c r="J79" s="2458" t="s">
        <v>1016</v>
      </c>
      <c r="K79" s="2458" t="s">
        <v>1017</v>
      </c>
      <c r="L79" s="2458" t="s">
        <v>1018</v>
      </c>
      <c r="M79" s="2458" t="s">
        <v>1019</v>
      </c>
      <c r="N79" s="2458" t="s">
        <v>1020</v>
      </c>
      <c r="AC79" s="1404"/>
      <c r="AD79" s="1403"/>
      <c r="AJ79" s="1402"/>
      <c r="AN79" s="1403"/>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7" t="s">
        <v>1026</v>
      </c>
      <c r="B86" s="3119" t="s">
        <v>2941</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08" t="s">
        <v>1634</v>
      </c>
      <c r="B90" s="3408"/>
      <c r="C90" s="3408"/>
      <c r="D90" s="3408"/>
      <c r="E90" s="3408"/>
      <c r="F90" s="3408"/>
      <c r="G90" s="3408"/>
      <c r="H90" s="3408"/>
      <c r="I90" s="3408"/>
      <c r="J90" s="3408"/>
      <c r="K90" s="2474"/>
      <c r="L90" s="2474"/>
      <c r="M90" s="2474"/>
      <c r="N90" s="2474"/>
    </row>
    <row r="91" spans="1:40">
      <c r="A91" s="3409" t="s">
        <v>1444</v>
      </c>
      <c r="B91" s="3409" t="s">
        <v>1635</v>
      </c>
      <c r="C91" s="1140" t="s">
        <v>1636</v>
      </c>
      <c r="D91" s="1141"/>
      <c r="E91" s="1141"/>
      <c r="F91" s="1141"/>
      <c r="G91" s="1141"/>
      <c r="H91" s="1141"/>
      <c r="I91" s="1141"/>
      <c r="J91" s="1142"/>
      <c r="K91" s="1134"/>
      <c r="L91" s="1134"/>
      <c r="M91" s="1134"/>
      <c r="N91" s="1134"/>
    </row>
    <row r="92" spans="1:40">
      <c r="A92" s="3409"/>
      <c r="B92" s="3409"/>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16"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6"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17"/>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17"/>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17"/>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17"/>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17"/>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17"/>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17"/>
      <c r="B108" s="341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8"/>
      <c r="B109" s="3420"/>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03" t="s">
        <v>1640</v>
      </c>
      <c r="B110" s="3403"/>
      <c r="C110" s="3403"/>
      <c r="D110" s="3403"/>
      <c r="E110" s="3403"/>
      <c r="F110" s="3403"/>
      <c r="G110" s="3403"/>
      <c r="H110" s="3403"/>
      <c r="I110" s="3403"/>
      <c r="J110" s="3403"/>
      <c r="K110" s="2472"/>
      <c r="L110" s="2472"/>
      <c r="M110" s="2472"/>
      <c r="N110" s="2472"/>
    </row>
    <row r="112" spans="1:14" ht="12.75" thickBot="1"/>
    <row r="113" spans="1:13" ht="25.5" thickBot="1">
      <c r="A113" s="1016" t="s">
        <v>896</v>
      </c>
      <c r="B113" s="2475">
        <f>G3</f>
        <v>2.2000000000000002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09" t="s">
        <v>1008</v>
      </c>
      <c r="B18" s="1154" t="s">
        <v>1447</v>
      </c>
      <c r="C18" s="1131" t="s">
        <v>1448</v>
      </c>
      <c r="D18" s="1132"/>
      <c r="E18" s="1154">
        <v>1</v>
      </c>
      <c r="F18" s="1133" t="s">
        <v>1449</v>
      </c>
      <c r="G18" s="1134"/>
      <c r="H18" s="1105"/>
      <c r="I18" s="1105"/>
    </row>
    <row r="19" spans="1:9" s="1598" customFormat="1" ht="19.5" customHeight="1">
      <c r="A19" s="3409"/>
      <c r="B19" s="3409" t="s">
        <v>1450</v>
      </c>
      <c r="C19" s="1131" t="s">
        <v>1451</v>
      </c>
      <c r="D19" s="1132"/>
      <c r="E19" s="1154">
        <v>0.9</v>
      </c>
      <c r="F19" s="1133" t="s">
        <v>1452</v>
      </c>
      <c r="G19" s="1134"/>
      <c r="H19" s="1105"/>
      <c r="I19" s="1105"/>
    </row>
    <row r="20" spans="1:9" s="1598" customFormat="1" ht="19.5" customHeight="1">
      <c r="A20" s="3409"/>
      <c r="B20" s="3409"/>
      <c r="C20" s="1131" t="s">
        <v>1453</v>
      </c>
      <c r="D20" s="1132"/>
      <c r="E20" s="1154">
        <v>1.1000000000000001</v>
      </c>
      <c r="F20" s="1133" t="s">
        <v>1454</v>
      </c>
      <c r="G20" s="1134"/>
      <c r="H20" s="1105"/>
      <c r="I20" s="1105"/>
    </row>
    <row r="21" spans="1:9" s="1598" customFormat="1" ht="19.5" customHeight="1">
      <c r="A21" s="3409"/>
      <c r="B21" s="3409"/>
      <c r="C21" s="1131" t="s">
        <v>1455</v>
      </c>
      <c r="D21" s="1132"/>
      <c r="E21" s="1154">
        <v>0.8</v>
      </c>
      <c r="F21" s="1133" t="s">
        <v>1456</v>
      </c>
      <c r="G21" s="1134"/>
      <c r="H21" s="1105"/>
      <c r="I21" s="1105"/>
    </row>
    <row r="22" spans="1:9" s="1598" customFormat="1" ht="19.5" customHeight="1">
      <c r="A22" s="3409"/>
      <c r="B22" s="3409"/>
      <c r="C22" s="1131" t="s">
        <v>1457</v>
      </c>
      <c r="D22" s="1132"/>
      <c r="E22" s="1154">
        <v>0.5</v>
      </c>
      <c r="F22" s="1133"/>
      <c r="G22" s="1134"/>
      <c r="H22" s="1105"/>
      <c r="I22" s="1105"/>
    </row>
    <row r="23" spans="1:9" s="1598" customFormat="1" ht="19.5" customHeight="1">
      <c r="A23" s="3409" t="s">
        <v>1030</v>
      </c>
      <c r="B23" s="1154" t="s">
        <v>1447</v>
      </c>
      <c r="C23" s="1131" t="s">
        <v>1458</v>
      </c>
      <c r="D23" s="1132"/>
      <c r="E23" s="1154">
        <v>1</v>
      </c>
      <c r="F23" s="1133" t="s">
        <v>1459</v>
      </c>
      <c r="G23" s="1134"/>
      <c r="H23" s="1105"/>
      <c r="I23" s="1105"/>
    </row>
    <row r="24" spans="1:9" s="1598" customFormat="1" ht="19.5" customHeight="1">
      <c r="A24" s="3409"/>
      <c r="B24" s="3409" t="s">
        <v>1450</v>
      </c>
      <c r="C24" s="1131" t="s">
        <v>1460</v>
      </c>
      <c r="D24" s="1132"/>
      <c r="E24" s="1154">
        <v>0.5</v>
      </c>
      <c r="F24" s="1133"/>
      <c r="G24" s="1134"/>
      <c r="H24" s="1105"/>
      <c r="I24" s="1105"/>
    </row>
    <row r="25" spans="1:9" s="1598" customFormat="1" ht="19.5" customHeight="1">
      <c r="A25" s="3409"/>
      <c r="B25" s="3409"/>
      <c r="C25" s="1131" t="s">
        <v>1461</v>
      </c>
      <c r="D25" s="1132"/>
      <c r="E25" s="1154">
        <v>1.1000000000000001</v>
      </c>
      <c r="F25" s="1133"/>
      <c r="G25" s="1134"/>
      <c r="H25" s="1105"/>
      <c r="I25" s="1105"/>
    </row>
    <row r="26" spans="1:9" s="1598" customFormat="1" ht="19.5" customHeight="1">
      <c r="A26" s="3409"/>
      <c r="B26" s="3409"/>
      <c r="C26" s="1131" t="s">
        <v>1462</v>
      </c>
      <c r="D26" s="1132"/>
      <c r="E26" s="1154">
        <v>1.1000000000000001</v>
      </c>
      <c r="F26" s="1133"/>
      <c r="G26" s="1134"/>
      <c r="H26" s="1105"/>
      <c r="I26" s="1105"/>
    </row>
    <row r="27" spans="1:9" s="1598" customFormat="1" ht="19.5" customHeight="1">
      <c r="A27" s="3409"/>
      <c r="B27" s="3409"/>
      <c r="C27" s="1131" t="s">
        <v>1463</v>
      </c>
      <c r="D27" s="1132"/>
      <c r="E27" s="1154">
        <v>0.9</v>
      </c>
      <c r="F27" s="1133" t="s">
        <v>1464</v>
      </c>
      <c r="G27" s="1134"/>
      <c r="H27" s="1105"/>
      <c r="I27" s="1105"/>
    </row>
    <row r="28" spans="1:9" s="1598" customFormat="1" ht="19.5" customHeight="1">
      <c r="A28" s="3409"/>
      <c r="B28" s="3409"/>
      <c r="C28" s="1131" t="s">
        <v>1465</v>
      </c>
      <c r="D28" s="1132"/>
      <c r="E28" s="1154">
        <v>0.9</v>
      </c>
      <c r="F28" s="1133" t="s">
        <v>1466</v>
      </c>
      <c r="G28" s="1134"/>
      <c r="H28" s="1105"/>
      <c r="I28" s="1105"/>
    </row>
    <row r="29" spans="1:9" s="1598" customFormat="1" ht="19.5" customHeight="1">
      <c r="A29" s="3409"/>
      <c r="B29" s="3409"/>
      <c r="C29" s="1131" t="s">
        <v>1467</v>
      </c>
      <c r="D29" s="1132"/>
      <c r="E29" s="1154">
        <v>0.9</v>
      </c>
      <c r="F29" s="1133" t="s">
        <v>1468</v>
      </c>
      <c r="G29" s="1134"/>
      <c r="H29" s="1105"/>
      <c r="I29" s="1105"/>
    </row>
    <row r="30" spans="1:9" s="1598" customFormat="1" ht="19.5" customHeight="1">
      <c r="A30" s="3409"/>
      <c r="B30" s="3409"/>
      <c r="C30" s="1131" t="s">
        <v>1469</v>
      </c>
      <c r="D30" s="1132"/>
      <c r="E30" s="1154">
        <v>0.9</v>
      </c>
      <c r="F30" s="1133" t="s">
        <v>1470</v>
      </c>
      <c r="G30" s="1134"/>
      <c r="H30" s="1105"/>
      <c r="I30" s="1105"/>
    </row>
    <row r="31" spans="1:9" s="1598" customFormat="1" ht="19.5" customHeight="1">
      <c r="A31" s="3409"/>
      <c r="B31" s="3409"/>
      <c r="C31" s="1131" t="s">
        <v>1471</v>
      </c>
      <c r="D31" s="1132"/>
      <c r="E31" s="1154">
        <v>0.8</v>
      </c>
      <c r="F31" s="1133" t="s">
        <v>1472</v>
      </c>
      <c r="G31" s="1134"/>
      <c r="H31" s="1105"/>
      <c r="I31" s="1105"/>
    </row>
    <row r="32" spans="1:9" s="1598" customFormat="1" ht="19.5" customHeight="1">
      <c r="A32" s="3409"/>
      <c r="B32" s="3409"/>
      <c r="C32" s="1131" t="s">
        <v>1473</v>
      </c>
      <c r="D32" s="1132"/>
      <c r="E32" s="1154">
        <v>0.8</v>
      </c>
      <c r="F32" s="1133" t="s">
        <v>1474</v>
      </c>
      <c r="G32" s="1134"/>
      <c r="H32" s="1105"/>
      <c r="I32" s="1105"/>
    </row>
    <row r="33" spans="1:9" s="1598" customFormat="1" ht="19.5" customHeight="1">
      <c r="A33" s="3409" t="s">
        <v>1475</v>
      </c>
      <c r="B33" s="1154" t="s">
        <v>1447</v>
      </c>
      <c r="C33" s="1131" t="s">
        <v>1476</v>
      </c>
      <c r="D33" s="1132"/>
      <c r="E33" s="1154">
        <v>1</v>
      </c>
      <c r="F33" s="1133" t="s">
        <v>1477</v>
      </c>
      <c r="G33" s="1134"/>
      <c r="H33" s="1105"/>
      <c r="I33" s="1105"/>
    </row>
    <row r="34" spans="1:9" s="1598" customFormat="1" ht="19.5" customHeight="1">
      <c r="A34" s="3409"/>
      <c r="B34" s="1154" t="s">
        <v>1450</v>
      </c>
      <c r="C34" s="1131" t="s">
        <v>1478</v>
      </c>
      <c r="D34" s="1132"/>
      <c r="E34" s="1154">
        <v>1.5</v>
      </c>
      <c r="F34" s="1133" t="s">
        <v>1479</v>
      </c>
      <c r="G34" s="1134"/>
      <c r="H34" s="1105"/>
      <c r="I34" s="1105"/>
    </row>
    <row r="35" spans="1:9" s="1598" customFormat="1" ht="19.5" customHeight="1">
      <c r="A35" s="3409" t="s">
        <v>1433</v>
      </c>
      <c r="B35" s="1154" t="s">
        <v>1447</v>
      </c>
      <c r="C35" s="1131" t="s">
        <v>1480</v>
      </c>
      <c r="D35" s="1132"/>
      <c r="E35" s="1154">
        <v>1</v>
      </c>
      <c r="F35" s="1133" t="s">
        <v>1481</v>
      </c>
      <c r="G35" s="1134"/>
      <c r="H35" s="1105"/>
      <c r="I35" s="1105"/>
    </row>
    <row r="36" spans="1:9" s="1598" customFormat="1" ht="19.5" customHeight="1">
      <c r="A36" s="3409"/>
      <c r="B36" s="3409" t="s">
        <v>1450</v>
      </c>
      <c r="C36" s="1131" t="s">
        <v>1482</v>
      </c>
      <c r="D36" s="1132"/>
      <c r="E36" s="1154">
        <v>1</v>
      </c>
      <c r="F36" s="1133" t="s">
        <v>1483</v>
      </c>
      <c r="G36" s="1134"/>
      <c r="H36" s="1105"/>
      <c r="I36" s="1105"/>
    </row>
    <row r="37" spans="1:9" s="1598" customFormat="1" ht="19.5" customHeight="1">
      <c r="A37" s="3409"/>
      <c r="B37" s="3409"/>
      <c r="C37" s="1131" t="s">
        <v>1484</v>
      </c>
      <c r="D37" s="1132"/>
      <c r="E37" s="1154">
        <v>1.5</v>
      </c>
      <c r="F37" s="1133" t="s">
        <v>1485</v>
      </c>
      <c r="G37" s="1134"/>
      <c r="H37" s="1105"/>
      <c r="I37" s="1105"/>
    </row>
    <row r="38" spans="1:9" s="1598" customFormat="1" ht="19.5" customHeight="1">
      <c r="A38" s="3409"/>
      <c r="B38" s="3409"/>
      <c r="C38" s="1131" t="s">
        <v>1486</v>
      </c>
      <c r="D38" s="1132"/>
      <c r="E38" s="1154">
        <v>1</v>
      </c>
      <c r="F38" s="1133" t="s">
        <v>1487</v>
      </c>
      <c r="G38" s="1134"/>
      <c r="H38" s="1105"/>
      <c r="I38" s="1105"/>
    </row>
    <row r="39" spans="1:9" s="1598" customFormat="1" ht="19.5" customHeight="1">
      <c r="A39" s="3409"/>
      <c r="B39" s="3409"/>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9" t="s">
        <v>1502</v>
      </c>
      <c r="C61" s="1068" t="s">
        <v>1503</v>
      </c>
      <c r="D61" s="1068" t="s">
        <v>1504</v>
      </c>
      <c r="E61" s="1139">
        <v>0.5</v>
      </c>
      <c r="F61" s="1154">
        <v>80</v>
      </c>
      <c r="H61" s="1105">
        <f>SUMIF(C59:C119,基准地价!C8,E59:E119)</f>
        <v>0</v>
      </c>
    </row>
    <row r="62" spans="1:8" s="1105" customFormat="1" ht="24">
      <c r="A62" s="1154">
        <v>2</v>
      </c>
      <c r="B62" s="3409"/>
      <c r="C62" s="1068" t="s">
        <v>1505</v>
      </c>
      <c r="D62" s="1068" t="s">
        <v>1506</v>
      </c>
      <c r="E62" s="1139">
        <v>0.5</v>
      </c>
      <c r="F62" s="1154">
        <v>80</v>
      </c>
    </row>
    <row r="63" spans="1:8" s="1105" customFormat="1" ht="36">
      <c r="A63" s="1154">
        <v>3</v>
      </c>
      <c r="B63" s="3409"/>
      <c r="C63" s="1068" t="s">
        <v>1507</v>
      </c>
      <c r="D63" s="1068" t="s">
        <v>1508</v>
      </c>
      <c r="E63" s="1139">
        <v>0.5</v>
      </c>
      <c r="F63" s="1154">
        <v>80</v>
      </c>
    </row>
    <row r="64" spans="1:8" s="1105" customFormat="1" ht="36">
      <c r="A64" s="1154">
        <v>4</v>
      </c>
      <c r="B64" s="3409"/>
      <c r="C64" s="1068" t="s">
        <v>1509</v>
      </c>
      <c r="D64" s="1068" t="s">
        <v>1510</v>
      </c>
      <c r="E64" s="1139">
        <v>0.4</v>
      </c>
      <c r="F64" s="1154">
        <v>60</v>
      </c>
    </row>
    <row r="65" spans="1:6" s="1105" customFormat="1" ht="36">
      <c r="A65" s="1154">
        <v>5</v>
      </c>
      <c r="B65" s="3409"/>
      <c r="C65" s="1068" t="s">
        <v>1511</v>
      </c>
      <c r="D65" s="1068" t="s">
        <v>1512</v>
      </c>
      <c r="E65" s="1139">
        <v>0.2</v>
      </c>
      <c r="F65" s="1154">
        <v>30</v>
      </c>
    </row>
    <row r="66" spans="1:6" s="1105" customFormat="1" ht="36">
      <c r="A66" s="1154">
        <v>6</v>
      </c>
      <c r="B66" s="3409"/>
      <c r="C66" s="1068" t="s">
        <v>1513</v>
      </c>
      <c r="D66" s="1068" t="s">
        <v>1514</v>
      </c>
      <c r="E66" s="1139">
        <v>0.3</v>
      </c>
      <c r="F66" s="1154">
        <v>50</v>
      </c>
    </row>
    <row r="67" spans="1:6" s="1105" customFormat="1" ht="36">
      <c r="A67" s="1154">
        <v>7</v>
      </c>
      <c r="B67" s="3409"/>
      <c r="C67" s="1068" t="s">
        <v>1515</v>
      </c>
      <c r="D67" s="1068" t="s">
        <v>1516</v>
      </c>
      <c r="E67" s="1139">
        <v>0.2</v>
      </c>
      <c r="F67" s="1154">
        <v>30</v>
      </c>
    </row>
    <row r="68" spans="1:6" s="1105" customFormat="1" ht="36">
      <c r="A68" s="1154">
        <v>8</v>
      </c>
      <c r="B68" s="3409"/>
      <c r="C68" s="1068" t="s">
        <v>1517</v>
      </c>
      <c r="D68" s="1068" t="s">
        <v>1518</v>
      </c>
      <c r="E68" s="1139">
        <v>0.2</v>
      </c>
      <c r="F68" s="1154">
        <v>30</v>
      </c>
    </row>
    <row r="69" spans="1:6" s="1105" customFormat="1" ht="36">
      <c r="A69" s="1154">
        <v>9</v>
      </c>
      <c r="B69" s="3409"/>
      <c r="C69" s="1068" t="s">
        <v>1519</v>
      </c>
      <c r="D69" s="1068" t="s">
        <v>1520</v>
      </c>
      <c r="E69" s="1139">
        <v>0.2</v>
      </c>
      <c r="F69" s="1154">
        <v>30</v>
      </c>
    </row>
    <row r="70" spans="1:6" s="1105" customFormat="1" ht="48">
      <c r="A70" s="1154">
        <v>10</v>
      </c>
      <c r="B70" s="3409"/>
      <c r="C70" s="1068" t="s">
        <v>1521</v>
      </c>
      <c r="D70" s="1068" t="s">
        <v>1522</v>
      </c>
      <c r="E70" s="1139">
        <v>0.2</v>
      </c>
      <c r="F70" s="1154">
        <v>30</v>
      </c>
    </row>
    <row r="71" spans="1:6" s="1105" customFormat="1" ht="48">
      <c r="A71" s="1154">
        <v>11</v>
      </c>
      <c r="B71" s="3409"/>
      <c r="C71" s="1068" t="s">
        <v>1523</v>
      </c>
      <c r="D71" s="1068" t="s">
        <v>1524</v>
      </c>
      <c r="E71" s="1139">
        <v>0.2</v>
      </c>
      <c r="F71" s="1154">
        <v>30</v>
      </c>
    </row>
    <row r="72" spans="1:6" s="1105" customFormat="1" ht="36">
      <c r="A72" s="1154">
        <v>12</v>
      </c>
      <c r="B72" s="3409"/>
      <c r="C72" s="1068" t="s">
        <v>1525</v>
      </c>
      <c r="D72" s="1068" t="s">
        <v>1526</v>
      </c>
      <c r="E72" s="1139">
        <v>0.5</v>
      </c>
      <c r="F72" s="1154">
        <v>80</v>
      </c>
    </row>
    <row r="73" spans="1:6" s="1105" customFormat="1" ht="24">
      <c r="A73" s="1154">
        <v>13</v>
      </c>
      <c r="B73" s="3409"/>
      <c r="C73" s="1068" t="s">
        <v>1527</v>
      </c>
      <c r="D73" s="1068" t="s">
        <v>1528</v>
      </c>
      <c r="E73" s="1139">
        <v>0.4</v>
      </c>
      <c r="F73" s="1154">
        <v>60</v>
      </c>
    </row>
    <row r="74" spans="1:6" s="1105" customFormat="1" ht="24">
      <c r="A74" s="1154">
        <v>14</v>
      </c>
      <c r="B74" s="3409"/>
      <c r="C74" s="1068" t="s">
        <v>1529</v>
      </c>
      <c r="D74" s="1068" t="s">
        <v>1530</v>
      </c>
      <c r="E74" s="1139">
        <v>0.2</v>
      </c>
      <c r="F74" s="1154">
        <v>30</v>
      </c>
    </row>
    <row r="75" spans="1:6" s="1105" customFormat="1" ht="24">
      <c r="A75" s="1154">
        <v>15</v>
      </c>
      <c r="B75" s="3409"/>
      <c r="C75" s="1068" t="s">
        <v>1531</v>
      </c>
      <c r="D75" s="1068" t="s">
        <v>1532</v>
      </c>
      <c r="E75" s="1139">
        <v>0.2</v>
      </c>
      <c r="F75" s="1154">
        <v>30</v>
      </c>
    </row>
    <row r="76" spans="1:6" s="1105" customFormat="1" ht="24">
      <c r="A76" s="1154">
        <v>16</v>
      </c>
      <c r="B76" s="3409" t="s">
        <v>1533</v>
      </c>
      <c r="C76" s="1068" t="s">
        <v>1534</v>
      </c>
      <c r="D76" s="1068" t="s">
        <v>1535</v>
      </c>
      <c r="E76" s="1139">
        <v>0.5</v>
      </c>
      <c r="F76" s="1154">
        <v>80</v>
      </c>
    </row>
    <row r="77" spans="1:6" s="1105" customFormat="1" ht="24">
      <c r="A77" s="1154">
        <v>17</v>
      </c>
      <c r="B77" s="3409"/>
      <c r="C77" s="1068" t="s">
        <v>1536</v>
      </c>
      <c r="D77" s="1068" t="s">
        <v>1537</v>
      </c>
      <c r="E77" s="1139">
        <v>0.5</v>
      </c>
      <c r="F77" s="1154">
        <v>80</v>
      </c>
    </row>
    <row r="78" spans="1:6" s="1105" customFormat="1" ht="24">
      <c r="A78" s="1154">
        <v>18</v>
      </c>
      <c r="B78" s="3409"/>
      <c r="C78" s="1068" t="s">
        <v>1538</v>
      </c>
      <c r="D78" s="1068" t="s">
        <v>1539</v>
      </c>
      <c r="E78" s="1139">
        <v>0.2</v>
      </c>
      <c r="F78" s="1154">
        <v>30</v>
      </c>
    </row>
    <row r="79" spans="1:6" s="1105" customFormat="1" ht="24">
      <c r="A79" s="1154">
        <v>19</v>
      </c>
      <c r="B79" s="3409"/>
      <c r="C79" s="1068" t="s">
        <v>1540</v>
      </c>
      <c r="D79" s="1068" t="s">
        <v>1541</v>
      </c>
      <c r="E79" s="1139">
        <v>0.5</v>
      </c>
      <c r="F79" s="1154">
        <v>80</v>
      </c>
    </row>
    <row r="80" spans="1:6" s="1105" customFormat="1" ht="36">
      <c r="A80" s="1154">
        <v>20</v>
      </c>
      <c r="B80" s="3409"/>
      <c r="C80" s="1068" t="s">
        <v>1542</v>
      </c>
      <c r="D80" s="1068" t="s">
        <v>1543</v>
      </c>
      <c r="E80" s="1139">
        <v>0.2</v>
      </c>
      <c r="F80" s="1154">
        <v>30</v>
      </c>
    </row>
    <row r="81" spans="1:6" s="1105" customFormat="1" ht="36">
      <c r="A81" s="1154">
        <v>21</v>
      </c>
      <c r="B81" s="3409"/>
      <c r="C81" s="1068" t="s">
        <v>1544</v>
      </c>
      <c r="D81" s="1068" t="s">
        <v>1545</v>
      </c>
      <c r="E81" s="1139">
        <v>0.2</v>
      </c>
      <c r="F81" s="1154">
        <v>30</v>
      </c>
    </row>
    <row r="82" spans="1:6" s="1105" customFormat="1" ht="48">
      <c r="A82" s="1154">
        <v>22</v>
      </c>
      <c r="B82" s="3409"/>
      <c r="C82" s="1068" t="s">
        <v>1546</v>
      </c>
      <c r="D82" s="1068" t="s">
        <v>1547</v>
      </c>
      <c r="E82" s="1139">
        <v>0.2</v>
      </c>
      <c r="F82" s="1154">
        <v>30</v>
      </c>
    </row>
    <row r="83" spans="1:6" s="1105" customFormat="1" ht="48">
      <c r="A83" s="1154">
        <v>23</v>
      </c>
      <c r="B83" s="3409"/>
      <c r="C83" s="1068" t="s">
        <v>1548</v>
      </c>
      <c r="D83" s="1068" t="s">
        <v>1549</v>
      </c>
      <c r="E83" s="1139">
        <v>0.2</v>
      </c>
      <c r="F83" s="1154">
        <v>30</v>
      </c>
    </row>
    <row r="84" spans="1:6" s="1105" customFormat="1" ht="36">
      <c r="A84" s="1154">
        <v>24</v>
      </c>
      <c r="B84" s="3409"/>
      <c r="C84" s="1068" t="s">
        <v>1550</v>
      </c>
      <c r="D84" s="1068" t="s">
        <v>1551</v>
      </c>
      <c r="E84" s="1139">
        <v>0.2</v>
      </c>
      <c r="F84" s="1154">
        <v>30</v>
      </c>
    </row>
    <row r="85" spans="1:6" s="1105" customFormat="1" ht="36">
      <c r="A85" s="1154">
        <v>25</v>
      </c>
      <c r="B85" s="3409"/>
      <c r="C85" s="1068" t="s">
        <v>1552</v>
      </c>
      <c r="D85" s="1068" t="s">
        <v>1553</v>
      </c>
      <c r="E85" s="1139">
        <v>0.5</v>
      </c>
      <c r="F85" s="1154">
        <v>80</v>
      </c>
    </row>
    <row r="86" spans="1:6" s="1105" customFormat="1" ht="36">
      <c r="A86" s="1154">
        <v>26</v>
      </c>
      <c r="B86" s="3409"/>
      <c r="C86" s="1068" t="s">
        <v>1554</v>
      </c>
      <c r="D86" s="1068" t="s">
        <v>1555</v>
      </c>
      <c r="E86" s="1139">
        <v>0.2</v>
      </c>
      <c r="F86" s="1154">
        <v>30</v>
      </c>
    </row>
    <row r="87" spans="1:6" s="1105" customFormat="1" ht="36">
      <c r="A87" s="1154">
        <v>27</v>
      </c>
      <c r="B87" s="3409"/>
      <c r="C87" s="1068" t="s">
        <v>1556</v>
      </c>
      <c r="D87" s="1068" t="s">
        <v>1557</v>
      </c>
      <c r="E87" s="1139">
        <v>0.2</v>
      </c>
      <c r="F87" s="1154">
        <v>30</v>
      </c>
    </row>
    <row r="88" spans="1:6" s="1105" customFormat="1" ht="36">
      <c r="A88" s="1154">
        <v>28</v>
      </c>
      <c r="B88" s="3409"/>
      <c r="C88" s="1068" t="s">
        <v>1558</v>
      </c>
      <c r="D88" s="1068" t="s">
        <v>1559</v>
      </c>
      <c r="E88" s="1139">
        <v>0.2</v>
      </c>
      <c r="F88" s="1154">
        <v>30</v>
      </c>
    </row>
    <row r="89" spans="1:6" s="1105" customFormat="1" ht="24">
      <c r="A89" s="1154">
        <v>29</v>
      </c>
      <c r="B89" s="3409"/>
      <c r="C89" s="1068" t="s">
        <v>1560</v>
      </c>
      <c r="D89" s="1068" t="s">
        <v>1561</v>
      </c>
      <c r="E89" s="1139">
        <v>0.2</v>
      </c>
      <c r="F89" s="1154">
        <v>30</v>
      </c>
    </row>
    <row r="90" spans="1:6" s="1105" customFormat="1" ht="24">
      <c r="A90" s="1154">
        <v>30</v>
      </c>
      <c r="B90" s="3409"/>
      <c r="C90" s="1068" t="s">
        <v>1562</v>
      </c>
      <c r="D90" s="1068" t="s">
        <v>1563</v>
      </c>
      <c r="E90" s="1139">
        <v>0.2</v>
      </c>
      <c r="F90" s="1154">
        <v>30</v>
      </c>
    </row>
    <row r="91" spans="1:6" s="1105" customFormat="1" ht="36">
      <c r="A91" s="1154">
        <v>31</v>
      </c>
      <c r="B91" s="3409"/>
      <c r="C91" s="1068" t="s">
        <v>1564</v>
      </c>
      <c r="D91" s="1068" t="s">
        <v>1565</v>
      </c>
      <c r="E91" s="1139">
        <v>0.2</v>
      </c>
      <c r="F91" s="1154">
        <v>30</v>
      </c>
    </row>
    <row r="92" spans="1:6" s="1105" customFormat="1" ht="24">
      <c r="A92" s="1154">
        <v>32</v>
      </c>
      <c r="B92" s="3409" t="s">
        <v>1566</v>
      </c>
      <c r="C92" s="1154" t="s">
        <v>1567</v>
      </c>
      <c r="D92" s="1068" t="s">
        <v>1568</v>
      </c>
      <c r="E92" s="1139">
        <v>0.2</v>
      </c>
      <c r="F92" s="1154">
        <v>30</v>
      </c>
    </row>
    <row r="93" spans="1:6" s="1105" customFormat="1" ht="36">
      <c r="A93" s="1154">
        <v>33</v>
      </c>
      <c r="B93" s="3409"/>
      <c r="C93" s="1154" t="s">
        <v>1569</v>
      </c>
      <c r="D93" s="1068" t="s">
        <v>1570</v>
      </c>
      <c r="E93" s="1139">
        <v>0.2</v>
      </c>
      <c r="F93" s="1154">
        <v>30</v>
      </c>
    </row>
    <row r="94" spans="1:6" s="1105" customFormat="1" ht="48">
      <c r="A94" s="1154">
        <v>34</v>
      </c>
      <c r="B94" s="3409"/>
      <c r="C94" s="1154" t="s">
        <v>1571</v>
      </c>
      <c r="D94" s="1068" t="s">
        <v>1572</v>
      </c>
      <c r="E94" s="1139">
        <v>0.2</v>
      </c>
      <c r="F94" s="1154">
        <v>30</v>
      </c>
    </row>
    <row r="95" spans="1:6" s="1105" customFormat="1" ht="36">
      <c r="A95" s="1154">
        <v>35</v>
      </c>
      <c r="B95" s="3409"/>
      <c r="C95" s="1154" t="s">
        <v>1573</v>
      </c>
      <c r="D95" s="1068" t="s">
        <v>1574</v>
      </c>
      <c r="E95" s="1139">
        <v>0.2</v>
      </c>
      <c r="F95" s="1154">
        <v>30</v>
      </c>
    </row>
    <row r="96" spans="1:6" s="1105" customFormat="1" ht="48">
      <c r="A96" s="1154">
        <v>36</v>
      </c>
      <c r="B96" s="3409"/>
      <c r="C96" s="1068" t="s">
        <v>1575</v>
      </c>
      <c r="D96" s="1068" t="s">
        <v>1576</v>
      </c>
      <c r="E96" s="1139">
        <v>0.2</v>
      </c>
      <c r="F96" s="1154">
        <v>30</v>
      </c>
    </row>
    <row r="97" spans="1:6" s="1105" customFormat="1" ht="36">
      <c r="A97" s="1154">
        <v>37</v>
      </c>
      <c r="B97" s="3409"/>
      <c r="C97" s="1154" t="s">
        <v>1577</v>
      </c>
      <c r="D97" s="1068" t="s">
        <v>1578</v>
      </c>
      <c r="E97" s="1139">
        <v>0.2</v>
      </c>
      <c r="F97" s="1154">
        <v>30</v>
      </c>
    </row>
    <row r="98" spans="1:6" s="1105" customFormat="1" ht="36">
      <c r="A98" s="1154">
        <v>38</v>
      </c>
      <c r="B98" s="3409"/>
      <c r="C98" s="1154" t="s">
        <v>1579</v>
      </c>
      <c r="D98" s="1068" t="s">
        <v>1580</v>
      </c>
      <c r="E98" s="1139">
        <v>0.2</v>
      </c>
      <c r="F98" s="1154">
        <v>30</v>
      </c>
    </row>
    <row r="99" spans="1:6" s="1105" customFormat="1" ht="36">
      <c r="A99" s="1154">
        <v>39</v>
      </c>
      <c r="B99" s="3409" t="s">
        <v>1581</v>
      </c>
      <c r="C99" s="1154" t="s">
        <v>1582</v>
      </c>
      <c r="D99" s="1068" t="s">
        <v>1583</v>
      </c>
      <c r="E99" s="1139">
        <v>0.3</v>
      </c>
      <c r="F99" s="1154">
        <v>50</v>
      </c>
    </row>
    <row r="100" spans="1:6" s="1105" customFormat="1" ht="24">
      <c r="A100" s="1154">
        <v>40</v>
      </c>
      <c r="B100" s="3409"/>
      <c r="C100" s="1154" t="s">
        <v>1584</v>
      </c>
      <c r="D100" s="1068" t="s">
        <v>1585</v>
      </c>
      <c r="E100" s="1139">
        <v>0.2</v>
      </c>
      <c r="F100" s="1154">
        <v>30</v>
      </c>
    </row>
    <row r="101" spans="1:6" s="1105" customFormat="1" ht="36">
      <c r="A101" s="1154">
        <v>41</v>
      </c>
      <c r="B101" s="340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9" t="s">
        <v>1596</v>
      </c>
      <c r="C105" s="1154" t="s">
        <v>1597</v>
      </c>
      <c r="D105" s="1068" t="s">
        <v>1598</v>
      </c>
      <c r="E105" s="1139">
        <v>0.2</v>
      </c>
      <c r="F105" s="1154">
        <v>30</v>
      </c>
    </row>
    <row r="106" spans="1:6" s="1105" customFormat="1" ht="36">
      <c r="A106" s="1154">
        <v>46</v>
      </c>
      <c r="B106" s="3409"/>
      <c r="C106" s="1154" t="s">
        <v>1599</v>
      </c>
      <c r="D106" s="1068" t="s">
        <v>1600</v>
      </c>
      <c r="E106" s="1139">
        <v>0.2</v>
      </c>
      <c r="F106" s="1154">
        <v>30</v>
      </c>
    </row>
    <row r="107" spans="1:6" s="1105" customFormat="1" ht="36">
      <c r="A107" s="1154">
        <v>47</v>
      </c>
      <c r="B107" s="3409" t="s">
        <v>1601</v>
      </c>
      <c r="C107" s="1154" t="s">
        <v>1602</v>
      </c>
      <c r="D107" s="1068" t="s">
        <v>1603</v>
      </c>
      <c r="E107" s="1139">
        <v>0.3</v>
      </c>
      <c r="F107" s="1154">
        <v>50</v>
      </c>
    </row>
    <row r="108" spans="1:6" s="1105" customFormat="1" ht="36">
      <c r="A108" s="1154">
        <v>48</v>
      </c>
      <c r="B108" s="340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9" t="s">
        <v>1612</v>
      </c>
      <c r="C111" s="1154" t="s">
        <v>1613</v>
      </c>
      <c r="D111" s="1068" t="s">
        <v>1614</v>
      </c>
      <c r="E111" s="1139">
        <v>0.2</v>
      </c>
      <c r="F111" s="1154">
        <v>30</v>
      </c>
    </row>
    <row r="112" spans="1:6" s="1105" customFormat="1" ht="24">
      <c r="A112" s="1154">
        <v>52</v>
      </c>
      <c r="B112" s="3409"/>
      <c r="C112" s="1154" t="s">
        <v>1615</v>
      </c>
      <c r="D112" s="1068" t="s">
        <v>1616</v>
      </c>
      <c r="E112" s="1139">
        <v>0.2</v>
      </c>
      <c r="F112" s="1154">
        <v>30</v>
      </c>
    </row>
    <row r="113" spans="1:14" s="1105" customFormat="1" ht="24">
      <c r="A113" s="1154">
        <v>53</v>
      </c>
      <c r="B113" s="340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9" t="s">
        <v>1625</v>
      </c>
      <c r="C116" s="1154" t="s">
        <v>1626</v>
      </c>
      <c r="D116" s="1068" t="s">
        <v>1627</v>
      </c>
      <c r="E116" s="1139">
        <v>0.2</v>
      </c>
      <c r="F116" s="1154">
        <v>30</v>
      </c>
    </row>
    <row r="117" spans="1:14" ht="36">
      <c r="A117" s="1154">
        <v>57</v>
      </c>
      <c r="B117" s="340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8" t="s">
        <v>1634</v>
      </c>
      <c r="B121" s="3408"/>
      <c r="C121" s="3408"/>
      <c r="D121" s="3408"/>
      <c r="E121" s="3408"/>
      <c r="F121" s="3408"/>
      <c r="G121" s="3408"/>
      <c r="H121" s="3408"/>
      <c r="I121" s="3408"/>
      <c r="J121" s="340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1" t="s">
        <v>1040</v>
      </c>
      <c r="B1" s="3421"/>
      <c r="C1" s="3421"/>
      <c r="D1" s="3421"/>
      <c r="E1" s="3421"/>
      <c r="F1" s="342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2" t="s">
        <v>1053</v>
      </c>
      <c r="B2" s="3422"/>
      <c r="C2" s="3422"/>
      <c r="D2" s="3422"/>
      <c r="E2" s="3422"/>
      <c r="F2" s="342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5" t="s">
        <v>2081</v>
      </c>
      <c r="B1" s="3425"/>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2955</v>
      </c>
      <c r="B1" s="3132"/>
      <c r="C1" s="3132"/>
      <c r="D1" s="3132"/>
      <c r="E1" s="3132"/>
      <c r="F1" s="3132"/>
    </row>
    <row r="2" spans="1:6" ht="14.25">
      <c r="A2" s="3133" t="s">
        <v>2949</v>
      </c>
      <c r="B2" s="3134" t="e">
        <f ca="1">SUMIF(B7:B14,"&lt;&gt;#ref!",B7:B14)</f>
        <v>#DIV/0!</v>
      </c>
      <c r="C2" s="3133" t="s">
        <v>2950</v>
      </c>
      <c r="D2" s="3132"/>
      <c r="E2" s="3132"/>
      <c r="F2" s="3132"/>
    </row>
    <row r="3" spans="1:6" ht="14.25">
      <c r="A3" s="3133" t="s">
        <v>2952</v>
      </c>
      <c r="B3" s="3134" t="e">
        <f ca="1">ROUND(B2*10000/E3,0)</f>
        <v>#DIV/0!</v>
      </c>
      <c r="C3" s="3133" t="s">
        <v>2080</v>
      </c>
      <c r="D3" s="3133" t="s">
        <v>2951</v>
      </c>
      <c r="E3" s="3134" t="e">
        <f ca="1">SUM(E7:E14)</f>
        <v>#REF!</v>
      </c>
      <c r="F3" s="3132"/>
    </row>
    <row r="4" spans="1:6" ht="14.25">
      <c r="A4" s="3133" t="s">
        <v>2959</v>
      </c>
      <c r="B4" s="3134" t="e">
        <f ca="1">ROUND(B2*10000/E4,0)</f>
        <v>#DIV/0!</v>
      </c>
      <c r="C4" s="3133" t="s">
        <v>2080</v>
      </c>
      <c r="D4" s="3133" t="s">
        <v>2960</v>
      </c>
      <c r="E4" s="3134" t="e">
        <f ca="1">SUM(F7:F14)</f>
        <v>#REF!</v>
      </c>
      <c r="F4" s="3132"/>
    </row>
    <row r="5" spans="1:6" ht="14.25">
      <c r="A5" s="3135"/>
      <c r="B5" s="1881"/>
      <c r="C5" s="1881"/>
      <c r="D5" s="1881"/>
      <c r="E5" s="1881"/>
      <c r="F5" s="3132"/>
    </row>
    <row r="6" spans="1:6" ht="28.5">
      <c r="A6" s="3136" t="s">
        <v>2956</v>
      </c>
      <c r="B6" s="3133" t="s">
        <v>2953</v>
      </c>
      <c r="C6" s="3134"/>
      <c r="D6" s="1881"/>
      <c r="E6" s="3133" t="s">
        <v>2954</v>
      </c>
      <c r="F6" s="3133" t="s">
        <v>2958</v>
      </c>
    </row>
    <row r="7" spans="1:6" ht="14.25">
      <c r="A7" s="260" t="s">
        <v>2957</v>
      </c>
      <c r="B7" s="3137" t="e">
        <f ca="1">SUMIF(INDIRECT("'"&amp;A7&amp;"'"&amp;"!A:A"),"总价",INDIRECT("'"&amp;A7&amp;"'"&amp;"!B:B"))</f>
        <v>#DIV/0!</v>
      </c>
      <c r="C7" s="3133" t="s">
        <v>2950</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2950</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2950</v>
      </c>
      <c r="D9" s="1881"/>
      <c r="E9" s="3138" t="e">
        <f t="shared" ca="1" si="1"/>
        <v>#REF!</v>
      </c>
      <c r="F9" s="3138" t="e">
        <f t="shared" ca="1" si="2"/>
        <v>#REF!</v>
      </c>
    </row>
    <row r="10" spans="1:6" ht="14.25">
      <c r="A10" s="260"/>
      <c r="B10" s="3137" t="e">
        <f t="shared" ca="1" si="0"/>
        <v>#REF!</v>
      </c>
      <c r="C10" s="3133" t="s">
        <v>2950</v>
      </c>
      <c r="D10" s="1881"/>
      <c r="E10" s="3138" t="e">
        <f t="shared" ca="1" si="1"/>
        <v>#REF!</v>
      </c>
      <c r="F10" s="3138" t="e">
        <f t="shared" ca="1" si="2"/>
        <v>#REF!</v>
      </c>
    </row>
    <row r="11" spans="1:6" ht="14.25">
      <c r="A11" s="260"/>
      <c r="B11" s="3137" t="e">
        <f t="shared" ca="1" si="0"/>
        <v>#REF!</v>
      </c>
      <c r="C11" s="3133" t="s">
        <v>2950</v>
      </c>
      <c r="D11" s="1881"/>
      <c r="E11" s="3138" t="e">
        <f t="shared" ca="1" si="1"/>
        <v>#REF!</v>
      </c>
      <c r="F11" s="3138" t="e">
        <f t="shared" ca="1" si="2"/>
        <v>#REF!</v>
      </c>
    </row>
    <row r="12" spans="1:6" ht="14.25">
      <c r="A12" s="260"/>
      <c r="B12" s="3137" t="e">
        <f t="shared" ca="1" si="0"/>
        <v>#REF!</v>
      </c>
      <c r="C12" s="3133" t="s">
        <v>2950</v>
      </c>
      <c r="D12" s="1881"/>
      <c r="E12" s="3138" t="e">
        <f t="shared" ca="1" si="1"/>
        <v>#REF!</v>
      </c>
      <c r="F12" s="3138" t="e">
        <f t="shared" ca="1" si="2"/>
        <v>#REF!</v>
      </c>
    </row>
    <row r="13" spans="1:6" ht="14.25">
      <c r="A13" s="260"/>
      <c r="B13" s="3137" t="e">
        <f t="shared" ca="1" si="0"/>
        <v>#REF!</v>
      </c>
      <c r="C13" s="3133" t="s">
        <v>2950</v>
      </c>
      <c r="D13" s="1881"/>
      <c r="E13" s="3138" t="e">
        <f t="shared" ca="1" si="1"/>
        <v>#REF!</v>
      </c>
      <c r="F13" s="3138" t="e">
        <f t="shared" ca="1" si="2"/>
        <v>#REF!</v>
      </c>
    </row>
    <row r="14" spans="1:6" ht="14.25">
      <c r="A14" s="3131"/>
      <c r="B14" s="3137" t="e">
        <f t="shared" ca="1" si="0"/>
        <v>#REF!</v>
      </c>
      <c r="C14" s="3133" t="s">
        <v>2950</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2377</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695</v>
      </c>
      <c r="I3" s="2057"/>
      <c r="J3" s="2057"/>
      <c r="K3" s="2058"/>
      <c r="L3" s="2057"/>
      <c r="M3" s="2057"/>
    </row>
    <row r="4" spans="1:25" ht="18" customHeight="1">
      <c r="A4" s="1645" t="s">
        <v>696</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2461</v>
      </c>
      <c r="C7" s="53">
        <f ca="1">C8+C12+C14</f>
        <v>0</v>
      </c>
      <c r="D7" s="2520" t="s">
        <v>2464</v>
      </c>
      <c r="E7" s="2514"/>
      <c r="F7" s="2515"/>
      <c r="G7" s="1591"/>
      <c r="H7" s="781">
        <v>1</v>
      </c>
      <c r="I7" s="782" t="s">
        <v>2461</v>
      </c>
      <c r="J7" s="53">
        <f ca="1">J8+J12+J14</f>
        <v>0</v>
      </c>
      <c r="K7" s="2520" t="s">
        <v>2464</v>
      </c>
      <c r="L7" s="2514"/>
      <c r="M7" s="2515"/>
    </row>
    <row r="8" spans="1:25" ht="18" customHeight="1">
      <c r="A8" s="1830" t="s">
        <v>1824</v>
      </c>
      <c r="B8" s="3427" t="s">
        <v>2466</v>
      </c>
      <c r="C8" s="1825">
        <f ca="1">ROUND(F8*F10*F9*(1-F11)/10000,0)</f>
        <v>0</v>
      </c>
      <c r="D8" s="1822" t="s">
        <v>2537</v>
      </c>
      <c r="E8" s="61" t="s">
        <v>637</v>
      </c>
      <c r="F8" s="785">
        <f ca="1">INDIRECT("'数据-取费表'!u"&amp;$G$1)</f>
        <v>0</v>
      </c>
      <c r="G8" s="1591"/>
      <c r="H8" s="2528" t="s">
        <v>1824</v>
      </c>
      <c r="I8" s="3427" t="s">
        <v>2466</v>
      </c>
      <c r="J8" s="783">
        <f ca="1">ROUND(M8*M10*M9*(1-M11)/10000,0)</f>
        <v>0</v>
      </c>
      <c r="K8" s="341" t="s">
        <v>2537</v>
      </c>
      <c r="L8" s="784" t="s">
        <v>1738</v>
      </c>
      <c r="M8" s="785">
        <f ca="1">INDIRECT("'数据-取费表'!z"&amp;$G$1)</f>
        <v>0</v>
      </c>
    </row>
    <row r="9" spans="1:25" ht="18" customHeight="1">
      <c r="A9" s="2524"/>
      <c r="B9" s="3428"/>
      <c r="C9" s="1826"/>
      <c r="D9" s="1823"/>
      <c r="E9" s="61" t="s">
        <v>638</v>
      </c>
      <c r="F9" s="785">
        <f ca="1">IF(INDIRECT("'数据-取费表'!ah"&amp;$G$1)="",INDIRECT("'数据-取费表'!k"&amp;$G$1),INDIRECT("'数据-取费表'!ah"&amp;$G$1))</f>
        <v>0</v>
      </c>
      <c r="G9" s="1591"/>
      <c r="H9" s="2513"/>
      <c r="I9" s="3428"/>
      <c r="J9" s="788"/>
      <c r="K9" s="789"/>
      <c r="L9" s="784" t="s">
        <v>1739</v>
      </c>
      <c r="M9" s="785">
        <f ca="1">F9</f>
        <v>0</v>
      </c>
    </row>
    <row r="10" spans="1:25" ht="18" customHeight="1">
      <c r="A10" s="2517"/>
      <c r="B10" s="3429"/>
      <c r="C10" s="1826"/>
      <c r="D10" s="1823"/>
      <c r="E10" s="61" t="s">
        <v>639</v>
      </c>
      <c r="F10" s="785">
        <f ca="1">INDIRECT("'数据-取费表'!ai"&amp;$G$1)</f>
        <v>0</v>
      </c>
      <c r="G10" s="1591"/>
      <c r="H10" s="2513"/>
      <c r="I10" s="3429"/>
      <c r="J10" s="788"/>
      <c r="K10" s="789"/>
      <c r="L10" s="784" t="s">
        <v>1740</v>
      </c>
      <c r="M10" s="785">
        <f ca="1">INDIRECT("'数据-取费表'!ai"&amp;$G$1)</f>
        <v>0</v>
      </c>
    </row>
    <row r="11" spans="1:25" ht="18" customHeight="1">
      <c r="A11" s="786"/>
      <c r="B11" s="3430"/>
      <c r="C11" s="1826"/>
      <c r="D11" s="1823"/>
      <c r="E11" s="61" t="s">
        <v>640</v>
      </c>
      <c r="F11" s="794">
        <f ca="1">INDIRECT("'数据-取费表'!w"&amp;$G$1)</f>
        <v>0</v>
      </c>
      <c r="G11" s="1591"/>
      <c r="H11" s="2529"/>
      <c r="I11" s="3429"/>
      <c r="J11" s="788"/>
      <c r="K11" s="789"/>
      <c r="L11" s="795" t="s">
        <v>1741</v>
      </c>
      <c r="M11" s="796">
        <f ca="1">INDIRECT("'数据-取费表'!ab"&amp;$G$1)</f>
        <v>0</v>
      </c>
    </row>
    <row r="12" spans="1:25" ht="18" customHeight="1">
      <c r="A12" s="1830" t="s">
        <v>1825</v>
      </c>
      <c r="B12" s="2518" t="s">
        <v>2462</v>
      </c>
      <c r="C12" s="799">
        <f ca="1">ROUND(IF(F12="押一",C8/12*F13,IF(F12="押二",C8/12*2*F13,IF(F12="押三",C8/12*3*F13,C13*F13))),0)</f>
        <v>0</v>
      </c>
      <c r="D12" s="2525" t="s">
        <v>2980</v>
      </c>
      <c r="E12" s="2522" t="s">
        <v>2467</v>
      </c>
      <c r="F12" s="2645"/>
      <c r="G12" s="1591"/>
      <c r="H12" s="2585" t="s">
        <v>1825</v>
      </c>
      <c r="I12" s="2590" t="s">
        <v>2462</v>
      </c>
      <c r="J12" s="783">
        <f ca="1">ROUND(IF(M12="押一",J8/12*M13,IF(M12="押二",J8/12*2*M13,IF(M12="押三",J8/12*3*M13,J13*M13))),0)</f>
        <v>0</v>
      </c>
      <c r="K12" s="2525" t="s">
        <v>2980</v>
      </c>
      <c r="L12" s="2522" t="s">
        <v>2467</v>
      </c>
      <c r="M12" s="2645"/>
    </row>
    <row r="13" spans="1:25" ht="18" customHeight="1">
      <c r="A13" s="790"/>
      <c r="B13" s="2519" t="s">
        <v>2576</v>
      </c>
      <c r="C13" s="2523"/>
      <c r="D13" s="789"/>
      <c r="E13" s="2522" t="s">
        <v>2459</v>
      </c>
      <c r="F13" s="796">
        <f ca="1">'数据-取费表'!B39</f>
        <v>1.4999999999999999E-2</v>
      </c>
      <c r="G13" s="1591"/>
      <c r="H13" s="2586"/>
      <c r="I13" s="2519" t="s">
        <v>2576</v>
      </c>
      <c r="J13" s="2523"/>
      <c r="K13" s="2587"/>
      <c r="L13" s="2522" t="s">
        <v>2459</v>
      </c>
      <c r="M13" s="2516">
        <f ca="1">'数据-取费表'!B39</f>
        <v>1.4999999999999999E-2</v>
      </c>
    </row>
    <row r="14" spans="1:25" ht="18" customHeight="1" thickBot="1">
      <c r="A14" s="2561" t="s">
        <v>2470</v>
      </c>
      <c r="B14" s="2562" t="s">
        <v>2463</v>
      </c>
      <c r="C14" s="2563"/>
      <c r="D14" s="2564"/>
      <c r="E14" s="2565"/>
      <c r="F14" s="2566"/>
      <c r="G14" s="1591"/>
      <c r="H14" s="2575" t="s">
        <v>2470</v>
      </c>
      <c r="I14" s="2588" t="s">
        <v>2463</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2"/>
      <c r="H22" s="1832" t="s">
        <v>1850</v>
      </c>
      <c r="I22" s="1822" t="s">
        <v>668</v>
      </c>
      <c r="J22" s="54">
        <f ca="1">ROUND(M22*M23/10000,0)</f>
        <v>0</v>
      </c>
      <c r="K22" s="814" t="s">
        <v>669</v>
      </c>
      <c r="L22" s="784" t="s">
        <v>670</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2072</v>
      </c>
      <c r="I24" s="784" t="s">
        <v>676</v>
      </c>
      <c r="J24" s="53">
        <f ca="1">ROUND(J16*M24,0)</f>
        <v>0</v>
      </c>
      <c r="K24" s="1977" t="s">
        <v>677</v>
      </c>
      <c r="L24" s="784" t="s">
        <v>649</v>
      </c>
      <c r="M24" s="817">
        <f ca="1">INDIRECT("'数据-取费表'!Ak"&amp;$G$1)</f>
        <v>0</v>
      </c>
    </row>
    <row r="25" spans="1:25" s="2064" customFormat="1" ht="18" customHeight="1">
      <c r="A25" s="803" t="s">
        <v>1875</v>
      </c>
      <c r="B25" s="784" t="s">
        <v>2440</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3</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1"/>
      <c r="H27" s="797" t="s">
        <v>1828</v>
      </c>
      <c r="I27" s="3035" t="s">
        <v>2824</v>
      </c>
      <c r="J27" s="799">
        <f ca="1">J7-J18</f>
        <v>0</v>
      </c>
      <c r="K27" s="1979" t="s">
        <v>700</v>
      </c>
      <c r="L27" s="1981"/>
      <c r="M27" s="820"/>
    </row>
    <row r="28" spans="1:25" ht="18" customHeight="1">
      <c r="A28" s="803" t="s">
        <v>1875</v>
      </c>
      <c r="B28" s="784" t="s">
        <v>2441</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2825</v>
      </c>
      <c r="C31" s="2568">
        <f ca="1">ROUND((C21+C22+C25+C28)/(1-F23-C26-C29-C30),0)</f>
        <v>0</v>
      </c>
      <c r="D31" s="2569"/>
      <c r="E31" s="2570"/>
      <c r="F31" s="2571"/>
      <c r="G31" s="1592"/>
      <c r="H31" s="823" t="s">
        <v>1872</v>
      </c>
      <c r="I31" s="3036"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3</v>
      </c>
      <c r="G36" s="2062"/>
      <c r="H36" s="2065"/>
      <c r="I36" s="3426"/>
      <c r="J36" s="2079"/>
      <c r="K36" s="2080"/>
      <c r="L36" s="2079"/>
      <c r="M36" s="2079"/>
    </row>
    <row r="37" spans="1:18" ht="18" customHeight="1">
      <c r="A37" s="815"/>
      <c r="B37" s="793"/>
      <c r="C37" s="69"/>
      <c r="D37" s="816"/>
      <c r="E37" s="784" t="s">
        <v>674</v>
      </c>
      <c r="F37" s="785">
        <f ca="1">INDIRECT("'数据-取费表'!r"&amp;$G$1)</f>
        <v>0</v>
      </c>
      <c r="G37" s="2062"/>
      <c r="H37" s="2065"/>
      <c r="I37" s="3426"/>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51" t="s">
        <v>2968</v>
      </c>
      <c r="F43" s="3152">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60">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53"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1"/>
      <c r="Q47" s="1603"/>
      <c r="R47" s="1591"/>
    </row>
    <row r="48" spans="1:18" s="2059" customFormat="1" ht="18" customHeight="1" thickBot="1">
      <c r="A48" s="2084"/>
      <c r="C48" s="2087"/>
      <c r="D48" s="2088"/>
      <c r="E48" s="2088"/>
      <c r="F48" s="2089"/>
      <c r="G48" s="2090"/>
      <c r="I48" s="2382" t="s">
        <v>2346</v>
      </c>
      <c r="J48" s="2387"/>
      <c r="K48" s="2388" t="s">
        <v>2352</v>
      </c>
      <c r="L48" s="2389">
        <f ca="1">INDIRECT("'数据-取费表'!d"&amp;$G$1)</f>
        <v>0</v>
      </c>
      <c r="M48" s="3148"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431"/>
      <c r="L54" s="3432"/>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5" t="s">
        <v>2358</v>
      </c>
      <c r="J56" s="3149" t="e">
        <f ca="1">ROUND(IF(J48="钢混",J58/J51,1-(1-2%)*(J51-J58)/J51),3)</f>
        <v>#VALUE!</v>
      </c>
      <c r="K56" s="2401" t="s">
        <v>2359</v>
      </c>
      <c r="L56" s="2402"/>
      <c r="O56" s="2428" t="s">
        <v>2414</v>
      </c>
      <c r="P56" s="1591"/>
      <c r="Q56" s="1603"/>
      <c r="R56" s="1591"/>
    </row>
    <row r="57" spans="1:18" s="2059" customFormat="1" ht="43.5" thickBot="1">
      <c r="A57" s="2096"/>
      <c r="B57" s="2097"/>
      <c r="C57" s="2097"/>
      <c r="I57" s="2403" t="s">
        <v>2360</v>
      </c>
      <c r="J57" s="3148" t="s">
        <v>1679</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50"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27" t="s">
        <v>2947</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28">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29">
        <v>0</v>
      </c>
      <c r="O65" s="2428" t="s">
        <v>2418</v>
      </c>
      <c r="P65" s="1591"/>
      <c r="Q65" s="1603"/>
      <c r="R65" s="1591"/>
    </row>
    <row r="66" spans="1:18" s="2059" customFormat="1" ht="15.75" thickBot="1">
      <c r="A66" s="2096"/>
      <c r="B66" s="2097"/>
      <c r="C66" s="2097"/>
      <c r="I66" s="2409" t="s">
        <v>2375</v>
      </c>
      <c r="J66" s="2410">
        <v>40</v>
      </c>
      <c r="K66" s="2410">
        <v>30</v>
      </c>
      <c r="L66" s="2410">
        <v>50</v>
      </c>
      <c r="M66" s="3128">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35" t="s">
        <v>2579</v>
      </c>
      <c r="C1" s="3435"/>
      <c r="D1" s="3435"/>
      <c r="E1" s="3435"/>
      <c r="F1" s="3435"/>
      <c r="G1" s="3434" t="s">
        <v>2580</v>
      </c>
      <c r="H1" s="3434"/>
      <c r="I1" s="3434"/>
      <c r="J1" s="3434"/>
      <c r="K1" s="3434"/>
      <c r="L1" s="3434"/>
      <c r="N1" s="3434" t="s">
        <v>2581</v>
      </c>
      <c r="O1" s="3434"/>
      <c r="P1" s="3434"/>
      <c r="Q1" s="3434"/>
      <c r="R1" s="2678"/>
      <c r="S1" s="3434" t="s">
        <v>2582</v>
      </c>
      <c r="T1" s="3434"/>
      <c r="U1" s="3434"/>
      <c r="V1" s="3434"/>
      <c r="X1" s="3433" t="s">
        <v>2642</v>
      </c>
      <c r="Y1" s="3434"/>
      <c r="Z1" s="3434"/>
      <c r="AA1" s="3434"/>
      <c r="AB1" s="3434"/>
      <c r="AD1" s="3433" t="s">
        <v>2646</v>
      </c>
      <c r="AE1" s="3434"/>
      <c r="AF1" s="3434"/>
      <c r="AG1" s="3434"/>
      <c r="AH1" s="3434"/>
    </row>
    <row r="2" spans="1:34" s="2780" customFormat="1" ht="14.25" thickBot="1">
      <c r="B2" s="2788" t="s">
        <v>2583</v>
      </c>
      <c r="C2" s="2788" t="s">
        <v>2644</v>
      </c>
      <c r="D2" s="2781" t="s">
        <v>1645</v>
      </c>
      <c r="E2" s="2781" t="s">
        <v>1951</v>
      </c>
      <c r="F2" s="2788" t="s">
        <v>2645</v>
      </c>
      <c r="G2" s="2784"/>
      <c r="H2" s="2783"/>
      <c r="I2" s="2788" t="s">
        <v>2962</v>
      </c>
      <c r="J2" s="2781" t="s">
        <v>2964</v>
      </c>
      <c r="K2" s="2781" t="s">
        <v>2965</v>
      </c>
      <c r="L2" s="2788" t="s">
        <v>2966</v>
      </c>
      <c r="N2" s="2788" t="s">
        <v>2583</v>
      </c>
      <c r="O2" s="2781" t="s">
        <v>2963</v>
      </c>
      <c r="P2" s="2781" t="s">
        <v>1951</v>
      </c>
      <c r="Q2" s="2788" t="s">
        <v>2645</v>
      </c>
      <c r="R2" s="2782"/>
      <c r="S2" s="2788" t="s">
        <v>2583</v>
      </c>
      <c r="T2" s="2781" t="s">
        <v>2963</v>
      </c>
      <c r="U2" s="2781" t="s">
        <v>1951</v>
      </c>
      <c r="V2" s="2788" t="s">
        <v>2645</v>
      </c>
      <c r="X2" s="2788" t="s">
        <v>2583</v>
      </c>
      <c r="Y2" s="2788" t="s">
        <v>2644</v>
      </c>
      <c r="Z2" s="2781" t="s">
        <v>1645</v>
      </c>
      <c r="AA2" s="2781" t="s">
        <v>1951</v>
      </c>
      <c r="AB2" s="2788" t="s">
        <v>2645</v>
      </c>
      <c r="AD2" s="2788" t="s">
        <v>2583</v>
      </c>
      <c r="AE2" s="2788" t="s">
        <v>2644</v>
      </c>
      <c r="AF2" s="2781" t="s">
        <v>1645</v>
      </c>
      <c r="AG2" s="2781" t="s">
        <v>1951</v>
      </c>
      <c r="AH2" s="2788" t="s">
        <v>2645</v>
      </c>
    </row>
    <row r="3" spans="1:34" s="3163" customFormat="1" ht="14.25">
      <c r="A3" s="3175" t="s">
        <v>2975</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3" customFormat="1" ht="14.25">
      <c r="B4" s="2774"/>
      <c r="C4" s="2774"/>
      <c r="D4" s="2775"/>
      <c r="E4" s="2775"/>
      <c r="F4" s="2774"/>
      <c r="G4" s="2779"/>
      <c r="H4" s="2776"/>
      <c r="I4" s="3156"/>
      <c r="J4" s="3156"/>
      <c r="K4" s="3156"/>
      <c r="L4" s="3156"/>
      <c r="N4" s="2779"/>
      <c r="O4" s="2777"/>
      <c r="P4" s="2777"/>
      <c r="Q4" s="2777"/>
      <c r="R4" s="2777"/>
      <c r="S4" s="2779"/>
      <c r="T4" s="2777"/>
      <c r="U4" s="2777"/>
      <c r="V4" s="2777"/>
      <c r="W4" s="3172"/>
      <c r="X4" s="2778"/>
      <c r="Y4" s="2778"/>
      <c r="Z4" s="2778"/>
      <c r="AA4" s="2778"/>
      <c r="AB4" s="2778"/>
      <c r="AD4" s="2698"/>
      <c r="AE4" s="2698"/>
      <c r="AF4" s="2698"/>
      <c r="AG4" s="2698"/>
      <c r="AH4" s="2698"/>
    </row>
    <row r="5" spans="1:34" s="3142" customFormat="1">
      <c r="A5" s="3140" t="s">
        <v>2982</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1">
        <v>2</v>
      </c>
      <c r="I5" s="3157">
        <v>0</v>
      </c>
      <c r="J5" s="3157">
        <v>0</v>
      </c>
      <c r="K5" s="3157">
        <v>0</v>
      </c>
      <c r="L5" s="3157">
        <v>0</v>
      </c>
      <c r="N5" s="2786">
        <f t="shared" ref="N5" si="6">I5/100</f>
        <v>0</v>
      </c>
      <c r="O5" s="2786">
        <f t="shared" ref="O5" si="7">J5/100</f>
        <v>0</v>
      </c>
      <c r="P5" s="2786">
        <f t="shared" ref="P5" si="8">K5/100</f>
        <v>0</v>
      </c>
      <c r="Q5" s="2786">
        <f t="shared" ref="Q5" si="9">L5/100</f>
        <v>0</v>
      </c>
      <c r="R5" s="3143"/>
      <c r="S5" s="3144"/>
      <c r="T5" s="3143"/>
      <c r="U5" s="3143"/>
      <c r="V5" s="3143"/>
      <c r="W5" s="3173" t="s">
        <v>2976</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5" customFormat="1" ht="13.5" thickBot="1">
      <c r="A6" s="2679" t="s">
        <v>2983</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2">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2973</v>
      </c>
      <c r="B7" s="3177">
        <v>439</v>
      </c>
      <c r="C7" s="3177">
        <v>327</v>
      </c>
      <c r="D7" s="3177">
        <f t="shared" si="13"/>
        <v>327</v>
      </c>
      <c r="E7" s="3177">
        <v>627</v>
      </c>
      <c r="F7" s="3178">
        <v>283</v>
      </c>
      <c r="G7" s="3160">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2977</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2"/>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2584</v>
      </c>
      <c r="B9" s="2693">
        <f t="shared" si="25"/>
        <v>419.31181600000002</v>
      </c>
      <c r="C9" s="2693">
        <f t="shared" si="25"/>
        <v>313.95436800000004</v>
      </c>
      <c r="D9" s="2693">
        <f t="shared" si="13"/>
        <v>313.95436800000004</v>
      </c>
      <c r="E9" s="2693">
        <f t="shared" si="26"/>
        <v>596.63028431999999</v>
      </c>
      <c r="F9" s="2693">
        <f t="shared" si="26"/>
        <v>274.74220703999998</v>
      </c>
      <c r="G9" s="3161"/>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2585</v>
      </c>
      <c r="B10" s="2693">
        <f t="shared" si="25"/>
        <v>405.524</v>
      </c>
      <c r="C10" s="2693">
        <f t="shared" si="25"/>
        <v>307.79840000000002</v>
      </c>
      <c r="D10" s="2693">
        <f t="shared" si="13"/>
        <v>307.79840000000002</v>
      </c>
      <c r="E10" s="2693">
        <f t="shared" si="26"/>
        <v>574.67759999999998</v>
      </c>
      <c r="F10" s="2693">
        <f t="shared" si="26"/>
        <v>270.20280000000002</v>
      </c>
      <c r="G10" s="3162"/>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42">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37"/>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37"/>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38"/>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36">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37"/>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37"/>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38"/>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36">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37"/>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37"/>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38"/>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2643</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2586</v>
      </c>
      <c r="B23" s="2685">
        <v>299</v>
      </c>
      <c r="C23" s="2685">
        <v>252</v>
      </c>
      <c r="D23" s="2685">
        <f t="shared" si="35"/>
        <v>252</v>
      </c>
      <c r="E23" s="2685">
        <v>409</v>
      </c>
      <c r="F23" s="2686">
        <v>227</v>
      </c>
      <c r="G23" s="3439">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2587</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40"/>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2588</v>
      </c>
      <c r="B25" s="2693">
        <f t="shared" si="44"/>
        <v>288.2649053828776</v>
      </c>
      <c r="C25" s="2693">
        <f t="shared" si="44"/>
        <v>243.64564425013293</v>
      </c>
      <c r="D25" s="2693">
        <f t="shared" si="35"/>
        <v>243.64564425013293</v>
      </c>
      <c r="E25" s="2693">
        <f t="shared" si="45"/>
        <v>393.31080825986544</v>
      </c>
      <c r="F25" s="2693">
        <f t="shared" si="45"/>
        <v>223.07903790551154</v>
      </c>
      <c r="G25" s="3440"/>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2589</v>
      </c>
      <c r="B26" s="2693">
        <f t="shared" si="44"/>
        <v>282.50186729015837</v>
      </c>
      <c r="C26" s="2693">
        <f t="shared" si="44"/>
        <v>238.09796174155468</v>
      </c>
      <c r="D26" s="2693">
        <f t="shared" si="35"/>
        <v>238.09796174155468</v>
      </c>
      <c r="E26" s="2693">
        <f t="shared" si="45"/>
        <v>385.33438646014054</v>
      </c>
      <c r="F26" s="2693">
        <f t="shared" si="45"/>
        <v>221.55034055567739</v>
      </c>
      <c r="G26" s="3441"/>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2590</v>
      </c>
      <c r="B27" s="2723">
        <v>278</v>
      </c>
      <c r="C27" s="2723">
        <v>234</v>
      </c>
      <c r="D27" s="2723">
        <f t="shared" si="35"/>
        <v>234</v>
      </c>
      <c r="E27" s="2723">
        <v>379</v>
      </c>
      <c r="F27" s="2724">
        <v>220</v>
      </c>
      <c r="G27" s="3436">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2591</v>
      </c>
      <c r="B28" s="2693">
        <f>B27/(1+N27)</f>
        <v>275.49301357645425</v>
      </c>
      <c r="C28" s="2693">
        <f>C27/(1+O27)</f>
        <v>232.41954707985698</v>
      </c>
      <c r="D28" s="2693">
        <f t="shared" si="35"/>
        <v>232.41954707985698</v>
      </c>
      <c r="E28" s="2693">
        <f t="shared" ref="E28:F30" si="46">E27/(1+P27)</f>
        <v>375.32184591008121</v>
      </c>
      <c r="F28" s="2693">
        <f t="shared" si="46"/>
        <v>218.03766105054513</v>
      </c>
      <c r="G28" s="3437"/>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2592</v>
      </c>
      <c r="B29" s="2693">
        <f>B28/(1+N28)</f>
        <v>275.24529281292263</v>
      </c>
      <c r="C29" s="2693">
        <f>C28/(1+O28)</f>
        <v>231.74747938962707</v>
      </c>
      <c r="D29" s="2693">
        <f t="shared" si="35"/>
        <v>231.74747938962707</v>
      </c>
      <c r="E29" s="2693">
        <f t="shared" si="46"/>
        <v>375.35938184826603</v>
      </c>
      <c r="F29" s="2693">
        <f t="shared" si="46"/>
        <v>216.78033510692495</v>
      </c>
      <c r="G29" s="3437"/>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2593</v>
      </c>
      <c r="B30" s="2693">
        <f>B29/(1+N29)</f>
        <v>275.19025476197027</v>
      </c>
      <c r="C30" s="2725">
        <v>232</v>
      </c>
      <c r="D30" s="2725">
        <f t="shared" si="35"/>
        <v>232</v>
      </c>
      <c r="E30" s="2693">
        <f t="shared" si="46"/>
        <v>375.65990977608692</v>
      </c>
      <c r="F30" s="2693">
        <f t="shared" si="46"/>
        <v>214.12518283971252</v>
      </c>
      <c r="G30" s="3438"/>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2594</v>
      </c>
      <c r="B31" s="2685">
        <v>275</v>
      </c>
      <c r="C31" s="2685">
        <v>232</v>
      </c>
      <c r="D31" s="2685">
        <f t="shared" si="35"/>
        <v>232</v>
      </c>
      <c r="E31" s="2685">
        <v>376</v>
      </c>
      <c r="F31" s="2686">
        <v>213</v>
      </c>
      <c r="G31" s="3436">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2595</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37">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2596</v>
      </c>
      <c r="B33" s="2693">
        <f t="shared" si="47"/>
        <v>275.19335084830601</v>
      </c>
      <c r="C33" s="2693">
        <f t="shared" si="47"/>
        <v>230.18088050139744</v>
      </c>
      <c r="D33" s="2693">
        <f t="shared" si="35"/>
        <v>230.18088050139744</v>
      </c>
      <c r="E33" s="2693">
        <f t="shared" si="48"/>
        <v>377.58482925212331</v>
      </c>
      <c r="F33" s="2693">
        <f t="shared" si="48"/>
        <v>210.90687997847917</v>
      </c>
      <c r="G33" s="3437">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2597</v>
      </c>
      <c r="B34" s="2693">
        <f t="shared" si="47"/>
        <v>276.29854502841971</v>
      </c>
      <c r="C34" s="2693">
        <f t="shared" si="47"/>
        <v>229.79023709833027</v>
      </c>
      <c r="D34" s="2693">
        <f t="shared" si="35"/>
        <v>229.79023709833027</v>
      </c>
      <c r="E34" s="2693">
        <f t="shared" si="48"/>
        <v>379.78759731655936</v>
      </c>
      <c r="F34" s="2693">
        <f t="shared" si="48"/>
        <v>211.32953905659235</v>
      </c>
      <c r="G34" s="3438">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2598</v>
      </c>
      <c r="B35" s="2685">
        <v>269</v>
      </c>
      <c r="C35" s="2685">
        <v>221</v>
      </c>
      <c r="D35" s="2685">
        <f t="shared" si="35"/>
        <v>221</v>
      </c>
      <c r="E35" s="2685">
        <v>373</v>
      </c>
      <c r="F35" s="2686">
        <v>196</v>
      </c>
      <c r="G35" s="3436">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2599</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37">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2600</v>
      </c>
      <c r="B37" s="2693">
        <f t="shared" si="49"/>
        <v>242.95398227588385</v>
      </c>
      <c r="C37" s="2693">
        <f t="shared" si="49"/>
        <v>199.59137053614126</v>
      </c>
      <c r="D37" s="2693">
        <f t="shared" si="35"/>
        <v>199.59137053614126</v>
      </c>
      <c r="E37" s="2693">
        <f t="shared" si="50"/>
        <v>335.92189522342125</v>
      </c>
      <c r="F37" s="2693">
        <f t="shared" si="50"/>
        <v>183.10139991109489</v>
      </c>
      <c r="G37" s="3437">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2601</v>
      </c>
      <c r="B38" s="2693">
        <f t="shared" si="49"/>
        <v>232.06990378821649</v>
      </c>
      <c r="C38" s="2693">
        <f t="shared" si="49"/>
        <v>192.74878854286936</v>
      </c>
      <c r="D38" s="2693">
        <f t="shared" si="35"/>
        <v>192.74878854286936</v>
      </c>
      <c r="E38" s="2693">
        <f t="shared" si="50"/>
        <v>319.71247284992984</v>
      </c>
      <c r="F38" s="2693">
        <f t="shared" si="50"/>
        <v>175.67053622862409</v>
      </c>
      <c r="G38" s="3438">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2602</v>
      </c>
      <c r="B39" s="2685">
        <v>220</v>
      </c>
      <c r="C39" s="2685">
        <v>187</v>
      </c>
      <c r="D39" s="2685">
        <f t="shared" si="35"/>
        <v>187</v>
      </c>
      <c r="E39" s="2685">
        <v>301</v>
      </c>
      <c r="F39" s="2686">
        <v>168</v>
      </c>
      <c r="G39" s="3436">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2603</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37">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2604</v>
      </c>
      <c r="B41" s="2693">
        <f t="shared" si="51"/>
        <v>210.630522469011</v>
      </c>
      <c r="C41" s="2693">
        <f t="shared" si="51"/>
        <v>181.69567812247232</v>
      </c>
      <c r="D41" s="2693">
        <f t="shared" si="35"/>
        <v>181.69567812247232</v>
      </c>
      <c r="E41" s="2693">
        <f t="shared" si="52"/>
        <v>286.13517466736738</v>
      </c>
      <c r="F41" s="2693">
        <f t="shared" si="52"/>
        <v>165.47535084591149</v>
      </c>
      <c r="G41" s="3437">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2605</v>
      </c>
      <c r="B42" s="2693">
        <f t="shared" si="51"/>
        <v>208.83454537875372</v>
      </c>
      <c r="C42" s="2693">
        <f t="shared" si="51"/>
        <v>183.77230517090351</v>
      </c>
      <c r="D42" s="2693">
        <f t="shared" si="35"/>
        <v>183.77230517090351</v>
      </c>
      <c r="E42" s="2693">
        <f t="shared" si="52"/>
        <v>281.10342338870947</v>
      </c>
      <c r="F42" s="2693">
        <f t="shared" si="52"/>
        <v>168.97309388942256</v>
      </c>
      <c r="G42" s="3438">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2606</v>
      </c>
      <c r="B43" s="2723">
        <v>214</v>
      </c>
      <c r="C43" s="2723">
        <v>188</v>
      </c>
      <c r="D43" s="2723">
        <f t="shared" si="35"/>
        <v>188</v>
      </c>
      <c r="E43" s="2723">
        <v>289</v>
      </c>
      <c r="F43" s="2724">
        <v>166</v>
      </c>
      <c r="G43" s="3436">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2607</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37">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2608</v>
      </c>
      <c r="B45" s="2693">
        <f t="shared" si="53"/>
        <v>206.31694671589116</v>
      </c>
      <c r="C45" s="2693">
        <f t="shared" si="53"/>
        <v>183.61041121036101</v>
      </c>
      <c r="D45" s="2693">
        <f t="shared" si="35"/>
        <v>183.61041121036101</v>
      </c>
      <c r="E45" s="2693">
        <f t="shared" si="54"/>
        <v>276.66850301795557</v>
      </c>
      <c r="F45" s="2693">
        <f t="shared" si="54"/>
        <v>165.1360938278614</v>
      </c>
      <c r="G45" s="3437">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2609</v>
      </c>
      <c r="B46" s="2726">
        <f t="shared" si="53"/>
        <v>196.62341248059772</v>
      </c>
      <c r="C46" s="2726">
        <f t="shared" si="53"/>
        <v>170.99125648199012</v>
      </c>
      <c r="D46" s="2726">
        <f t="shared" si="35"/>
        <v>170.99125648199012</v>
      </c>
      <c r="E46" s="2726">
        <f t="shared" si="54"/>
        <v>266.07857570490052</v>
      </c>
      <c r="F46" s="2726">
        <f t="shared" si="54"/>
        <v>154.53499328828505</v>
      </c>
      <c r="G46" s="3438">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2610</v>
      </c>
      <c r="B47" s="2685">
        <v>188</v>
      </c>
      <c r="C47" s="2685">
        <v>165</v>
      </c>
      <c r="D47" s="2685">
        <f t="shared" si="35"/>
        <v>165</v>
      </c>
      <c r="E47" s="2685">
        <v>254</v>
      </c>
      <c r="F47" s="2686">
        <v>148</v>
      </c>
      <c r="G47" s="3436">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2611</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37">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2612</v>
      </c>
      <c r="B49" s="2693">
        <f t="shared" si="57"/>
        <v>168.82017748715555</v>
      </c>
      <c r="C49" s="2693">
        <f t="shared" si="57"/>
        <v>148.06267029972753</v>
      </c>
      <c r="D49" s="2693">
        <f t="shared" si="35"/>
        <v>148.06267029972753</v>
      </c>
      <c r="E49" s="2693">
        <f t="shared" si="58"/>
        <v>216.46288379323747</v>
      </c>
      <c r="F49" s="2693">
        <f t="shared" si="58"/>
        <v>134.23529411764704</v>
      </c>
      <c r="G49" s="3437">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2613</v>
      </c>
      <c r="B50" s="2693">
        <f t="shared" si="57"/>
        <v>163.84913591779542</v>
      </c>
      <c r="C50" s="2693">
        <f t="shared" si="57"/>
        <v>145.0283378746594</v>
      </c>
      <c r="D50" s="2693">
        <f t="shared" si="35"/>
        <v>145.0283378746594</v>
      </c>
      <c r="E50" s="2693">
        <f t="shared" si="58"/>
        <v>204.95180722891567</v>
      </c>
      <c r="F50" s="2693">
        <f t="shared" si="58"/>
        <v>125.95920303605313</v>
      </c>
      <c r="G50" s="3438">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2614</v>
      </c>
      <c r="B51" s="2707">
        <v>159</v>
      </c>
      <c r="C51" s="2707">
        <v>141</v>
      </c>
      <c r="D51" s="2707">
        <f t="shared" si="35"/>
        <v>141</v>
      </c>
      <c r="E51" s="2707">
        <v>195</v>
      </c>
      <c r="F51" s="2708">
        <v>122</v>
      </c>
      <c r="G51" s="3436">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2615</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37">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2616</v>
      </c>
      <c r="B53" s="2693">
        <f t="shared" si="61"/>
        <v>146.57412060301507</v>
      </c>
      <c r="C53" s="2693">
        <f t="shared" si="61"/>
        <v>136.46831955922866</v>
      </c>
      <c r="D53" s="2693">
        <f t="shared" si="35"/>
        <v>136.46831955922866</v>
      </c>
      <c r="E53" s="2693">
        <f t="shared" si="62"/>
        <v>166.73864894795128</v>
      </c>
      <c r="F53" s="2693">
        <f t="shared" si="62"/>
        <v>115.05882352941177</v>
      </c>
      <c r="G53" s="3437">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2617</v>
      </c>
      <c r="B54" s="2693">
        <f t="shared" si="61"/>
        <v>144.04145728643215</v>
      </c>
      <c r="C54" s="2693">
        <f t="shared" si="61"/>
        <v>136.12396694214877</v>
      </c>
      <c r="D54" s="2693">
        <f t="shared" si="35"/>
        <v>136.12396694214877</v>
      </c>
      <c r="E54" s="2693">
        <f t="shared" si="62"/>
        <v>158.32225913621264</v>
      </c>
      <c r="F54" s="2693">
        <f t="shared" si="62"/>
        <v>114.04278074866311</v>
      </c>
      <c r="G54" s="3438">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2618</v>
      </c>
      <c r="B55" s="2707">
        <v>138</v>
      </c>
      <c r="C55" s="2707">
        <v>131</v>
      </c>
      <c r="D55" s="2707">
        <f t="shared" si="35"/>
        <v>131</v>
      </c>
      <c r="E55" s="2707">
        <v>155</v>
      </c>
      <c r="F55" s="2708">
        <v>114</v>
      </c>
      <c r="G55" s="3436">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2619</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37">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2620</v>
      </c>
      <c r="B57" s="2693">
        <f t="shared" si="65"/>
        <v>124.29032258064517</v>
      </c>
      <c r="C57" s="2693">
        <f t="shared" si="65"/>
        <v>123.8968609865471</v>
      </c>
      <c r="D57" s="2693">
        <f t="shared" si="35"/>
        <v>123.8968609865471</v>
      </c>
      <c r="E57" s="2693">
        <f t="shared" si="66"/>
        <v>138.00507614213197</v>
      </c>
      <c r="F57" s="2693">
        <f t="shared" si="66"/>
        <v>107.96106557377048</v>
      </c>
      <c r="G57" s="3437">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2621</v>
      </c>
      <c r="B58" s="2693">
        <f t="shared" si="65"/>
        <v>122.57204301075269</v>
      </c>
      <c r="C58" s="2693">
        <f t="shared" si="65"/>
        <v>123.4932735426009</v>
      </c>
      <c r="D58" s="2693">
        <f t="shared" si="35"/>
        <v>123.4932735426009</v>
      </c>
      <c r="E58" s="2693">
        <f t="shared" si="66"/>
        <v>129.82233502538071</v>
      </c>
      <c r="F58" s="2693">
        <f t="shared" si="66"/>
        <v>107.39446721311475</v>
      </c>
      <c r="G58" s="3438">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2622</v>
      </c>
      <c r="B59" s="2723">
        <v>121</v>
      </c>
      <c r="C59" s="2723">
        <v>122</v>
      </c>
      <c r="D59" s="2723">
        <f t="shared" si="35"/>
        <v>122</v>
      </c>
      <c r="E59" s="2723">
        <v>124</v>
      </c>
      <c r="F59" s="2724">
        <v>107</v>
      </c>
      <c r="G59" s="3436">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2623</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37">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2624</v>
      </c>
      <c r="B61" s="2693">
        <f t="shared" si="69"/>
        <v>116.99099099099099</v>
      </c>
      <c r="C61" s="2693">
        <f t="shared" si="69"/>
        <v>118.84848484848486</v>
      </c>
      <c r="D61" s="2693">
        <f t="shared" si="35"/>
        <v>118.84848484848486</v>
      </c>
      <c r="E61" s="2693">
        <f t="shared" si="70"/>
        <v>117.60960960960961</v>
      </c>
      <c r="F61" s="2693">
        <f t="shared" si="70"/>
        <v>104</v>
      </c>
      <c r="G61" s="3437">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2625</v>
      </c>
      <c r="B62" s="2726">
        <f t="shared" si="69"/>
        <v>112.48648648648648</v>
      </c>
      <c r="C62" s="2726">
        <f t="shared" si="69"/>
        <v>115.21212121212122</v>
      </c>
      <c r="D62" s="2726">
        <f t="shared" si="35"/>
        <v>115.21212121212122</v>
      </c>
      <c r="E62" s="2726">
        <f t="shared" si="70"/>
        <v>110.4024024024024</v>
      </c>
      <c r="F62" s="2726">
        <f t="shared" si="70"/>
        <v>104</v>
      </c>
      <c r="G62" s="3438">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2626</v>
      </c>
      <c r="B63" s="2744">
        <v>111</v>
      </c>
      <c r="C63" s="2744">
        <v>114</v>
      </c>
      <c r="D63" s="2744">
        <f t="shared" si="35"/>
        <v>114</v>
      </c>
      <c r="E63" s="2744">
        <v>108</v>
      </c>
      <c r="F63" s="2745">
        <v>104</v>
      </c>
      <c r="G63" s="3436">
        <v>2003</v>
      </c>
      <c r="H63" s="2734">
        <v>4</v>
      </c>
      <c r="I63" s="2746"/>
      <c r="J63" s="2746"/>
      <c r="K63" s="2746"/>
      <c r="L63" s="2746"/>
      <c r="N63" s="2747"/>
      <c r="O63" s="2746"/>
      <c r="P63" s="2746"/>
      <c r="Q63" s="2746"/>
      <c r="S63" s="2747"/>
      <c r="T63" s="2746"/>
      <c r="U63" s="2746"/>
      <c r="V63" s="2746"/>
      <c r="X63" s="2738"/>
      <c r="Y63" s="2738"/>
      <c r="Z63" s="2738"/>
    </row>
    <row r="64" spans="1:26">
      <c r="A64" s="2679" t="s">
        <v>2627</v>
      </c>
      <c r="B64" s="2748">
        <f t="shared" ref="B64:C66" si="71">B65+(B$63-B$67)/4</f>
        <v>109.75</v>
      </c>
      <c r="C64" s="2748">
        <f t="shared" si="71"/>
        <v>112.25</v>
      </c>
      <c r="D64" s="2748">
        <f t="shared" si="35"/>
        <v>112.25</v>
      </c>
      <c r="E64" s="2748">
        <f t="shared" ref="E64:F66" si="72">E65+(E$63-E$67)/4</f>
        <v>107.25</v>
      </c>
      <c r="F64" s="2748">
        <f t="shared" si="72"/>
        <v>103.5</v>
      </c>
      <c r="G64" s="3437">
        <v>2003</v>
      </c>
      <c r="H64" s="2704">
        <v>3</v>
      </c>
      <c r="I64" s="2746"/>
      <c r="J64" s="2746"/>
      <c r="K64" s="2746"/>
      <c r="L64" s="2746"/>
      <c r="X64" s="2738"/>
      <c r="Y64" s="2738"/>
      <c r="Z64" s="2738"/>
    </row>
    <row r="65" spans="1:26">
      <c r="A65" s="2679" t="s">
        <v>2628</v>
      </c>
      <c r="B65" s="2748">
        <f t="shared" si="71"/>
        <v>108.5</v>
      </c>
      <c r="C65" s="2748">
        <f t="shared" si="71"/>
        <v>110.5</v>
      </c>
      <c r="D65" s="2748">
        <f t="shared" si="35"/>
        <v>110.5</v>
      </c>
      <c r="E65" s="2748">
        <f t="shared" si="72"/>
        <v>106.5</v>
      </c>
      <c r="F65" s="2748">
        <f t="shared" si="72"/>
        <v>103</v>
      </c>
      <c r="G65" s="3437">
        <v>2003</v>
      </c>
      <c r="H65" s="2684">
        <v>2</v>
      </c>
      <c r="I65" s="2746"/>
      <c r="J65" s="2746"/>
      <c r="K65" s="2746"/>
      <c r="L65" s="2746"/>
      <c r="X65" s="2738"/>
      <c r="Y65" s="2738"/>
      <c r="Z65" s="2738"/>
    </row>
    <row r="66" spans="1:26" ht="13.5" thickBot="1">
      <c r="A66" s="2679" t="s">
        <v>2629</v>
      </c>
      <c r="B66" s="2748">
        <f t="shared" si="71"/>
        <v>107.25</v>
      </c>
      <c r="C66" s="2748">
        <f t="shared" si="71"/>
        <v>108.75</v>
      </c>
      <c r="D66" s="2748">
        <f t="shared" si="35"/>
        <v>108.75</v>
      </c>
      <c r="E66" s="2748">
        <f t="shared" si="72"/>
        <v>105.75</v>
      </c>
      <c r="F66" s="2748">
        <f t="shared" si="72"/>
        <v>102.5</v>
      </c>
      <c r="G66" s="3438">
        <v>2003</v>
      </c>
      <c r="H66" s="2749">
        <v>1</v>
      </c>
      <c r="I66" s="2746"/>
      <c r="J66" s="2746"/>
      <c r="K66" s="2746"/>
      <c r="L66" s="2746"/>
      <c r="S66" s="2688"/>
      <c r="T66" s="2689"/>
      <c r="U66" s="2689"/>
      <c r="X66" s="2738"/>
      <c r="Y66" s="2738"/>
      <c r="Z66" s="2738"/>
    </row>
    <row r="67" spans="1:26" ht="13.5" thickBot="1">
      <c r="A67" s="2679" t="s">
        <v>2630</v>
      </c>
      <c r="B67" s="2750">
        <v>106</v>
      </c>
      <c r="C67" s="2750">
        <v>107</v>
      </c>
      <c r="D67" s="2750">
        <f t="shared" si="35"/>
        <v>107</v>
      </c>
      <c r="E67" s="2750">
        <v>105</v>
      </c>
      <c r="F67" s="2751">
        <v>102</v>
      </c>
      <c r="G67" s="3436">
        <v>2002</v>
      </c>
      <c r="H67" s="2699">
        <v>4</v>
      </c>
      <c r="I67" s="2746"/>
      <c r="J67" s="2746"/>
      <c r="K67" s="2746"/>
      <c r="L67" s="2746"/>
      <c r="N67" s="2747"/>
      <c r="O67" s="2746"/>
      <c r="P67" s="2746"/>
      <c r="Q67" s="2746"/>
      <c r="S67" s="2747"/>
      <c r="T67" s="2746"/>
      <c r="U67" s="2746"/>
      <c r="V67" s="2746"/>
      <c r="X67" s="2738"/>
      <c r="Y67" s="2738"/>
      <c r="Z67" s="2738"/>
    </row>
    <row r="68" spans="1:26">
      <c r="A68" s="2679" t="s">
        <v>2631</v>
      </c>
      <c r="B68" s="2748">
        <f t="shared" ref="B68:C70" si="73">B69+(B$67-B$71)/4</f>
        <v>105</v>
      </c>
      <c r="C68" s="2748">
        <f t="shared" si="73"/>
        <v>106</v>
      </c>
      <c r="D68" s="2748">
        <f t="shared" si="35"/>
        <v>106</v>
      </c>
      <c r="E68" s="2748">
        <f t="shared" ref="E68:F70" si="74">E69+(E$67-E$71)/4</f>
        <v>104.5</v>
      </c>
      <c r="F68" s="2748">
        <f t="shared" si="74"/>
        <v>101.5</v>
      </c>
      <c r="G68" s="3437">
        <v>2002</v>
      </c>
      <c r="H68" s="2704">
        <v>3</v>
      </c>
      <c r="I68" s="2746"/>
      <c r="J68" s="2746"/>
      <c r="K68" s="2746"/>
      <c r="L68" s="2746"/>
      <c r="X68" s="2738"/>
      <c r="Y68" s="2738"/>
      <c r="Z68" s="2738"/>
    </row>
    <row r="69" spans="1:26">
      <c r="A69" s="2679" t="s">
        <v>2632</v>
      </c>
      <c r="B69" s="2748">
        <f t="shared" si="73"/>
        <v>104</v>
      </c>
      <c r="C69" s="2748">
        <f t="shared" si="73"/>
        <v>105</v>
      </c>
      <c r="D69" s="2748">
        <f t="shared" si="35"/>
        <v>105</v>
      </c>
      <c r="E69" s="2748">
        <f t="shared" si="74"/>
        <v>104</v>
      </c>
      <c r="F69" s="2748">
        <f t="shared" si="74"/>
        <v>101</v>
      </c>
      <c r="G69" s="3437">
        <v>2002</v>
      </c>
      <c r="H69" s="2684">
        <v>2</v>
      </c>
      <c r="I69" s="2746"/>
      <c r="J69" s="2746"/>
      <c r="K69" s="2746"/>
      <c r="L69" s="2746"/>
      <c r="X69" s="2738"/>
      <c r="Y69" s="2738"/>
      <c r="Z69" s="2738"/>
    </row>
    <row r="70" spans="1:26" s="2715" customFormat="1" ht="13.5" thickBot="1">
      <c r="A70" s="2711" t="s">
        <v>2633</v>
      </c>
      <c r="B70" s="2752">
        <f t="shared" si="73"/>
        <v>103</v>
      </c>
      <c r="C70" s="2752">
        <f t="shared" si="73"/>
        <v>104</v>
      </c>
      <c r="D70" s="2752">
        <f t="shared" si="35"/>
        <v>104</v>
      </c>
      <c r="E70" s="2752">
        <f t="shared" si="74"/>
        <v>103.5</v>
      </c>
      <c r="F70" s="2752">
        <f t="shared" si="74"/>
        <v>100.5</v>
      </c>
      <c r="G70" s="3438">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2634</v>
      </c>
      <c r="G73" s="2762"/>
      <c r="N73" s="2762"/>
      <c r="S73" s="2762"/>
    </row>
    <row r="74" spans="1:26" s="2761" customFormat="1">
      <c r="A74" s="2761" t="s">
        <v>2635</v>
      </c>
      <c r="G74" s="2762"/>
      <c r="N74" s="2762"/>
      <c r="S74" s="2762"/>
    </row>
    <row r="75" spans="1:26" s="2761" customFormat="1">
      <c r="A75" s="2761" t="s">
        <v>2636</v>
      </c>
      <c r="G75" s="2762"/>
      <c r="I75" s="2763"/>
      <c r="J75" s="2763"/>
      <c r="K75" s="2763"/>
      <c r="L75" s="2763"/>
      <c r="N75" s="2764"/>
      <c r="O75" s="2763"/>
      <c r="P75" s="2763"/>
      <c r="Q75" s="2763"/>
      <c r="S75" s="2764"/>
      <c r="T75" s="2763"/>
      <c r="U75" s="2763"/>
      <c r="V75" s="2763"/>
    </row>
    <row r="76" spans="1:26" s="2761" customFormat="1">
      <c r="A76" s="2761" t="s">
        <v>2637</v>
      </c>
      <c r="G76" s="2762"/>
      <c r="N76" s="2762"/>
      <c r="S76" s="2762"/>
    </row>
    <row r="83" spans="7:22" ht="13.5" thickBot="1"/>
    <row r="84" spans="7:22">
      <c r="G84" s="2687"/>
      <c r="S84" s="2765" t="s">
        <v>2638</v>
      </c>
      <c r="T84" s="2766" t="s">
        <v>2639</v>
      </c>
      <c r="U84" s="2766" t="s">
        <v>2640</v>
      </c>
      <c r="V84" s="2766" t="s">
        <v>2641</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北京碧和信泰置业有限公司：</v>
      </c>
    </row>
    <row r="4" spans="1:4" ht="18.75">
      <c r="A4" s="1791"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794" t="s">
        <v>1905</v>
      </c>
    </row>
    <row r="6" spans="1:4" ht="18.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88475.28平方米。根据《建设工程规划许可证》[]、《出让合同》[]，估价对象规划建筑面积为279349.85平方米。</v>
      </c>
    </row>
    <row r="7" spans="1:4" ht="56.25">
      <c r="A7" s="1795" t="s">
        <v>2749</v>
      </c>
    </row>
    <row r="8" spans="1:4" ht="18.75">
      <c r="A8" s="1794" t="s">
        <v>1906</v>
      </c>
    </row>
    <row r="9" spans="1:4" ht="37.5">
      <c r="A9" s="1796"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2018年5月8日（评估专业人员勘察现场之日）</v>
      </c>
    </row>
    <row r="12" spans="1:4" ht="18.75">
      <c r="A12" s="1797" t="s">
        <v>2027</v>
      </c>
    </row>
    <row r="13" spans="1:4" ht="18.75">
      <c r="A13" s="1791" t="s">
        <v>2946</v>
      </c>
    </row>
    <row r="14" spans="1:4" ht="18.75">
      <c r="A14" s="1791" t="str">
        <f>"根据"&amp;项目基本情况!F12&amp;"，本次评估估价对象证载（地类）用途为"&amp;项目基本情况!B12&amp;"。"</f>
        <v>根据《国有土地使用证》[]，本次评估估价对象证载（地类）用途为城镇住宅用地。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18.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根据《国有土地使用证》[]，估价对象（分摊）出让国有建设用地使用权面积为88475.28平方米。根据《建设工程规划许可证》[]、《出让合同》[]，估价对象规划建筑面积为279349.85平方米。</v>
      </c>
    </row>
    <row r="21" spans="1:1" ht="18.75">
      <c r="A21" s="1791" t="s">
        <v>2076</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150">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19" workbookViewId="0">
      <selection activeCell="A28" sqref="A28"/>
    </sheetView>
  </sheetViews>
  <sheetFormatPr defaultRowHeight="13.5"/>
  <cols>
    <col min="1" max="1" width="37.125" customWidth="1"/>
  </cols>
  <sheetData>
    <row r="1" spans="1:44" s="3501" customFormat="1" ht="12">
      <c r="A1" s="3501" t="s">
        <v>3065</v>
      </c>
      <c r="B1" s="3501" t="s">
        <v>3066</v>
      </c>
      <c r="C1" s="3501" t="s">
        <v>3067</v>
      </c>
      <c r="D1" s="3501" t="s">
        <v>3068</v>
      </c>
      <c r="E1" s="3501" t="s">
        <v>3069</v>
      </c>
      <c r="F1" s="3501" t="s">
        <v>3070</v>
      </c>
      <c r="G1" s="3501" t="s">
        <v>3071</v>
      </c>
      <c r="H1" s="3501" t="s">
        <v>3072</v>
      </c>
      <c r="I1" s="3501" t="s">
        <v>3073</v>
      </c>
      <c r="J1" s="3501" t="s">
        <v>3074</v>
      </c>
      <c r="K1" s="3501" t="s">
        <v>3075</v>
      </c>
      <c r="L1" s="3501" t="s">
        <v>2034</v>
      </c>
      <c r="M1" s="3501" t="s">
        <v>3076</v>
      </c>
      <c r="N1" s="3501" t="s">
        <v>3077</v>
      </c>
      <c r="O1" s="3501" t="s">
        <v>3078</v>
      </c>
      <c r="P1" s="3501" t="s">
        <v>3079</v>
      </c>
      <c r="Q1" s="3501" t="s">
        <v>3080</v>
      </c>
      <c r="R1" s="3501" t="s">
        <v>3081</v>
      </c>
      <c r="S1" s="3501" t="s">
        <v>3082</v>
      </c>
      <c r="T1" s="3501" t="s">
        <v>3083</v>
      </c>
      <c r="U1" s="3501" t="s">
        <v>3084</v>
      </c>
      <c r="V1" s="3501" t="s">
        <v>3085</v>
      </c>
      <c r="W1" s="3501" t="s">
        <v>3086</v>
      </c>
      <c r="X1" s="3501" t="s">
        <v>3087</v>
      </c>
      <c r="Y1" s="3501" t="s">
        <v>3088</v>
      </c>
      <c r="Z1" s="3501" t="s">
        <v>3089</v>
      </c>
      <c r="AA1" s="3501" t="s">
        <v>3090</v>
      </c>
      <c r="AB1" s="3501" t="s">
        <v>3091</v>
      </c>
      <c r="AC1" s="3501" t="s">
        <v>3092</v>
      </c>
      <c r="AD1" s="3501" t="s">
        <v>3093</v>
      </c>
      <c r="AE1" s="3501" t="s">
        <v>3094</v>
      </c>
      <c r="AF1" s="3501" t="s">
        <v>3095</v>
      </c>
      <c r="AG1" s="3501" t="s">
        <v>3096</v>
      </c>
      <c r="AH1" s="3501" t="s">
        <v>3097</v>
      </c>
      <c r="AI1" s="3501" t="s">
        <v>3098</v>
      </c>
      <c r="AJ1" s="3501" t="s">
        <v>3099</v>
      </c>
      <c r="AK1" s="3501" t="s">
        <v>3100</v>
      </c>
      <c r="AL1" s="3501" t="s">
        <v>3101</v>
      </c>
      <c r="AM1" s="3501" t="s">
        <v>3102</v>
      </c>
      <c r="AN1" s="3501" t="s">
        <v>3103</v>
      </c>
      <c r="AO1" s="3501" t="s">
        <v>3104</v>
      </c>
      <c r="AP1" s="3501" t="s">
        <v>3105</v>
      </c>
      <c r="AQ1" s="3501" t="s">
        <v>3106</v>
      </c>
      <c r="AR1" s="3501" t="s">
        <v>3107</v>
      </c>
    </row>
    <row r="2" spans="1:44" s="3501" customFormat="1" ht="12">
      <c r="A2" s="3501" t="s">
        <v>3108</v>
      </c>
      <c r="B2" s="3501" t="s">
        <v>1947</v>
      </c>
      <c r="C2" s="3501" t="s">
        <v>3109</v>
      </c>
      <c r="D2" s="3501" t="s">
        <v>3110</v>
      </c>
      <c r="E2" s="3501" t="s">
        <v>2820</v>
      </c>
      <c r="F2" s="3501" t="s">
        <v>3111</v>
      </c>
      <c r="G2" s="3501" t="s">
        <v>3112</v>
      </c>
      <c r="H2" s="3501" t="s">
        <v>3113</v>
      </c>
      <c r="I2" s="3501" t="s">
        <v>3114</v>
      </c>
      <c r="J2" s="3501">
        <v>74464</v>
      </c>
      <c r="K2" s="3501">
        <v>119142</v>
      </c>
      <c r="L2" s="3501">
        <v>1.6</v>
      </c>
      <c r="M2" s="3501" t="s">
        <v>2820</v>
      </c>
      <c r="N2" s="3501" t="s">
        <v>3115</v>
      </c>
      <c r="O2" s="3501" t="s">
        <v>3116</v>
      </c>
      <c r="P2" s="3501" t="s">
        <v>2820</v>
      </c>
      <c r="Q2" s="3501" t="s">
        <v>2820</v>
      </c>
      <c r="R2" s="3501" t="s">
        <v>2820</v>
      </c>
      <c r="S2" s="3501" t="s">
        <v>2820</v>
      </c>
      <c r="T2" s="3501" t="s">
        <v>3117</v>
      </c>
      <c r="U2" s="3501" t="s">
        <v>3118</v>
      </c>
      <c r="V2" s="3501" t="s">
        <v>2820</v>
      </c>
      <c r="W2" s="3501" t="s">
        <v>3119</v>
      </c>
      <c r="X2" s="3501" t="s">
        <v>3120</v>
      </c>
      <c r="Y2" s="3501" t="s">
        <v>3121</v>
      </c>
      <c r="Z2" s="3501" t="s">
        <v>3122</v>
      </c>
      <c r="AA2" s="3501" t="s">
        <v>3122</v>
      </c>
      <c r="AB2" s="3501" t="s">
        <v>3113</v>
      </c>
      <c r="AC2" s="3501" t="s">
        <v>3123</v>
      </c>
      <c r="AD2" s="3501" t="s">
        <v>3124</v>
      </c>
      <c r="AE2" s="3501">
        <v>69000</v>
      </c>
      <c r="AF2" s="3501">
        <v>230000</v>
      </c>
      <c r="AG2" s="3501">
        <v>327500</v>
      </c>
      <c r="AH2" s="3501">
        <v>2059.16</v>
      </c>
      <c r="AI2" s="3501">
        <v>2932.07</v>
      </c>
      <c r="AJ2" s="3501">
        <v>19304.689999999999</v>
      </c>
      <c r="AK2" s="3501">
        <v>27488.2</v>
      </c>
      <c r="AL2" s="3501" t="s">
        <v>2820</v>
      </c>
      <c r="AM2" s="3501" t="s">
        <v>2820</v>
      </c>
      <c r="AN2" s="3501">
        <v>42.39</v>
      </c>
      <c r="AO2" s="3501" t="s">
        <v>3125</v>
      </c>
      <c r="AP2" s="3501" t="s">
        <v>2820</v>
      </c>
      <c r="AQ2" s="3501" t="s">
        <v>2820</v>
      </c>
      <c r="AR2" s="3501" t="s">
        <v>2820</v>
      </c>
    </row>
    <row r="3" spans="1:44" s="3501" customFormat="1" ht="12">
      <c r="A3" s="3501" t="s">
        <v>3126</v>
      </c>
      <c r="B3" s="3501" t="s">
        <v>1947</v>
      </c>
      <c r="C3" s="3501" t="s">
        <v>3127</v>
      </c>
      <c r="D3" s="3501" t="s">
        <v>3110</v>
      </c>
      <c r="E3" s="3501" t="s">
        <v>2820</v>
      </c>
      <c r="F3" s="3501" t="s">
        <v>3128</v>
      </c>
      <c r="G3" s="3501" t="s">
        <v>3112</v>
      </c>
      <c r="H3" s="3501" t="s">
        <v>3129</v>
      </c>
      <c r="I3" s="3501" t="s">
        <v>3130</v>
      </c>
      <c r="J3" s="3501">
        <v>39491.11</v>
      </c>
      <c r="K3" s="3501">
        <v>98728</v>
      </c>
      <c r="L3" s="3501">
        <v>2.5</v>
      </c>
      <c r="M3" s="3501" t="s">
        <v>2820</v>
      </c>
      <c r="N3" s="3501" t="s">
        <v>3131</v>
      </c>
      <c r="O3" s="3501" t="s">
        <v>3132</v>
      </c>
      <c r="P3" s="3501" t="s">
        <v>2820</v>
      </c>
      <c r="Q3" s="3501" t="s">
        <v>2820</v>
      </c>
      <c r="R3" s="3501" t="s">
        <v>2820</v>
      </c>
      <c r="S3" s="3501" t="s">
        <v>2820</v>
      </c>
      <c r="T3" s="3501" t="s">
        <v>3117</v>
      </c>
      <c r="U3" s="3501" t="s">
        <v>3118</v>
      </c>
      <c r="V3" s="3501" t="s">
        <v>2820</v>
      </c>
      <c r="W3" s="3501" t="s">
        <v>3119</v>
      </c>
      <c r="X3" s="3501" t="s">
        <v>3133</v>
      </c>
      <c r="Y3" s="3501" t="s">
        <v>3134</v>
      </c>
      <c r="Z3" s="3501" t="s">
        <v>3135</v>
      </c>
      <c r="AA3" s="3501" t="s">
        <v>3135</v>
      </c>
      <c r="AB3" s="3501" t="s">
        <v>3129</v>
      </c>
      <c r="AC3" s="3501" t="s">
        <v>3123</v>
      </c>
      <c r="AD3" s="3501" t="s">
        <v>3136</v>
      </c>
      <c r="AE3" s="3501">
        <v>72000</v>
      </c>
      <c r="AF3" s="3501">
        <v>266000</v>
      </c>
      <c r="AG3" s="3501">
        <v>302500</v>
      </c>
      <c r="AH3" s="3501">
        <v>4490.46</v>
      </c>
      <c r="AI3" s="3501">
        <v>5106.63</v>
      </c>
      <c r="AJ3" s="3501">
        <v>26942.7</v>
      </c>
      <c r="AK3" s="3501">
        <v>30639.74</v>
      </c>
      <c r="AL3" s="3501" t="s">
        <v>2820</v>
      </c>
      <c r="AM3" s="3501" t="s">
        <v>2820</v>
      </c>
      <c r="AN3" s="3501">
        <v>13.72</v>
      </c>
      <c r="AO3" s="3501" t="s">
        <v>3125</v>
      </c>
      <c r="AP3" s="3501" t="s">
        <v>2820</v>
      </c>
      <c r="AQ3" s="3501" t="s">
        <v>2820</v>
      </c>
      <c r="AR3" s="3501" t="s">
        <v>2820</v>
      </c>
    </row>
    <row r="4" spans="1:44" s="3503" customFormat="1" ht="12">
      <c r="A4" s="3503" t="s">
        <v>3137</v>
      </c>
      <c r="B4" s="3503" t="s">
        <v>1947</v>
      </c>
      <c r="C4" s="3503" t="s">
        <v>3109</v>
      </c>
      <c r="D4" s="3503" t="s">
        <v>3110</v>
      </c>
      <c r="E4" s="3503" t="s">
        <v>2820</v>
      </c>
      <c r="F4" s="3503" t="s">
        <v>3128</v>
      </c>
      <c r="G4" s="3503" t="s">
        <v>3138</v>
      </c>
      <c r="H4" s="3503" t="s">
        <v>3139</v>
      </c>
      <c r="I4" s="3503" t="s">
        <v>3240</v>
      </c>
      <c r="J4" s="3503">
        <v>20291.37</v>
      </c>
      <c r="K4" s="3503">
        <v>36524</v>
      </c>
      <c r="L4" s="3503">
        <v>1.8</v>
      </c>
      <c r="M4" s="3503" t="s">
        <v>2820</v>
      </c>
      <c r="N4" s="3503" t="s">
        <v>3140</v>
      </c>
      <c r="O4" s="3503" t="s">
        <v>3116</v>
      </c>
      <c r="P4" s="3503" t="s">
        <v>2820</v>
      </c>
      <c r="Q4" s="3503" t="s">
        <v>2820</v>
      </c>
      <c r="R4" s="3503" t="s">
        <v>2820</v>
      </c>
      <c r="S4" s="3503" t="s">
        <v>3141</v>
      </c>
      <c r="T4" s="3503" t="s">
        <v>3142</v>
      </c>
      <c r="U4" s="3503" t="s">
        <v>2820</v>
      </c>
      <c r="V4" s="3503" t="s">
        <v>2820</v>
      </c>
      <c r="W4" s="3503" t="s">
        <v>3119</v>
      </c>
      <c r="X4" s="3503" t="s">
        <v>3133</v>
      </c>
      <c r="Y4" s="3503" t="s">
        <v>3143</v>
      </c>
      <c r="Z4" s="3503" t="s">
        <v>3143</v>
      </c>
      <c r="AA4" s="3503" t="s">
        <v>3143</v>
      </c>
      <c r="AB4" s="3503" t="s">
        <v>3139</v>
      </c>
      <c r="AC4" s="3503" t="s">
        <v>3123</v>
      </c>
      <c r="AD4" s="3503" t="s">
        <v>3144</v>
      </c>
      <c r="AE4" s="3503">
        <v>19000</v>
      </c>
      <c r="AF4" s="3503" t="s">
        <v>2820</v>
      </c>
      <c r="AG4" s="3503">
        <v>62800</v>
      </c>
      <c r="AH4" s="3503" t="s">
        <v>2820</v>
      </c>
      <c r="AI4" s="3503">
        <v>2063.27</v>
      </c>
      <c r="AJ4" s="3503" t="s">
        <v>2820</v>
      </c>
      <c r="AK4" s="3503">
        <v>17194.16</v>
      </c>
      <c r="AL4" s="3503" t="s">
        <v>2820</v>
      </c>
      <c r="AM4" s="3503" t="s">
        <v>2820</v>
      </c>
      <c r="AN4" s="3503" t="s">
        <v>2820</v>
      </c>
      <c r="AO4" s="3503" t="s">
        <v>3125</v>
      </c>
      <c r="AP4" s="3503" t="s">
        <v>2820</v>
      </c>
      <c r="AQ4" s="3503" t="s">
        <v>2820</v>
      </c>
      <c r="AR4" s="3503" t="s">
        <v>2820</v>
      </c>
    </row>
    <row r="5" spans="1:44" s="3502" customFormat="1" ht="12">
      <c r="A5" s="3502" t="s">
        <v>3145</v>
      </c>
      <c r="B5" s="3502" t="s">
        <v>1947</v>
      </c>
      <c r="C5" s="3502" t="s">
        <v>3109</v>
      </c>
      <c r="D5" s="3502" t="s">
        <v>3110</v>
      </c>
      <c r="E5" s="3502" t="s">
        <v>2820</v>
      </c>
      <c r="F5" s="3502" t="s">
        <v>3063</v>
      </c>
      <c r="G5" s="3502" t="s">
        <v>3112</v>
      </c>
      <c r="H5" s="3502" t="s">
        <v>3146</v>
      </c>
      <c r="I5" s="3502" t="s">
        <v>3114</v>
      </c>
      <c r="J5" s="3502">
        <v>95947</v>
      </c>
      <c r="K5" s="3502">
        <v>211083</v>
      </c>
      <c r="L5" s="3502">
        <v>2.2000000000000002</v>
      </c>
      <c r="M5" s="3502" t="s">
        <v>2820</v>
      </c>
      <c r="N5" s="3502" t="s">
        <v>3115</v>
      </c>
      <c r="O5" s="3502" t="s">
        <v>3147</v>
      </c>
      <c r="P5" s="3502" t="s">
        <v>2820</v>
      </c>
      <c r="Q5" s="3502" t="s">
        <v>2820</v>
      </c>
      <c r="R5" s="3502" t="s">
        <v>2820</v>
      </c>
      <c r="S5" s="3502" t="s">
        <v>3148</v>
      </c>
      <c r="T5" s="3502" t="s">
        <v>3142</v>
      </c>
      <c r="U5" s="3502" t="s">
        <v>3142</v>
      </c>
      <c r="V5" s="3502" t="s">
        <v>2820</v>
      </c>
      <c r="W5" s="3502" t="s">
        <v>3119</v>
      </c>
      <c r="X5" s="3502" t="s">
        <v>3149</v>
      </c>
      <c r="Y5" s="3502" t="s">
        <v>3150</v>
      </c>
      <c r="Z5" s="3502" t="s">
        <v>3151</v>
      </c>
      <c r="AA5" s="3502" t="s">
        <v>3151</v>
      </c>
      <c r="AB5" s="3502" t="s">
        <v>3146</v>
      </c>
      <c r="AC5" s="3502" t="s">
        <v>3123</v>
      </c>
      <c r="AD5" s="3502" t="s">
        <v>3152</v>
      </c>
      <c r="AE5" s="3502">
        <v>110000</v>
      </c>
      <c r="AF5" s="3502">
        <v>370000</v>
      </c>
      <c r="AG5" s="3502">
        <v>370000</v>
      </c>
      <c r="AH5" s="3502">
        <v>2570.86</v>
      </c>
      <c r="AI5" s="3502">
        <v>2570.86</v>
      </c>
      <c r="AJ5" s="3502">
        <v>17528.650000000001</v>
      </c>
      <c r="AK5" s="3502">
        <v>17528.650000000001</v>
      </c>
      <c r="AL5" s="3502" t="s">
        <v>2820</v>
      </c>
      <c r="AM5" s="3502" t="s">
        <v>2820</v>
      </c>
      <c r="AN5" s="3502">
        <v>0</v>
      </c>
      <c r="AO5" s="3502" t="s">
        <v>3125</v>
      </c>
      <c r="AP5" s="3502" t="s">
        <v>2820</v>
      </c>
      <c r="AQ5" s="3502" t="s">
        <v>2820</v>
      </c>
      <c r="AR5" s="3502" t="s">
        <v>2820</v>
      </c>
    </row>
    <row r="6" spans="1:44" s="3504" customFormat="1" ht="12">
      <c r="A6" s="3504" t="s">
        <v>3153</v>
      </c>
      <c r="B6" s="3504" t="s">
        <v>1947</v>
      </c>
      <c r="C6" s="3504" t="s">
        <v>3127</v>
      </c>
      <c r="D6" s="3504" t="s">
        <v>3110</v>
      </c>
      <c r="E6" s="3504" t="s">
        <v>2820</v>
      </c>
      <c r="F6" s="3504" t="s">
        <v>3128</v>
      </c>
      <c r="G6" s="3504" t="s">
        <v>3112</v>
      </c>
      <c r="H6" s="3504" t="s">
        <v>3154</v>
      </c>
      <c r="I6" s="3504" t="s">
        <v>3242</v>
      </c>
      <c r="J6" s="3504">
        <v>90424</v>
      </c>
      <c r="K6" s="3504">
        <v>220105</v>
      </c>
      <c r="L6" s="3504">
        <v>2.4300000000000002</v>
      </c>
      <c r="M6" s="3504" t="s">
        <v>2820</v>
      </c>
      <c r="N6" s="3504" t="s">
        <v>3155</v>
      </c>
      <c r="O6" s="3504" t="s">
        <v>3156</v>
      </c>
      <c r="P6" s="3504" t="s">
        <v>2820</v>
      </c>
      <c r="Q6" s="3504" t="s">
        <v>2820</v>
      </c>
      <c r="R6" s="3504" t="s">
        <v>2820</v>
      </c>
      <c r="S6" s="3504" t="s">
        <v>2820</v>
      </c>
      <c r="T6" s="3504" t="s">
        <v>3157</v>
      </c>
      <c r="U6" s="3504" t="s">
        <v>3118</v>
      </c>
      <c r="V6" s="3504" t="s">
        <v>2820</v>
      </c>
      <c r="W6" s="3504" t="s">
        <v>3119</v>
      </c>
      <c r="X6" s="3504" t="s">
        <v>3158</v>
      </c>
      <c r="Y6" s="3504" t="s">
        <v>3159</v>
      </c>
      <c r="Z6" s="3504" t="s">
        <v>3160</v>
      </c>
      <c r="AA6" s="3504" t="s">
        <v>3160</v>
      </c>
      <c r="AB6" s="3504" t="s">
        <v>3154</v>
      </c>
      <c r="AC6" s="3504" t="s">
        <v>3123</v>
      </c>
      <c r="AD6" s="3504" t="s">
        <v>3161</v>
      </c>
      <c r="AE6" s="3504">
        <v>110000</v>
      </c>
      <c r="AF6" s="3504">
        <v>360000</v>
      </c>
      <c r="AG6" s="3504">
        <v>360000</v>
      </c>
      <c r="AH6" s="3504">
        <v>2654.16</v>
      </c>
      <c r="AI6" s="3504">
        <v>2654.16</v>
      </c>
      <c r="AJ6" s="3504">
        <v>16355.82</v>
      </c>
      <c r="AK6" s="3504">
        <v>16355.82</v>
      </c>
      <c r="AL6" s="3504" t="s">
        <v>2820</v>
      </c>
      <c r="AM6" s="3504" t="s">
        <v>2820</v>
      </c>
      <c r="AN6" s="3504">
        <v>0</v>
      </c>
      <c r="AO6" s="3504" t="s">
        <v>3125</v>
      </c>
      <c r="AP6" s="3504" t="s">
        <v>2820</v>
      </c>
      <c r="AQ6" s="3504" t="s">
        <v>2820</v>
      </c>
      <c r="AR6" s="3504" t="s">
        <v>2820</v>
      </c>
    </row>
    <row r="7" spans="1:44" s="3501" customFormat="1" ht="12">
      <c r="A7" s="3501" t="s">
        <v>3162</v>
      </c>
      <c r="B7" s="3501" t="s">
        <v>1947</v>
      </c>
      <c r="C7" s="3501" t="s">
        <v>3127</v>
      </c>
      <c r="D7" s="3501" t="s">
        <v>3110</v>
      </c>
      <c r="E7" s="3501" t="s">
        <v>2820</v>
      </c>
      <c r="F7" s="3501" t="s">
        <v>3163</v>
      </c>
      <c r="G7" s="3501" t="s">
        <v>3112</v>
      </c>
      <c r="H7" s="3501" t="s">
        <v>3164</v>
      </c>
      <c r="I7" s="3501" t="s">
        <v>3165</v>
      </c>
      <c r="J7" s="3501">
        <v>37662.699999999997</v>
      </c>
      <c r="K7" s="3501">
        <v>69250.399999999994</v>
      </c>
      <c r="L7" s="3501">
        <v>1.84</v>
      </c>
      <c r="M7" s="3501" t="s">
        <v>2820</v>
      </c>
      <c r="N7" s="3501" t="s">
        <v>3166</v>
      </c>
      <c r="O7" s="3501" t="s">
        <v>3167</v>
      </c>
      <c r="P7" s="3501" t="s">
        <v>2820</v>
      </c>
      <c r="Q7" s="3501" t="s">
        <v>2820</v>
      </c>
      <c r="R7" s="3501" t="s">
        <v>2820</v>
      </c>
      <c r="S7" s="3501" t="s">
        <v>2820</v>
      </c>
      <c r="T7" s="3501" t="s">
        <v>3117</v>
      </c>
      <c r="U7" s="3501" t="s">
        <v>3168</v>
      </c>
      <c r="V7" s="3501" t="s">
        <v>2820</v>
      </c>
      <c r="W7" s="3501" t="s">
        <v>3119</v>
      </c>
      <c r="X7" s="3501" t="s">
        <v>3169</v>
      </c>
      <c r="Y7" s="3501" t="s">
        <v>3170</v>
      </c>
      <c r="Z7" s="3501" t="s">
        <v>3171</v>
      </c>
      <c r="AA7" s="3501" t="s">
        <v>3171</v>
      </c>
      <c r="AB7" s="3501" t="s">
        <v>3164</v>
      </c>
      <c r="AC7" s="3501" t="s">
        <v>3123</v>
      </c>
      <c r="AD7" s="3501" t="s">
        <v>3172</v>
      </c>
      <c r="AE7" s="3501">
        <v>55000</v>
      </c>
      <c r="AF7" s="3501">
        <v>181000</v>
      </c>
      <c r="AG7" s="3501">
        <v>246000</v>
      </c>
      <c r="AH7" s="3501">
        <v>3203.88</v>
      </c>
      <c r="AI7" s="3501">
        <v>4354.4399999999996</v>
      </c>
      <c r="AJ7" s="3501">
        <v>26137.03</v>
      </c>
      <c r="AK7" s="3501">
        <v>35523.26</v>
      </c>
      <c r="AL7" s="3501" t="s">
        <v>2820</v>
      </c>
      <c r="AM7" s="3501" t="s">
        <v>2820</v>
      </c>
      <c r="AN7" s="3501">
        <v>35.909999999999997</v>
      </c>
      <c r="AO7" s="3501" t="s">
        <v>3125</v>
      </c>
      <c r="AP7" s="3501" t="s">
        <v>2820</v>
      </c>
      <c r="AQ7" s="3501">
        <v>22</v>
      </c>
      <c r="AR7" s="3501" t="s">
        <v>2820</v>
      </c>
    </row>
    <row r="8" spans="1:44" s="3501" customFormat="1" ht="12">
      <c r="A8" s="3501" t="s">
        <v>3173</v>
      </c>
      <c r="B8" s="3501" t="s">
        <v>1947</v>
      </c>
      <c r="C8" s="3501" t="s">
        <v>3127</v>
      </c>
      <c r="D8" s="3501" t="s">
        <v>3110</v>
      </c>
      <c r="E8" s="3501" t="s">
        <v>2820</v>
      </c>
      <c r="F8" s="3501" t="s">
        <v>3174</v>
      </c>
      <c r="G8" s="3501" t="s">
        <v>3112</v>
      </c>
      <c r="H8" s="3501" t="s">
        <v>3175</v>
      </c>
      <c r="I8" s="3501" t="s">
        <v>3176</v>
      </c>
      <c r="J8" s="3501">
        <v>48377.1</v>
      </c>
      <c r="K8" s="3501">
        <v>87296.2</v>
      </c>
      <c r="L8" s="3501">
        <v>1.8</v>
      </c>
      <c r="M8" s="3501" t="s">
        <v>2820</v>
      </c>
      <c r="N8" s="3501" t="s">
        <v>3115</v>
      </c>
      <c r="O8" s="3501" t="s">
        <v>3177</v>
      </c>
      <c r="P8" s="3501" t="s">
        <v>2820</v>
      </c>
      <c r="Q8" s="3501" t="s">
        <v>2820</v>
      </c>
      <c r="R8" s="3501" t="s">
        <v>2820</v>
      </c>
      <c r="S8" s="3501" t="s">
        <v>3178</v>
      </c>
      <c r="T8" s="3501" t="s">
        <v>3142</v>
      </c>
      <c r="U8" s="3501" t="s">
        <v>3142</v>
      </c>
      <c r="V8" s="3501" t="s">
        <v>2820</v>
      </c>
      <c r="W8" s="3501" t="s">
        <v>3119</v>
      </c>
      <c r="X8" s="3501" t="s">
        <v>3169</v>
      </c>
      <c r="Y8" s="3501" t="s">
        <v>3170</v>
      </c>
      <c r="Z8" s="3501" t="s">
        <v>3171</v>
      </c>
      <c r="AA8" s="3501" t="s">
        <v>3171</v>
      </c>
      <c r="AB8" s="3501" t="s">
        <v>3175</v>
      </c>
      <c r="AC8" s="3501" t="s">
        <v>3123</v>
      </c>
      <c r="AD8" s="3501" t="s">
        <v>3179</v>
      </c>
      <c r="AE8" s="3501">
        <v>48000</v>
      </c>
      <c r="AF8" s="3501">
        <v>160000</v>
      </c>
      <c r="AG8" s="3501">
        <v>222000</v>
      </c>
      <c r="AH8" s="3501">
        <v>2204.9</v>
      </c>
      <c r="AI8" s="3501">
        <v>3059.3</v>
      </c>
      <c r="AJ8" s="3501">
        <v>18328.400000000001</v>
      </c>
      <c r="AK8" s="3501">
        <v>25430.65</v>
      </c>
      <c r="AL8" s="3501" t="s">
        <v>2820</v>
      </c>
      <c r="AM8" s="3501" t="s">
        <v>2820</v>
      </c>
      <c r="AN8" s="3501">
        <v>38.75</v>
      </c>
      <c r="AO8" s="3501" t="s">
        <v>3125</v>
      </c>
      <c r="AP8" s="3501" t="s">
        <v>2820</v>
      </c>
      <c r="AQ8" s="3501" t="s">
        <v>2820</v>
      </c>
      <c r="AR8" s="3501" t="s">
        <v>2820</v>
      </c>
    </row>
    <row r="9" spans="1:44" s="3501" customFormat="1" ht="12">
      <c r="A9" s="3501" t="s">
        <v>3180</v>
      </c>
      <c r="B9" s="3501" t="s">
        <v>1947</v>
      </c>
      <c r="C9" s="3501" t="s">
        <v>3109</v>
      </c>
      <c r="D9" s="3501" t="s">
        <v>3110</v>
      </c>
      <c r="E9" s="3501" t="s">
        <v>2820</v>
      </c>
      <c r="F9" s="3501" t="s">
        <v>3181</v>
      </c>
      <c r="G9" s="3501" t="s">
        <v>3112</v>
      </c>
      <c r="H9" s="3501" t="s">
        <v>3182</v>
      </c>
      <c r="I9" s="3501" t="s">
        <v>3114</v>
      </c>
      <c r="J9" s="3501">
        <v>92065.1</v>
      </c>
      <c r="K9" s="3501">
        <v>165717.20000000001</v>
      </c>
      <c r="L9" s="3501">
        <v>1.8</v>
      </c>
      <c r="M9" s="3501" t="s">
        <v>2820</v>
      </c>
      <c r="N9" s="3501" t="s">
        <v>3115</v>
      </c>
      <c r="O9" s="3501" t="s">
        <v>3183</v>
      </c>
      <c r="P9" s="3501" t="s">
        <v>2820</v>
      </c>
      <c r="Q9" s="3501" t="s">
        <v>2820</v>
      </c>
      <c r="R9" s="3501" t="s">
        <v>2820</v>
      </c>
      <c r="S9" s="3501" t="s">
        <v>2820</v>
      </c>
      <c r="T9" s="3501" t="s">
        <v>3117</v>
      </c>
      <c r="U9" s="3501" t="s">
        <v>3168</v>
      </c>
      <c r="V9" s="3501" t="s">
        <v>2820</v>
      </c>
      <c r="W9" s="3501" t="s">
        <v>3119</v>
      </c>
      <c r="X9" s="3501" t="s">
        <v>3184</v>
      </c>
      <c r="Y9" s="3501" t="s">
        <v>3169</v>
      </c>
      <c r="Z9" s="3501" t="s">
        <v>3170</v>
      </c>
      <c r="AA9" s="3501" t="s">
        <v>3170</v>
      </c>
      <c r="AB9" s="3501" t="s">
        <v>3185</v>
      </c>
      <c r="AC9" s="3501" t="s">
        <v>3123</v>
      </c>
      <c r="AD9" s="3501" t="s">
        <v>3186</v>
      </c>
      <c r="AE9" s="3501">
        <v>140000</v>
      </c>
      <c r="AF9" s="3501">
        <v>464000</v>
      </c>
      <c r="AG9" s="3501">
        <v>629000</v>
      </c>
      <c r="AH9" s="3501">
        <v>3359.94</v>
      </c>
      <c r="AI9" s="3501">
        <v>4554.75</v>
      </c>
      <c r="AJ9" s="3501">
        <v>27999.5</v>
      </c>
      <c r="AK9" s="3501">
        <v>37956.230000000003</v>
      </c>
      <c r="AL9" s="3501" t="s">
        <v>2820</v>
      </c>
      <c r="AM9" s="3501" t="s">
        <v>2820</v>
      </c>
      <c r="AN9" s="3501">
        <v>35.56</v>
      </c>
      <c r="AO9" s="3501" t="s">
        <v>3125</v>
      </c>
      <c r="AP9" s="3501" t="s">
        <v>2820</v>
      </c>
      <c r="AQ9" s="3501">
        <v>2</v>
      </c>
      <c r="AR9" s="3501" t="s">
        <v>2820</v>
      </c>
    </row>
    <row r="10" spans="1:44" s="3501" customFormat="1" ht="12">
      <c r="A10" s="3501" t="s">
        <v>3187</v>
      </c>
      <c r="B10" s="3501" t="s">
        <v>1947</v>
      </c>
      <c r="C10" s="3501" t="s">
        <v>3109</v>
      </c>
      <c r="D10" s="3501" t="s">
        <v>3110</v>
      </c>
      <c r="E10" s="3501" t="s">
        <v>2820</v>
      </c>
      <c r="F10" s="3501" t="s">
        <v>3188</v>
      </c>
      <c r="G10" s="3501" t="s">
        <v>3112</v>
      </c>
      <c r="H10" s="3501" t="s">
        <v>3189</v>
      </c>
      <c r="I10" s="3501" t="s">
        <v>3190</v>
      </c>
      <c r="J10" s="3501">
        <v>76286.2</v>
      </c>
      <c r="K10" s="3501">
        <v>181983.1</v>
      </c>
      <c r="L10" s="3501">
        <v>2.5</v>
      </c>
      <c r="M10" s="3501" t="s">
        <v>2820</v>
      </c>
      <c r="N10" s="3501" t="s">
        <v>2820</v>
      </c>
      <c r="O10" s="3501" t="s">
        <v>2820</v>
      </c>
      <c r="P10" s="3501" t="s">
        <v>2820</v>
      </c>
      <c r="Q10" s="3501" t="s">
        <v>2820</v>
      </c>
      <c r="R10" s="3501" t="s">
        <v>2820</v>
      </c>
      <c r="S10" s="3501" t="s">
        <v>2820</v>
      </c>
      <c r="T10" s="3501" t="s">
        <v>3117</v>
      </c>
      <c r="U10" s="3501" t="s">
        <v>3118</v>
      </c>
      <c r="V10" s="3501" t="s">
        <v>2820</v>
      </c>
      <c r="W10" s="3501" t="s">
        <v>3191</v>
      </c>
      <c r="X10" s="3501" t="s">
        <v>3192</v>
      </c>
      <c r="Y10" s="3501" t="s">
        <v>3193</v>
      </c>
      <c r="Z10" s="3501" t="s">
        <v>3194</v>
      </c>
      <c r="AA10" s="3501" t="s">
        <v>3194</v>
      </c>
      <c r="AB10" s="3501" t="s">
        <v>3189</v>
      </c>
      <c r="AC10" s="3501" t="s">
        <v>3123</v>
      </c>
      <c r="AD10" s="3501" t="s">
        <v>3195</v>
      </c>
      <c r="AE10" s="3501">
        <v>144000</v>
      </c>
      <c r="AF10" s="3501">
        <v>478000</v>
      </c>
      <c r="AG10" s="3501">
        <v>716500</v>
      </c>
      <c r="AH10" s="3501">
        <v>4177.25</v>
      </c>
      <c r="AI10" s="3501">
        <v>6261.51</v>
      </c>
      <c r="AJ10" s="3501">
        <v>26266.17</v>
      </c>
      <c r="AK10" s="3501">
        <v>39371.79</v>
      </c>
      <c r="AL10" s="3501" t="s">
        <v>2820</v>
      </c>
      <c r="AM10" s="3501" t="s">
        <v>2820</v>
      </c>
      <c r="AN10" s="3501">
        <v>49.9</v>
      </c>
      <c r="AO10" s="3501" t="s">
        <v>3125</v>
      </c>
      <c r="AP10" s="3501" t="s">
        <v>2820</v>
      </c>
      <c r="AQ10" s="3501" t="s">
        <v>2820</v>
      </c>
      <c r="AR10" s="3501" t="s">
        <v>2820</v>
      </c>
    </row>
    <row r="11" spans="1:44" s="3501" customFormat="1" ht="12">
      <c r="A11" s="3501" t="s">
        <v>3196</v>
      </c>
      <c r="B11" s="3501" t="s">
        <v>1947</v>
      </c>
      <c r="C11" s="3501" t="s">
        <v>3127</v>
      </c>
      <c r="D11" s="3501" t="s">
        <v>3110</v>
      </c>
      <c r="E11" s="3501" t="s">
        <v>2820</v>
      </c>
      <c r="F11" s="3501" t="s">
        <v>3197</v>
      </c>
      <c r="G11" s="3501" t="s">
        <v>3112</v>
      </c>
      <c r="H11" s="3501" t="s">
        <v>3198</v>
      </c>
      <c r="I11" s="3501" t="s">
        <v>3130</v>
      </c>
      <c r="J11" s="3501">
        <v>28212.35</v>
      </c>
      <c r="K11" s="3501">
        <v>70531</v>
      </c>
      <c r="L11" s="3501">
        <v>2.5</v>
      </c>
      <c r="M11" s="3501" t="s">
        <v>2820</v>
      </c>
      <c r="N11" s="3501" t="s">
        <v>3115</v>
      </c>
      <c r="O11" s="3501" t="s">
        <v>3132</v>
      </c>
      <c r="P11" s="3501" t="s">
        <v>2820</v>
      </c>
      <c r="Q11" s="3501" t="s">
        <v>2820</v>
      </c>
      <c r="R11" s="3501" t="s">
        <v>2820</v>
      </c>
      <c r="S11" s="3501" t="s">
        <v>2820</v>
      </c>
      <c r="T11" s="3501" t="s">
        <v>3117</v>
      </c>
      <c r="U11" s="3501" t="s">
        <v>3118</v>
      </c>
      <c r="V11" s="3501" t="s">
        <v>2820</v>
      </c>
      <c r="W11" s="3501" t="s">
        <v>3191</v>
      </c>
      <c r="X11" s="3501" t="s">
        <v>3199</v>
      </c>
      <c r="Y11" s="3501" t="s">
        <v>3200</v>
      </c>
      <c r="Z11" s="3501" t="s">
        <v>3201</v>
      </c>
      <c r="AA11" s="3501" t="s">
        <v>3201</v>
      </c>
      <c r="AB11" s="3501" t="s">
        <v>3198</v>
      </c>
      <c r="AC11" s="3501" t="s">
        <v>3123</v>
      </c>
      <c r="AD11" s="3501" t="s">
        <v>3202</v>
      </c>
      <c r="AE11" s="3501">
        <v>57000</v>
      </c>
      <c r="AF11" s="3501">
        <v>190000</v>
      </c>
      <c r="AG11" s="3501">
        <v>270000</v>
      </c>
      <c r="AH11" s="3501">
        <v>4489.76</v>
      </c>
      <c r="AI11" s="3501">
        <v>6380.18</v>
      </c>
      <c r="AJ11" s="3501">
        <v>26938.5</v>
      </c>
      <c r="AK11" s="3501">
        <v>38281.040000000001</v>
      </c>
      <c r="AL11" s="3501" t="s">
        <v>2820</v>
      </c>
      <c r="AM11" s="3501" t="s">
        <v>2820</v>
      </c>
      <c r="AN11" s="3501">
        <v>42.11</v>
      </c>
      <c r="AO11" s="3501" t="s">
        <v>3125</v>
      </c>
      <c r="AP11" s="3501" t="s">
        <v>2820</v>
      </c>
      <c r="AQ11" s="3501" t="s">
        <v>2820</v>
      </c>
      <c r="AR11" s="3501" t="s">
        <v>2820</v>
      </c>
    </row>
    <row r="12" spans="1:44" s="3501" customFormat="1" ht="12">
      <c r="A12" s="3501" t="s">
        <v>3203</v>
      </c>
      <c r="B12" s="3501" t="s">
        <v>1947</v>
      </c>
      <c r="C12" s="3501" t="s">
        <v>3127</v>
      </c>
      <c r="D12" s="3501" t="s">
        <v>3110</v>
      </c>
      <c r="E12" s="3501" t="s">
        <v>2820</v>
      </c>
      <c r="F12" s="3501" t="s">
        <v>3204</v>
      </c>
      <c r="G12" s="3501" t="s">
        <v>3112</v>
      </c>
      <c r="H12" s="3501" t="s">
        <v>3205</v>
      </c>
      <c r="I12" s="3501" t="s">
        <v>3165</v>
      </c>
      <c r="J12" s="3501">
        <v>75065.42</v>
      </c>
      <c r="K12" s="3501">
        <v>133506</v>
      </c>
      <c r="L12" s="3501" t="s">
        <v>3206</v>
      </c>
      <c r="M12" s="3501" t="s">
        <v>2820</v>
      </c>
      <c r="N12" s="3501" t="s">
        <v>3115</v>
      </c>
      <c r="O12" s="3501" t="s">
        <v>2820</v>
      </c>
      <c r="P12" s="3501" t="s">
        <v>2820</v>
      </c>
      <c r="Q12" s="3501" t="s">
        <v>2820</v>
      </c>
      <c r="R12" s="3501" t="s">
        <v>2820</v>
      </c>
      <c r="S12" s="3501" t="s">
        <v>2820</v>
      </c>
      <c r="T12" s="3501" t="s">
        <v>3117</v>
      </c>
      <c r="U12" s="3501" t="s">
        <v>3168</v>
      </c>
      <c r="V12" s="3501" t="s">
        <v>2820</v>
      </c>
      <c r="W12" s="3501" t="s">
        <v>3191</v>
      </c>
      <c r="X12" s="3501" t="s">
        <v>3207</v>
      </c>
      <c r="Y12" s="3501" t="s">
        <v>3208</v>
      </c>
      <c r="Z12" s="3501" t="s">
        <v>3209</v>
      </c>
      <c r="AA12" s="3501" t="s">
        <v>3209</v>
      </c>
      <c r="AB12" s="3501" t="s">
        <v>3205</v>
      </c>
      <c r="AC12" s="3501" t="s">
        <v>3123</v>
      </c>
      <c r="AD12" s="3501" t="s">
        <v>3210</v>
      </c>
      <c r="AE12" s="3501">
        <v>96000</v>
      </c>
      <c r="AF12" s="3501">
        <v>320000</v>
      </c>
      <c r="AG12" s="3501">
        <v>479000</v>
      </c>
      <c r="AH12" s="3501">
        <v>2841.97</v>
      </c>
      <c r="AI12" s="3501">
        <v>4254.07</v>
      </c>
      <c r="AJ12" s="3501">
        <v>23968.95</v>
      </c>
      <c r="AK12" s="3501">
        <v>35878.54</v>
      </c>
      <c r="AL12" s="3501" t="s">
        <v>2820</v>
      </c>
      <c r="AM12" s="3501" t="s">
        <v>2820</v>
      </c>
      <c r="AN12" s="3501">
        <v>49.69</v>
      </c>
      <c r="AO12" s="3501" t="s">
        <v>3125</v>
      </c>
      <c r="AP12" s="3501" t="s">
        <v>2820</v>
      </c>
      <c r="AQ12" s="3501">
        <v>26</v>
      </c>
      <c r="AR12" s="3501" t="s">
        <v>2820</v>
      </c>
    </row>
    <row r="13" spans="1:44" s="3501" customFormat="1" ht="12">
      <c r="A13" s="3501" t="s">
        <v>3211</v>
      </c>
      <c r="B13" s="3501" t="s">
        <v>1947</v>
      </c>
      <c r="C13" s="3501" t="s">
        <v>3127</v>
      </c>
      <c r="D13" s="3501" t="s">
        <v>3110</v>
      </c>
      <c r="E13" s="3501" t="s">
        <v>2820</v>
      </c>
      <c r="F13" s="3501" t="s">
        <v>3197</v>
      </c>
      <c r="G13" s="3501" t="s">
        <v>3112</v>
      </c>
      <c r="H13" s="3501" t="s">
        <v>3212</v>
      </c>
      <c r="I13" s="3501" t="s">
        <v>3130</v>
      </c>
      <c r="J13" s="3501">
        <v>22717.91</v>
      </c>
      <c r="K13" s="3501">
        <v>56795</v>
      </c>
      <c r="L13" s="3501">
        <v>2.5</v>
      </c>
      <c r="M13" s="3501" t="s">
        <v>2820</v>
      </c>
      <c r="N13" s="3501" t="s">
        <v>3115</v>
      </c>
      <c r="O13" s="3501" t="s">
        <v>3132</v>
      </c>
      <c r="P13" s="3501" t="s">
        <v>2820</v>
      </c>
      <c r="Q13" s="3501" t="s">
        <v>2820</v>
      </c>
      <c r="R13" s="3501" t="s">
        <v>2820</v>
      </c>
      <c r="S13" s="3501" t="s">
        <v>2820</v>
      </c>
      <c r="T13" s="3501" t="s">
        <v>3117</v>
      </c>
      <c r="U13" s="3501" t="s">
        <v>3168</v>
      </c>
      <c r="V13" s="3501" t="s">
        <v>2820</v>
      </c>
      <c r="W13" s="3501" t="s">
        <v>3191</v>
      </c>
      <c r="X13" s="3501" t="s">
        <v>3207</v>
      </c>
      <c r="Y13" s="3501" t="s">
        <v>3208</v>
      </c>
      <c r="Z13" s="3501" t="s">
        <v>3209</v>
      </c>
      <c r="AA13" s="3501" t="s">
        <v>3209</v>
      </c>
      <c r="AB13" s="3501" t="s">
        <v>3212</v>
      </c>
      <c r="AC13" s="3501" t="s">
        <v>3123</v>
      </c>
      <c r="AD13" s="3501" t="s">
        <v>3213</v>
      </c>
      <c r="AE13" s="3501">
        <v>46000</v>
      </c>
      <c r="AF13" s="3501">
        <v>153000</v>
      </c>
      <c r="AG13" s="3501">
        <v>229000</v>
      </c>
      <c r="AH13" s="3501">
        <v>4489.8500000000004</v>
      </c>
      <c r="AI13" s="3501">
        <v>6720.1</v>
      </c>
      <c r="AJ13" s="3501">
        <v>26938.99</v>
      </c>
      <c r="AK13" s="3501">
        <v>40320.44</v>
      </c>
      <c r="AL13" s="3501" t="s">
        <v>2820</v>
      </c>
      <c r="AM13" s="3501" t="s">
        <v>2820</v>
      </c>
      <c r="AN13" s="3501">
        <v>49.67</v>
      </c>
      <c r="AO13" s="3501" t="s">
        <v>3125</v>
      </c>
      <c r="AP13" s="3501" t="s">
        <v>2820</v>
      </c>
      <c r="AQ13" s="3501">
        <v>6</v>
      </c>
      <c r="AR13" s="3501" t="s">
        <v>2820</v>
      </c>
    </row>
    <row r="14" spans="1:44" s="3503" customFormat="1" ht="12">
      <c r="A14" s="3503" t="s">
        <v>3214</v>
      </c>
      <c r="B14" s="3503" t="s">
        <v>1947</v>
      </c>
      <c r="C14" s="3503" t="s">
        <v>3127</v>
      </c>
      <c r="D14" s="3503" t="s">
        <v>3110</v>
      </c>
      <c r="E14" s="3503" t="s">
        <v>2820</v>
      </c>
      <c r="F14" s="3503" t="s">
        <v>3197</v>
      </c>
      <c r="G14" s="3503" t="s">
        <v>3112</v>
      </c>
      <c r="H14" s="3503" t="s">
        <v>3215</v>
      </c>
      <c r="I14" s="3503" t="s">
        <v>3244</v>
      </c>
      <c r="J14" s="3503">
        <v>31048.69</v>
      </c>
      <c r="K14" s="3503">
        <v>77622</v>
      </c>
      <c r="L14" s="3503">
        <v>2.5</v>
      </c>
      <c r="M14" s="3503" t="s">
        <v>3216</v>
      </c>
      <c r="N14" s="3503" t="s">
        <v>3115</v>
      </c>
      <c r="O14" s="3503" t="s">
        <v>3132</v>
      </c>
      <c r="P14" s="3503" t="s">
        <v>2820</v>
      </c>
      <c r="Q14" s="3503" t="s">
        <v>2820</v>
      </c>
      <c r="R14" s="3503" t="s">
        <v>2820</v>
      </c>
      <c r="S14" s="3503" t="s">
        <v>3217</v>
      </c>
      <c r="T14" s="3503" t="s">
        <v>3142</v>
      </c>
      <c r="U14" s="3503" t="s">
        <v>3142</v>
      </c>
      <c r="V14" s="3503" t="s">
        <v>2820</v>
      </c>
      <c r="W14" s="3503" t="s">
        <v>3191</v>
      </c>
      <c r="X14" s="3503" t="s">
        <v>3218</v>
      </c>
      <c r="Y14" s="3503" t="s">
        <v>3219</v>
      </c>
      <c r="Z14" s="3503" t="s">
        <v>3193</v>
      </c>
      <c r="AA14" s="3503" t="s">
        <v>3193</v>
      </c>
      <c r="AB14" s="3503" t="s">
        <v>3215</v>
      </c>
      <c r="AC14" s="3503" t="s">
        <v>3123</v>
      </c>
      <c r="AD14" s="3503" t="s">
        <v>3220</v>
      </c>
      <c r="AE14" s="3503">
        <v>43500</v>
      </c>
      <c r="AF14" s="3503">
        <v>145000</v>
      </c>
      <c r="AG14" s="3503">
        <v>146500</v>
      </c>
      <c r="AH14" s="3503">
        <v>3113.39</v>
      </c>
      <c r="AI14" s="3503">
        <v>3145.6</v>
      </c>
      <c r="AJ14" s="3503">
        <v>18680.27</v>
      </c>
      <c r="AK14" s="3503">
        <v>18873.52</v>
      </c>
      <c r="AL14" s="3503" t="s">
        <v>2820</v>
      </c>
      <c r="AM14" s="3503" t="s">
        <v>2820</v>
      </c>
      <c r="AN14" s="3503">
        <v>1.03</v>
      </c>
      <c r="AO14" s="3503" t="s">
        <v>3125</v>
      </c>
      <c r="AP14" s="3503" t="s">
        <v>2820</v>
      </c>
      <c r="AQ14" s="3503" t="s">
        <v>2820</v>
      </c>
      <c r="AR14" s="3503" t="s">
        <v>2820</v>
      </c>
    </row>
    <row r="15" spans="1:44" s="3501" customFormat="1" ht="12">
      <c r="A15" s="3501" t="s">
        <v>3221</v>
      </c>
      <c r="B15" s="3501" t="s">
        <v>1947</v>
      </c>
      <c r="C15" s="3501" t="s">
        <v>3127</v>
      </c>
      <c r="D15" s="3501" t="s">
        <v>3110</v>
      </c>
      <c r="E15" s="3501" t="s">
        <v>2820</v>
      </c>
      <c r="F15" s="3501" t="s">
        <v>3222</v>
      </c>
      <c r="G15" s="3501" t="s">
        <v>3112</v>
      </c>
      <c r="H15" s="3501" t="s">
        <v>3223</v>
      </c>
      <c r="I15" s="3501" t="s">
        <v>3224</v>
      </c>
      <c r="J15" s="3501">
        <v>40985.61</v>
      </c>
      <c r="K15" s="3501">
        <v>81971</v>
      </c>
      <c r="L15" s="3501">
        <v>2</v>
      </c>
      <c r="M15" s="3501" t="s">
        <v>2820</v>
      </c>
      <c r="N15" s="3501" t="s">
        <v>3216</v>
      </c>
      <c r="O15" s="3501">
        <v>45</v>
      </c>
      <c r="P15" s="3501" t="s">
        <v>2820</v>
      </c>
      <c r="Q15" s="3501" t="s">
        <v>2820</v>
      </c>
      <c r="R15" s="3501" t="s">
        <v>2820</v>
      </c>
      <c r="S15" s="3501" t="s">
        <v>2820</v>
      </c>
      <c r="T15" s="3501" t="s">
        <v>3225</v>
      </c>
      <c r="U15" s="3501" t="s">
        <v>3226</v>
      </c>
      <c r="V15" s="3501" t="s">
        <v>2820</v>
      </c>
      <c r="W15" s="3501" t="s">
        <v>3191</v>
      </c>
      <c r="X15" s="3501" t="s">
        <v>3227</v>
      </c>
      <c r="Y15" s="3501" t="s">
        <v>3228</v>
      </c>
      <c r="Z15" s="3501" t="s">
        <v>3229</v>
      </c>
      <c r="AA15" s="3501" t="s">
        <v>3229</v>
      </c>
      <c r="AB15" s="3501" t="s">
        <v>3223</v>
      </c>
      <c r="AC15" s="3501" t="s">
        <v>3123</v>
      </c>
      <c r="AD15" s="3501" t="s">
        <v>3230</v>
      </c>
      <c r="AE15" s="3501">
        <v>50000</v>
      </c>
      <c r="AF15" s="3501">
        <v>168000</v>
      </c>
      <c r="AG15" s="3501">
        <v>168000</v>
      </c>
      <c r="AH15" s="3501">
        <v>2732.67</v>
      </c>
      <c r="AI15" s="3501">
        <v>2732.67</v>
      </c>
      <c r="AJ15" s="3501">
        <v>20495.05</v>
      </c>
      <c r="AK15" s="3501">
        <v>20495.04</v>
      </c>
      <c r="AL15" s="3501" t="s">
        <v>2820</v>
      </c>
      <c r="AM15" s="3501" t="s">
        <v>2820</v>
      </c>
      <c r="AN15" s="3501">
        <v>0</v>
      </c>
      <c r="AO15" s="3501" t="s">
        <v>3125</v>
      </c>
      <c r="AP15" s="3501" t="s">
        <v>2820</v>
      </c>
      <c r="AQ15" s="3501" t="s">
        <v>2820</v>
      </c>
      <c r="AR15" s="3501" t="s">
        <v>2820</v>
      </c>
    </row>
    <row r="16" spans="1:44" s="3501" customFormat="1" ht="12">
      <c r="A16" s="3501" t="s">
        <v>3231</v>
      </c>
      <c r="B16" s="3501" t="s">
        <v>1947</v>
      </c>
      <c r="C16" s="3501" t="s">
        <v>3109</v>
      </c>
      <c r="D16" s="3501" t="s">
        <v>3110</v>
      </c>
      <c r="E16" s="3501" t="s">
        <v>2820</v>
      </c>
      <c r="F16" s="3501" t="s">
        <v>3222</v>
      </c>
      <c r="G16" s="3501" t="s">
        <v>3112</v>
      </c>
      <c r="H16" s="3501" t="s">
        <v>3232</v>
      </c>
      <c r="I16" s="3501" t="s">
        <v>3130</v>
      </c>
      <c r="J16" s="3501">
        <v>63029.62</v>
      </c>
      <c r="K16" s="3501">
        <v>126059</v>
      </c>
      <c r="L16" s="3501">
        <v>2</v>
      </c>
      <c r="M16" s="3501" t="s">
        <v>2820</v>
      </c>
      <c r="N16" s="3501" t="s">
        <v>2820</v>
      </c>
      <c r="O16" s="3501" t="s">
        <v>2820</v>
      </c>
      <c r="P16" s="3501" t="s">
        <v>2820</v>
      </c>
      <c r="Q16" s="3501" t="s">
        <v>2820</v>
      </c>
      <c r="R16" s="3501" t="s">
        <v>2820</v>
      </c>
      <c r="S16" s="3501" t="s">
        <v>3233</v>
      </c>
      <c r="T16" s="3501" t="s">
        <v>3142</v>
      </c>
      <c r="U16" s="3501" t="s">
        <v>3142</v>
      </c>
      <c r="V16" s="3501" t="s">
        <v>2820</v>
      </c>
      <c r="W16" s="3501" t="s">
        <v>3191</v>
      </c>
      <c r="X16" s="3501" t="s">
        <v>3234</v>
      </c>
      <c r="Y16" s="3501" t="s">
        <v>3235</v>
      </c>
      <c r="Z16" s="3501" t="s">
        <v>3236</v>
      </c>
      <c r="AA16" s="3501" t="s">
        <v>3236</v>
      </c>
      <c r="AB16" s="3501" t="s">
        <v>3232</v>
      </c>
      <c r="AC16" s="3501" t="s">
        <v>3123</v>
      </c>
      <c r="AD16" s="3501" t="s">
        <v>3237</v>
      </c>
      <c r="AE16" s="3501">
        <v>72000</v>
      </c>
      <c r="AF16" s="3501">
        <v>240000</v>
      </c>
      <c r="AG16" s="3501">
        <v>380000</v>
      </c>
      <c r="AH16" s="3501">
        <v>2538.4899999999998</v>
      </c>
      <c r="AI16" s="3501">
        <v>4019.27</v>
      </c>
      <c r="AJ16" s="3501">
        <v>19038.7</v>
      </c>
      <c r="AK16" s="3501">
        <v>30144.61</v>
      </c>
      <c r="AL16" s="3501" t="s">
        <v>2820</v>
      </c>
      <c r="AM16" s="3501" t="s">
        <v>2820</v>
      </c>
      <c r="AN16" s="3501">
        <v>58.33</v>
      </c>
      <c r="AO16" s="3501" t="s">
        <v>3238</v>
      </c>
      <c r="AP16" s="3501" t="s">
        <v>2820</v>
      </c>
      <c r="AQ16" s="3501" t="s">
        <v>2820</v>
      </c>
      <c r="AR16" s="3501" t="s">
        <v>2820</v>
      </c>
    </row>
    <row r="17" spans="1:44" s="3501" customFormat="1" ht="12">
      <c r="A17" s="3501" t="s">
        <v>3249</v>
      </c>
      <c r="B17" s="3501" t="s">
        <v>1947</v>
      </c>
      <c r="C17" s="3501" t="s">
        <v>3127</v>
      </c>
      <c r="D17" s="3501" t="s">
        <v>3110</v>
      </c>
      <c r="E17" s="3501" t="s">
        <v>2820</v>
      </c>
      <c r="F17" s="3501" t="s">
        <v>3250</v>
      </c>
      <c r="G17" s="3501" t="s">
        <v>3112</v>
      </c>
      <c r="H17" s="3501" t="s">
        <v>3251</v>
      </c>
      <c r="I17" s="3501" t="s">
        <v>3114</v>
      </c>
      <c r="J17" s="3501">
        <v>85956.89</v>
      </c>
      <c r="K17" s="3501">
        <v>182033</v>
      </c>
      <c r="L17" s="3501">
        <v>2.12</v>
      </c>
      <c r="M17" s="3501" t="s">
        <v>2820</v>
      </c>
      <c r="N17" s="3501" t="s">
        <v>2820</v>
      </c>
      <c r="O17" s="3501" t="s">
        <v>2820</v>
      </c>
      <c r="P17" s="3501" t="s">
        <v>2820</v>
      </c>
      <c r="Q17" s="3501" t="s">
        <v>2820</v>
      </c>
      <c r="R17" s="3501" t="s">
        <v>2820</v>
      </c>
      <c r="S17" s="3501" t="s">
        <v>2820</v>
      </c>
      <c r="T17" s="3501" t="s">
        <v>3252</v>
      </c>
      <c r="U17" s="3501" t="s">
        <v>3252</v>
      </c>
      <c r="V17" s="3501" t="s">
        <v>2820</v>
      </c>
      <c r="W17" s="3501" t="s">
        <v>3191</v>
      </c>
      <c r="X17" s="3501" t="s">
        <v>3253</v>
      </c>
      <c r="Y17" s="3501" t="s">
        <v>3234</v>
      </c>
      <c r="Z17" s="3501" t="s">
        <v>3254</v>
      </c>
      <c r="AA17" s="3501" t="s">
        <v>3255</v>
      </c>
      <c r="AB17" s="3501" t="s">
        <v>3251</v>
      </c>
      <c r="AC17" s="3501" t="s">
        <v>3123</v>
      </c>
      <c r="AD17" s="3501" t="s">
        <v>3256</v>
      </c>
      <c r="AE17" s="3501">
        <v>140000</v>
      </c>
      <c r="AF17" s="3501">
        <v>466000</v>
      </c>
      <c r="AG17" s="3501">
        <v>698000</v>
      </c>
      <c r="AH17" s="3501">
        <v>3614.21</v>
      </c>
      <c r="AI17" s="3501">
        <v>5413.57</v>
      </c>
      <c r="AJ17" s="3501">
        <v>25599.75</v>
      </c>
      <c r="AK17" s="3501">
        <v>38344.69</v>
      </c>
      <c r="AL17" s="3501" t="s">
        <v>2820</v>
      </c>
      <c r="AM17" s="3501" t="s">
        <v>2820</v>
      </c>
      <c r="AN17" s="3501">
        <v>49.79</v>
      </c>
      <c r="AO17" s="3501" t="s">
        <v>3125</v>
      </c>
      <c r="AP17" s="3501" t="s">
        <v>2820</v>
      </c>
      <c r="AQ17" s="3501">
        <v>70</v>
      </c>
      <c r="AR17" s="3501" t="s">
        <v>2820</v>
      </c>
    </row>
    <row r="18" spans="1:44" s="3501" customFormat="1" ht="12">
      <c r="A18" s="3501" t="s">
        <v>3257</v>
      </c>
      <c r="B18" s="3501" t="s">
        <v>1947</v>
      </c>
      <c r="C18" s="3501" t="s">
        <v>3127</v>
      </c>
      <c r="D18" s="3501" t="s">
        <v>3110</v>
      </c>
      <c r="E18" s="3501" t="s">
        <v>2820</v>
      </c>
      <c r="F18" s="3501" t="s">
        <v>3250</v>
      </c>
      <c r="G18" s="3501" t="s">
        <v>3112</v>
      </c>
      <c r="H18" s="3501" t="s">
        <v>3258</v>
      </c>
      <c r="I18" s="3501" t="s">
        <v>3114</v>
      </c>
      <c r="J18" s="3501">
        <v>66379.53</v>
      </c>
      <c r="K18" s="3501">
        <v>146035</v>
      </c>
      <c r="L18" s="3501">
        <v>2.2000000000000002</v>
      </c>
      <c r="M18" s="3501" t="s">
        <v>2820</v>
      </c>
      <c r="N18" s="3501" t="s">
        <v>2820</v>
      </c>
      <c r="O18" s="3501" t="s">
        <v>2820</v>
      </c>
      <c r="P18" s="3501" t="s">
        <v>2820</v>
      </c>
      <c r="Q18" s="3501" t="s">
        <v>2820</v>
      </c>
      <c r="R18" s="3501" t="s">
        <v>2820</v>
      </c>
      <c r="S18" s="3501" t="s">
        <v>2820</v>
      </c>
      <c r="T18" s="3501" t="s">
        <v>3252</v>
      </c>
      <c r="U18" s="3501" t="s">
        <v>3252</v>
      </c>
      <c r="V18" s="3501" t="s">
        <v>2820</v>
      </c>
      <c r="W18" s="3501" t="s">
        <v>3191</v>
      </c>
      <c r="X18" s="3501" t="s">
        <v>3253</v>
      </c>
      <c r="Y18" s="3501" t="s">
        <v>3234</v>
      </c>
      <c r="Z18" s="3501" t="s">
        <v>3254</v>
      </c>
      <c r="AA18" s="3501" t="s">
        <v>3255</v>
      </c>
      <c r="AB18" s="3501" t="s">
        <v>3258</v>
      </c>
      <c r="AC18" s="3501" t="s">
        <v>3123</v>
      </c>
      <c r="AD18" s="3501" t="s">
        <v>3256</v>
      </c>
      <c r="AE18" s="3501">
        <v>115000</v>
      </c>
      <c r="AF18" s="3501">
        <v>383000</v>
      </c>
      <c r="AG18" s="3501">
        <v>574000</v>
      </c>
      <c r="AH18" s="3501">
        <v>3846.57</v>
      </c>
      <c r="AI18" s="3501">
        <v>5764.83</v>
      </c>
      <c r="AJ18" s="3501">
        <v>26226.59</v>
      </c>
      <c r="AK18" s="3501">
        <v>39305.65</v>
      </c>
      <c r="AL18" s="3501" t="s">
        <v>2820</v>
      </c>
      <c r="AM18" s="3501" t="s">
        <v>2820</v>
      </c>
      <c r="AN18" s="3501">
        <v>49.87</v>
      </c>
      <c r="AO18" s="3501" t="s">
        <v>3125</v>
      </c>
      <c r="AP18" s="3501" t="s">
        <v>2820</v>
      </c>
      <c r="AQ18" s="3501">
        <v>70</v>
      </c>
      <c r="AR18" s="3501" t="s">
        <v>2820</v>
      </c>
    </row>
    <row r="19" spans="1:44" s="3501" customFormat="1" ht="12">
      <c r="A19" s="3501" t="s">
        <v>3259</v>
      </c>
      <c r="B19" s="3501" t="s">
        <v>1947</v>
      </c>
      <c r="C19" s="3501" t="s">
        <v>3127</v>
      </c>
      <c r="D19" s="3501" t="s">
        <v>3110</v>
      </c>
      <c r="E19" s="3501" t="s">
        <v>2820</v>
      </c>
      <c r="F19" s="3501" t="s">
        <v>3260</v>
      </c>
      <c r="G19" s="3501" t="s">
        <v>3112</v>
      </c>
      <c r="H19" s="3501" t="s">
        <v>3261</v>
      </c>
      <c r="I19" s="3501" t="s">
        <v>3165</v>
      </c>
      <c r="J19" s="3501">
        <v>51970.99</v>
      </c>
      <c r="K19" s="3501">
        <v>135275</v>
      </c>
      <c r="L19" s="3501">
        <v>2.6</v>
      </c>
      <c r="M19" s="3501" t="s">
        <v>2820</v>
      </c>
      <c r="N19" s="3501" t="s">
        <v>2820</v>
      </c>
      <c r="O19" s="3501" t="s">
        <v>2820</v>
      </c>
      <c r="P19" s="3501" t="s">
        <v>2820</v>
      </c>
      <c r="Q19" s="3501" t="s">
        <v>2820</v>
      </c>
      <c r="R19" s="3501" t="s">
        <v>2820</v>
      </c>
      <c r="S19" s="3501" t="s">
        <v>2820</v>
      </c>
      <c r="T19" s="3501" t="s">
        <v>3252</v>
      </c>
      <c r="U19" s="3501" t="s">
        <v>3252</v>
      </c>
      <c r="V19" s="3501" t="s">
        <v>2820</v>
      </c>
      <c r="W19" s="3501" t="s">
        <v>3191</v>
      </c>
      <c r="X19" s="3501" t="s">
        <v>3262</v>
      </c>
      <c r="Y19" s="3501" t="s">
        <v>3263</v>
      </c>
      <c r="Z19" s="3501" t="s">
        <v>3264</v>
      </c>
      <c r="AA19" s="3501" t="s">
        <v>3264</v>
      </c>
      <c r="AB19" s="3501" t="s">
        <v>3261</v>
      </c>
      <c r="AC19" s="3501" t="s">
        <v>3123</v>
      </c>
      <c r="AD19" s="3501" t="s">
        <v>3265</v>
      </c>
      <c r="AE19" s="3501">
        <v>75000</v>
      </c>
      <c r="AF19" s="3501">
        <v>248000</v>
      </c>
      <c r="AG19" s="3501">
        <v>367500</v>
      </c>
      <c r="AH19" s="3501">
        <v>3181.26</v>
      </c>
      <c r="AI19" s="3501">
        <v>4714.17</v>
      </c>
      <c r="AJ19" s="3501">
        <v>18333.02</v>
      </c>
      <c r="AK19" s="3501">
        <v>27166.880000000001</v>
      </c>
      <c r="AL19" s="3501" t="s">
        <v>2820</v>
      </c>
      <c r="AM19" s="3501" t="s">
        <v>2820</v>
      </c>
      <c r="AN19" s="3501">
        <v>48.19</v>
      </c>
      <c r="AO19" s="3501" t="s">
        <v>3125</v>
      </c>
      <c r="AP19" s="3501" t="s">
        <v>2820</v>
      </c>
      <c r="AQ19" s="3501">
        <v>100</v>
      </c>
      <c r="AR19" s="3501" t="s">
        <v>2820</v>
      </c>
    </row>
    <row r="20" spans="1:44" s="3503" customFormat="1" ht="12">
      <c r="A20" s="3503" t="s">
        <v>3266</v>
      </c>
      <c r="B20" s="3503" t="s">
        <v>1947</v>
      </c>
      <c r="C20" s="3503" t="s">
        <v>3109</v>
      </c>
      <c r="D20" s="3503" t="s">
        <v>3110</v>
      </c>
      <c r="E20" s="3503" t="s">
        <v>2820</v>
      </c>
      <c r="F20" s="3503" t="s">
        <v>3266</v>
      </c>
      <c r="G20" s="3503" t="s">
        <v>3112</v>
      </c>
      <c r="H20" s="3503" t="s">
        <v>3267</v>
      </c>
      <c r="I20" s="3503" t="s">
        <v>3114</v>
      </c>
      <c r="J20" s="3503">
        <v>50662.6</v>
      </c>
      <c r="K20" s="3503">
        <v>101325.2</v>
      </c>
      <c r="L20" s="3503">
        <v>2</v>
      </c>
      <c r="M20" s="3503" t="s">
        <v>2820</v>
      </c>
      <c r="N20" s="3503" t="s">
        <v>2820</v>
      </c>
      <c r="O20" s="3503" t="s">
        <v>2820</v>
      </c>
      <c r="P20" s="3503" t="s">
        <v>2820</v>
      </c>
      <c r="Q20" s="3503" t="s">
        <v>2820</v>
      </c>
      <c r="R20" s="3503" t="s">
        <v>2820</v>
      </c>
      <c r="S20" s="3503" t="s">
        <v>3268</v>
      </c>
      <c r="T20" s="3503" t="s">
        <v>2820</v>
      </c>
      <c r="U20" s="3503" t="s">
        <v>2820</v>
      </c>
      <c r="V20" s="3503" t="s">
        <v>2820</v>
      </c>
      <c r="W20" s="3503" t="s">
        <v>3191</v>
      </c>
      <c r="X20" s="3503" t="s">
        <v>3269</v>
      </c>
      <c r="Y20" s="3503" t="s">
        <v>3270</v>
      </c>
      <c r="Z20" s="3503" t="s">
        <v>3271</v>
      </c>
      <c r="AA20" s="3503" t="s">
        <v>3271</v>
      </c>
      <c r="AB20" s="3503" t="s">
        <v>3267</v>
      </c>
      <c r="AC20" s="3503" t="s">
        <v>3123</v>
      </c>
      <c r="AD20" s="3503" t="s">
        <v>3179</v>
      </c>
      <c r="AE20" s="3503">
        <v>45300</v>
      </c>
      <c r="AF20" s="3503">
        <v>151000</v>
      </c>
      <c r="AG20" s="3503">
        <v>211000</v>
      </c>
      <c r="AH20" s="3503">
        <v>1987</v>
      </c>
      <c r="AI20" s="3503">
        <v>2776.54</v>
      </c>
      <c r="AJ20" s="3503">
        <v>14902.51</v>
      </c>
      <c r="AK20" s="3503">
        <v>20824.04</v>
      </c>
      <c r="AL20" s="3503" t="s">
        <v>2820</v>
      </c>
      <c r="AM20" s="3503" t="s">
        <v>2820</v>
      </c>
      <c r="AN20" s="3503">
        <v>39.74</v>
      </c>
      <c r="AO20" s="3503" t="s">
        <v>3272</v>
      </c>
      <c r="AP20" s="3503" t="s">
        <v>2820</v>
      </c>
      <c r="AQ20" s="3503" t="s">
        <v>2820</v>
      </c>
      <c r="AR20" s="3503" t="s">
        <v>2820</v>
      </c>
    </row>
    <row r="21" spans="1:44" s="3501" customFormat="1" ht="12">
      <c r="A21" s="3501" t="s">
        <v>3273</v>
      </c>
      <c r="B21" s="3501" t="s">
        <v>1947</v>
      </c>
      <c r="C21" s="3501" t="s">
        <v>3127</v>
      </c>
      <c r="D21" s="3501" t="s">
        <v>3110</v>
      </c>
      <c r="E21" s="3501" t="s">
        <v>2820</v>
      </c>
      <c r="F21" s="3501" t="s">
        <v>3273</v>
      </c>
      <c r="G21" s="3501" t="s">
        <v>3112</v>
      </c>
      <c r="H21" s="3501" t="s">
        <v>3274</v>
      </c>
      <c r="I21" s="3501" t="s">
        <v>3275</v>
      </c>
      <c r="J21" s="3501">
        <v>45195.85</v>
      </c>
      <c r="K21" s="3501">
        <v>120599</v>
      </c>
      <c r="L21" s="3501">
        <v>2.67</v>
      </c>
      <c r="M21" s="3501" t="s">
        <v>2820</v>
      </c>
      <c r="N21" s="3501" t="s">
        <v>2820</v>
      </c>
      <c r="O21" s="3501" t="s">
        <v>2820</v>
      </c>
      <c r="P21" s="3501" t="s">
        <v>2820</v>
      </c>
      <c r="Q21" s="3501" t="s">
        <v>2820</v>
      </c>
      <c r="R21" s="3501" t="s">
        <v>2820</v>
      </c>
      <c r="S21" s="3501" t="s">
        <v>3276</v>
      </c>
      <c r="T21" s="3501" t="s">
        <v>2820</v>
      </c>
      <c r="U21" s="3501" t="s">
        <v>2820</v>
      </c>
      <c r="V21" s="3501" t="s">
        <v>2820</v>
      </c>
      <c r="W21" s="3501" t="s">
        <v>3191</v>
      </c>
      <c r="X21" s="3501" t="s">
        <v>3277</v>
      </c>
      <c r="Y21" s="3501" t="s">
        <v>3278</v>
      </c>
      <c r="Z21" s="3501" t="s">
        <v>3279</v>
      </c>
      <c r="AA21" s="3501" t="s">
        <v>3279</v>
      </c>
      <c r="AB21" s="3501" t="s">
        <v>3274</v>
      </c>
      <c r="AC21" s="3501" t="s">
        <v>3123</v>
      </c>
      <c r="AD21" s="3501" t="s">
        <v>3280</v>
      </c>
      <c r="AE21" s="3501">
        <v>78000</v>
      </c>
      <c r="AF21" s="3501">
        <v>260000</v>
      </c>
      <c r="AG21" s="3501">
        <v>390000</v>
      </c>
      <c r="AH21" s="3501">
        <v>3835.16</v>
      </c>
      <c r="AI21" s="3501">
        <v>5752.74</v>
      </c>
      <c r="AJ21" s="3501">
        <v>21559.040000000001</v>
      </c>
      <c r="AK21" s="3501">
        <v>32338.58</v>
      </c>
      <c r="AL21" s="3501" t="s">
        <v>2820</v>
      </c>
      <c r="AM21" s="3501" t="s">
        <v>2820</v>
      </c>
      <c r="AN21" s="3501">
        <v>50</v>
      </c>
      <c r="AO21" s="3501" t="s">
        <v>3125</v>
      </c>
      <c r="AP21" s="3501" t="s">
        <v>2820</v>
      </c>
      <c r="AQ21" s="3501" t="s">
        <v>2820</v>
      </c>
      <c r="AR21" s="3501" t="s">
        <v>2820</v>
      </c>
    </row>
    <row r="22" spans="1:44" s="3501" customFormat="1" ht="12">
      <c r="A22" s="3501" t="s">
        <v>3281</v>
      </c>
      <c r="B22" s="3501" t="s">
        <v>1947</v>
      </c>
      <c r="C22" s="3501" t="s">
        <v>3127</v>
      </c>
      <c r="D22" s="3501" t="s">
        <v>3110</v>
      </c>
      <c r="E22" s="3501" t="s">
        <v>2820</v>
      </c>
      <c r="F22" s="3501" t="s">
        <v>3250</v>
      </c>
      <c r="G22" s="3501" t="s">
        <v>3112</v>
      </c>
      <c r="H22" s="3501" t="s">
        <v>3282</v>
      </c>
      <c r="I22" s="3501" t="s">
        <v>3283</v>
      </c>
      <c r="J22" s="3501">
        <v>77626.67</v>
      </c>
      <c r="K22" s="3501">
        <v>165765</v>
      </c>
      <c r="L22" s="3501">
        <v>2.14</v>
      </c>
      <c r="M22" s="3501" t="s">
        <v>2820</v>
      </c>
      <c r="N22" s="3501" t="s">
        <v>2820</v>
      </c>
      <c r="O22" s="3501" t="s">
        <v>2820</v>
      </c>
      <c r="P22" s="3501" t="s">
        <v>2820</v>
      </c>
      <c r="Q22" s="3501" t="s">
        <v>2820</v>
      </c>
      <c r="R22" s="3501" t="s">
        <v>2820</v>
      </c>
      <c r="S22" s="3501" t="s">
        <v>2820</v>
      </c>
      <c r="T22" s="3501" t="s">
        <v>2820</v>
      </c>
      <c r="U22" s="3501" t="s">
        <v>2820</v>
      </c>
      <c r="V22" s="3501" t="s">
        <v>2820</v>
      </c>
      <c r="W22" s="3501" t="s">
        <v>3191</v>
      </c>
      <c r="X22" s="3501" t="s">
        <v>3284</v>
      </c>
      <c r="Y22" s="3501" t="s">
        <v>3285</v>
      </c>
      <c r="Z22" s="3501" t="s">
        <v>3286</v>
      </c>
      <c r="AA22" s="3501" t="s">
        <v>3286</v>
      </c>
      <c r="AB22" s="3501" t="s">
        <v>3282</v>
      </c>
      <c r="AC22" s="3501" t="s">
        <v>3123</v>
      </c>
      <c r="AD22" s="3501" t="s">
        <v>3287</v>
      </c>
      <c r="AE22" s="3501">
        <v>82500</v>
      </c>
      <c r="AF22" s="3501">
        <v>275000</v>
      </c>
      <c r="AG22" s="3501">
        <v>442000</v>
      </c>
      <c r="AH22" s="3501">
        <v>2361.73</v>
      </c>
      <c r="AI22" s="3501">
        <v>3795.95</v>
      </c>
      <c r="AJ22" s="3501">
        <v>16589.75</v>
      </c>
      <c r="AK22" s="3501">
        <v>26664.25</v>
      </c>
      <c r="AL22" s="3501" t="s">
        <v>2820</v>
      </c>
      <c r="AM22" s="3501" t="s">
        <v>2820</v>
      </c>
      <c r="AN22" s="3501">
        <v>60.73</v>
      </c>
      <c r="AO22" s="3501" t="s">
        <v>3125</v>
      </c>
      <c r="AP22" s="3501" t="s">
        <v>2820</v>
      </c>
      <c r="AQ22" s="3501" t="s">
        <v>2820</v>
      </c>
      <c r="AR22" s="3501" t="s">
        <v>2820</v>
      </c>
    </row>
    <row r="23" spans="1:44" s="3501" customFormat="1" ht="12">
      <c r="A23" s="3501" t="s">
        <v>3288</v>
      </c>
      <c r="B23" s="3501" t="s">
        <v>1947</v>
      </c>
      <c r="C23" s="3501" t="s">
        <v>3127</v>
      </c>
      <c r="D23" s="3501" t="s">
        <v>3110</v>
      </c>
      <c r="E23" s="3501" t="s">
        <v>2820</v>
      </c>
      <c r="F23" s="3501" t="s">
        <v>3204</v>
      </c>
      <c r="G23" s="3501" t="s">
        <v>3112</v>
      </c>
      <c r="H23" s="3501" t="s">
        <v>3289</v>
      </c>
      <c r="I23" s="3501" t="s">
        <v>3130</v>
      </c>
      <c r="J23" s="3501">
        <v>61030.67</v>
      </c>
      <c r="K23" s="3501">
        <v>152577</v>
      </c>
      <c r="L23" s="3501">
        <v>2.5</v>
      </c>
      <c r="M23" s="3501" t="s">
        <v>2820</v>
      </c>
      <c r="N23" s="3501" t="s">
        <v>2820</v>
      </c>
      <c r="O23" s="3501" t="s">
        <v>2820</v>
      </c>
      <c r="P23" s="3501" t="s">
        <v>3290</v>
      </c>
      <c r="Q23" s="3501">
        <v>34900</v>
      </c>
      <c r="R23" s="3501">
        <v>89900</v>
      </c>
      <c r="S23" s="3501" t="s">
        <v>2820</v>
      </c>
      <c r="T23" s="3501" t="s">
        <v>2820</v>
      </c>
      <c r="U23" s="3501" t="s">
        <v>2820</v>
      </c>
      <c r="V23" s="3501" t="s">
        <v>2820</v>
      </c>
      <c r="W23" s="3501" t="s">
        <v>3291</v>
      </c>
      <c r="X23" s="3501" t="s">
        <v>3292</v>
      </c>
      <c r="Y23" s="3501" t="s">
        <v>3293</v>
      </c>
      <c r="Z23" s="3501" t="s">
        <v>3294</v>
      </c>
      <c r="AA23" s="3501" t="s">
        <v>3294</v>
      </c>
      <c r="AB23" s="3501" t="s">
        <v>3289</v>
      </c>
      <c r="AC23" s="3501" t="s">
        <v>3123</v>
      </c>
      <c r="AD23" s="3501" t="s">
        <v>3295</v>
      </c>
      <c r="AE23" s="3501">
        <v>52000</v>
      </c>
      <c r="AF23" s="3501">
        <v>173000</v>
      </c>
      <c r="AG23" s="3501">
        <v>259500</v>
      </c>
      <c r="AH23" s="3501">
        <v>1889.76</v>
      </c>
      <c r="AI23" s="3501">
        <v>2834.64</v>
      </c>
      <c r="AJ23" s="3501">
        <v>11338.53</v>
      </c>
      <c r="AK23" s="3501">
        <v>17007.810000000001</v>
      </c>
      <c r="AL23" s="3501">
        <v>14701</v>
      </c>
      <c r="AM23" s="3501">
        <v>41403</v>
      </c>
      <c r="AN23" s="3501">
        <v>50</v>
      </c>
      <c r="AO23" s="3501" t="s">
        <v>3296</v>
      </c>
      <c r="AP23" s="3501" t="s">
        <v>2820</v>
      </c>
      <c r="AQ23" s="3501" t="s">
        <v>2820</v>
      </c>
      <c r="AR23" s="3501" t="s">
        <v>2820</v>
      </c>
    </row>
    <row r="24" spans="1:44" s="3501" customFormat="1" ht="12">
      <c r="A24" s="3501" t="s">
        <v>3297</v>
      </c>
      <c r="B24" s="3501" t="s">
        <v>1947</v>
      </c>
      <c r="C24" s="3501" t="s">
        <v>3127</v>
      </c>
      <c r="D24" s="3501" t="s">
        <v>3110</v>
      </c>
      <c r="E24" s="3501" t="s">
        <v>2820</v>
      </c>
      <c r="F24" s="3501" t="s">
        <v>3204</v>
      </c>
      <c r="G24" s="3501" t="s">
        <v>3112</v>
      </c>
      <c r="H24" s="3501" t="s">
        <v>3298</v>
      </c>
      <c r="I24" s="3501" t="s">
        <v>3299</v>
      </c>
      <c r="J24" s="3501">
        <v>57931.55</v>
      </c>
      <c r="K24" s="3501">
        <v>137735</v>
      </c>
      <c r="L24" s="3501">
        <v>2.38</v>
      </c>
      <c r="M24" s="3501" t="s">
        <v>2820</v>
      </c>
      <c r="N24" s="3501" t="s">
        <v>2820</v>
      </c>
      <c r="O24" s="3501" t="s">
        <v>2820</v>
      </c>
      <c r="P24" s="3501" t="s">
        <v>3290</v>
      </c>
      <c r="Q24" s="3501">
        <v>30800</v>
      </c>
      <c r="R24" s="3501">
        <v>94078</v>
      </c>
      <c r="S24" s="3501" t="s">
        <v>2820</v>
      </c>
      <c r="T24" s="3501" t="s">
        <v>2820</v>
      </c>
      <c r="U24" s="3501" t="s">
        <v>2820</v>
      </c>
      <c r="V24" s="3501" t="s">
        <v>2820</v>
      </c>
      <c r="W24" s="3501" t="s">
        <v>3291</v>
      </c>
      <c r="X24" s="3501" t="s">
        <v>3300</v>
      </c>
      <c r="Y24" s="3501" t="s">
        <v>3301</v>
      </c>
      <c r="Z24" s="3501" t="s">
        <v>3302</v>
      </c>
      <c r="AA24" s="3501" t="s">
        <v>3302</v>
      </c>
      <c r="AB24" s="3501" t="s">
        <v>3298</v>
      </c>
      <c r="AC24" s="3501" t="s">
        <v>3123</v>
      </c>
      <c r="AD24" s="3501" t="s">
        <v>3303</v>
      </c>
      <c r="AE24" s="3501">
        <v>46000</v>
      </c>
      <c r="AF24" s="3501">
        <v>152000</v>
      </c>
      <c r="AG24" s="3501">
        <v>228000</v>
      </c>
      <c r="AH24" s="3501">
        <v>1749.19</v>
      </c>
      <c r="AI24" s="3501">
        <v>2623.79</v>
      </c>
      <c r="AJ24" s="3501">
        <v>11035.68</v>
      </c>
      <c r="AK24" s="3501">
        <v>16553.52</v>
      </c>
      <c r="AL24" s="3501">
        <v>14214</v>
      </c>
      <c r="AM24" s="3501">
        <v>52225</v>
      </c>
      <c r="AN24" s="3501">
        <v>50</v>
      </c>
      <c r="AO24" s="3501" t="s">
        <v>3296</v>
      </c>
      <c r="AP24" s="3501" t="s">
        <v>2820</v>
      </c>
      <c r="AQ24" s="3501" t="s">
        <v>2820</v>
      </c>
      <c r="AR24" s="3501" t="s">
        <v>2820</v>
      </c>
    </row>
    <row r="25" spans="1:44" s="3501" customFormat="1" ht="12">
      <c r="A25" s="3501" t="s">
        <v>3304</v>
      </c>
      <c r="B25" s="3501" t="s">
        <v>1947</v>
      </c>
      <c r="C25" s="3501" t="s">
        <v>3127</v>
      </c>
      <c r="D25" s="3501" t="s">
        <v>3110</v>
      </c>
      <c r="E25" s="3501" t="s">
        <v>2820</v>
      </c>
      <c r="F25" s="3501" t="s">
        <v>3111</v>
      </c>
      <c r="G25" s="3501" t="s">
        <v>3112</v>
      </c>
      <c r="H25" s="3501" t="s">
        <v>3305</v>
      </c>
      <c r="I25" s="3501" t="s">
        <v>3306</v>
      </c>
      <c r="J25" s="3501">
        <v>118127</v>
      </c>
      <c r="K25" s="3501">
        <v>198800</v>
      </c>
      <c r="L25" s="3501">
        <v>1.68</v>
      </c>
      <c r="M25" s="3501" t="s">
        <v>2820</v>
      </c>
      <c r="N25" s="3501" t="s">
        <v>2820</v>
      </c>
      <c r="O25" s="3501" t="s">
        <v>2820</v>
      </c>
      <c r="P25" s="3501" t="s">
        <v>3290</v>
      </c>
      <c r="Q25" s="3501" t="s">
        <v>2820</v>
      </c>
      <c r="R25" s="3501">
        <v>44252</v>
      </c>
      <c r="S25" s="3501" t="s">
        <v>2820</v>
      </c>
      <c r="T25" s="3501" t="s">
        <v>2820</v>
      </c>
      <c r="U25" s="3501" t="s">
        <v>2820</v>
      </c>
      <c r="V25" s="3501" t="s">
        <v>2820</v>
      </c>
      <c r="W25" s="3501" t="s">
        <v>3291</v>
      </c>
      <c r="X25" s="3501" t="s">
        <v>3307</v>
      </c>
      <c r="Y25" s="3501" t="s">
        <v>3308</v>
      </c>
      <c r="Z25" s="3501" t="s">
        <v>3309</v>
      </c>
      <c r="AA25" s="3501" t="s">
        <v>3309</v>
      </c>
      <c r="AB25" s="3501" t="s">
        <v>3305</v>
      </c>
      <c r="AC25" s="3501" t="s">
        <v>3123</v>
      </c>
      <c r="AD25" s="3501" t="s">
        <v>3310</v>
      </c>
      <c r="AE25" s="3501">
        <v>35000</v>
      </c>
      <c r="AF25" s="3501">
        <v>117000</v>
      </c>
      <c r="AG25" s="3501">
        <v>200000</v>
      </c>
      <c r="AH25" s="3501">
        <v>660.31</v>
      </c>
      <c r="AI25" s="3501">
        <v>1128.73</v>
      </c>
      <c r="AJ25" s="3501">
        <v>5885.31</v>
      </c>
      <c r="AK25" s="3501">
        <v>10060.36</v>
      </c>
      <c r="AL25" s="3501" t="s">
        <v>2820</v>
      </c>
      <c r="AM25" s="3501">
        <v>12941</v>
      </c>
      <c r="AN25" s="3501">
        <v>70.94</v>
      </c>
      <c r="AO25" s="3501" t="s">
        <v>3296</v>
      </c>
      <c r="AP25" s="3501" t="s">
        <v>2820</v>
      </c>
      <c r="AQ25" s="3501" t="s">
        <v>2820</v>
      </c>
      <c r="AR25" s="3501" t="s">
        <v>2820</v>
      </c>
    </row>
    <row r="26" spans="1:44" s="3501" customFormat="1" ht="12">
      <c r="A26" s="3501" t="s">
        <v>3311</v>
      </c>
      <c r="B26" s="3501" t="s">
        <v>1947</v>
      </c>
      <c r="C26" s="3501" t="s">
        <v>3127</v>
      </c>
      <c r="D26" s="3501" t="s">
        <v>3110</v>
      </c>
      <c r="E26" s="3501" t="s">
        <v>2820</v>
      </c>
      <c r="F26" s="3501" t="s">
        <v>3111</v>
      </c>
      <c r="G26" s="3501" t="s">
        <v>3112</v>
      </c>
      <c r="H26" s="3501" t="s">
        <v>3312</v>
      </c>
      <c r="I26" s="3501" t="s">
        <v>3306</v>
      </c>
      <c r="J26" s="3501">
        <v>158280.4</v>
      </c>
      <c r="K26" s="3501">
        <v>266222</v>
      </c>
      <c r="L26" s="3501">
        <v>1.68</v>
      </c>
      <c r="M26" s="3501" t="s">
        <v>2820</v>
      </c>
      <c r="N26" s="3501" t="s">
        <v>2820</v>
      </c>
      <c r="O26" s="3501" t="s">
        <v>2820</v>
      </c>
      <c r="P26" s="3501" t="s">
        <v>3290</v>
      </c>
      <c r="Q26" s="3501">
        <v>31200</v>
      </c>
      <c r="R26" s="3501">
        <v>59788</v>
      </c>
      <c r="S26" s="3501" t="s">
        <v>2820</v>
      </c>
      <c r="T26" s="3501" t="s">
        <v>2820</v>
      </c>
      <c r="U26" s="3501" t="s">
        <v>2820</v>
      </c>
      <c r="V26" s="3501" t="s">
        <v>2820</v>
      </c>
      <c r="W26" s="3501" t="s">
        <v>3291</v>
      </c>
      <c r="X26" s="3501" t="s">
        <v>3313</v>
      </c>
      <c r="Y26" s="3501" t="s">
        <v>3314</v>
      </c>
      <c r="Z26" s="3501" t="s">
        <v>3315</v>
      </c>
      <c r="AA26" s="3501" t="s">
        <v>3315</v>
      </c>
      <c r="AB26" s="3501" t="s">
        <v>3312</v>
      </c>
      <c r="AC26" s="3501" t="s">
        <v>3123</v>
      </c>
      <c r="AD26" s="3501" t="s">
        <v>3316</v>
      </c>
      <c r="AE26" s="3501">
        <v>45000</v>
      </c>
      <c r="AF26" s="3501">
        <v>151000</v>
      </c>
      <c r="AG26" s="3501">
        <v>241000</v>
      </c>
      <c r="AH26" s="3501">
        <v>636</v>
      </c>
      <c r="AI26" s="3501">
        <v>1015.08</v>
      </c>
      <c r="AJ26" s="3501">
        <v>5671.95</v>
      </c>
      <c r="AK26" s="3501">
        <v>9052.6</v>
      </c>
      <c r="AL26" s="3501">
        <v>6425</v>
      </c>
      <c r="AM26" s="3501">
        <v>11674</v>
      </c>
      <c r="AN26" s="3501">
        <v>59.6</v>
      </c>
      <c r="AO26" s="3501" t="s">
        <v>3296</v>
      </c>
      <c r="AP26" s="3501" t="s">
        <v>2820</v>
      </c>
      <c r="AQ26" s="3501" t="s">
        <v>2820</v>
      </c>
      <c r="AR26" s="3501" t="s">
        <v>2820</v>
      </c>
    </row>
    <row r="27" spans="1:44" s="3501" customFormat="1" ht="12">
      <c r="A27" s="3501" t="s">
        <v>3317</v>
      </c>
      <c r="B27" s="3501" t="s">
        <v>1947</v>
      </c>
      <c r="C27" s="3501" t="s">
        <v>3109</v>
      </c>
      <c r="D27" s="3501" t="s">
        <v>3110</v>
      </c>
      <c r="E27" s="3501" t="s">
        <v>2820</v>
      </c>
      <c r="F27" s="3501" t="s">
        <v>3318</v>
      </c>
      <c r="G27" s="3501" t="s">
        <v>3112</v>
      </c>
      <c r="H27" s="3501" t="s">
        <v>3319</v>
      </c>
      <c r="I27" s="3501" t="s">
        <v>3114</v>
      </c>
      <c r="J27" s="3501">
        <v>13541.67</v>
      </c>
      <c r="K27" s="3501">
        <v>18958</v>
      </c>
      <c r="L27" s="3501">
        <v>1.4</v>
      </c>
      <c r="M27" s="3501" t="s">
        <v>2820</v>
      </c>
      <c r="N27" s="3501" t="s">
        <v>2820</v>
      </c>
      <c r="O27" s="3501" t="s">
        <v>2820</v>
      </c>
      <c r="P27" s="3501" t="s">
        <v>2820</v>
      </c>
      <c r="Q27" s="3501" t="s">
        <v>2820</v>
      </c>
      <c r="R27" s="3501" t="s">
        <v>2820</v>
      </c>
      <c r="S27" s="3501" t="s">
        <v>3320</v>
      </c>
      <c r="T27" s="3501" t="s">
        <v>2820</v>
      </c>
      <c r="U27" s="3501" t="s">
        <v>2820</v>
      </c>
      <c r="V27" s="3501" t="s">
        <v>2820</v>
      </c>
      <c r="W27" s="3501" t="s">
        <v>3291</v>
      </c>
      <c r="X27" s="3501" t="s">
        <v>3321</v>
      </c>
      <c r="Y27" s="3501" t="s">
        <v>3322</v>
      </c>
      <c r="Z27" s="3501" t="s">
        <v>3323</v>
      </c>
      <c r="AA27" s="3501" t="s">
        <v>3323</v>
      </c>
      <c r="AB27" s="3501" t="s">
        <v>3319</v>
      </c>
      <c r="AC27" s="3501" t="s">
        <v>3123</v>
      </c>
      <c r="AD27" s="3501" t="s">
        <v>3324</v>
      </c>
      <c r="AE27" s="3501">
        <v>4500</v>
      </c>
      <c r="AF27" s="3501">
        <v>15000</v>
      </c>
      <c r="AG27" s="3501">
        <v>22500</v>
      </c>
      <c r="AH27" s="3501">
        <v>738.46</v>
      </c>
      <c r="AI27" s="3501">
        <v>1107.69</v>
      </c>
      <c r="AJ27" s="3501">
        <v>7912.22</v>
      </c>
      <c r="AK27" s="3501">
        <v>11868.34</v>
      </c>
      <c r="AL27" s="3501" t="s">
        <v>2820</v>
      </c>
      <c r="AM27" s="3501" t="s">
        <v>2820</v>
      </c>
      <c r="AN27" s="3501">
        <v>50</v>
      </c>
      <c r="AO27" s="3501" t="s">
        <v>3325</v>
      </c>
      <c r="AP27" s="3501" t="s">
        <v>2820</v>
      </c>
      <c r="AQ27" s="3501" t="s">
        <v>2820</v>
      </c>
      <c r="AR27" s="3501" t="s">
        <v>2820</v>
      </c>
    </row>
  </sheetData>
  <phoneticPr fontId="2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7" sqref="F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3032</v>
      </c>
      <c r="D1" s="3154" t="s">
        <v>3060</v>
      </c>
      <c r="E1" s="2411" t="s">
        <v>870</v>
      </c>
      <c r="F1" s="2412">
        <f ca="1">J53</f>
        <v>46.64</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14202</v>
      </c>
      <c r="C2" s="2057"/>
      <c r="D2" s="2055"/>
      <c r="E2" s="2056"/>
      <c r="F2" s="2056"/>
      <c r="G2" s="1589"/>
      <c r="H2" s="2057"/>
      <c r="I2" s="2057"/>
      <c r="J2" s="2057"/>
      <c r="K2" s="2058"/>
      <c r="L2" s="2057"/>
      <c r="M2" s="2057"/>
    </row>
    <row r="3" spans="1:33" ht="18" customHeight="1" thickBot="1">
      <c r="A3" s="833" t="s">
        <v>519</v>
      </c>
      <c r="B3" s="834">
        <f ca="1">IF(ISERROR(B2*10000/F43),0,ROUND(B2*10000/F43,0))</f>
        <v>3261</v>
      </c>
      <c r="C3" s="2057"/>
      <c r="D3" s="2055"/>
      <c r="E3" s="2056"/>
      <c r="F3" s="2056"/>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2461</v>
      </c>
      <c r="C5" s="55">
        <f ca="1">C6+C10+C12</f>
        <v>1075</v>
      </c>
      <c r="D5" s="2520" t="s">
        <v>2464</v>
      </c>
      <c r="E5" s="2514"/>
      <c r="F5" s="2515"/>
      <c r="G5" s="1591"/>
      <c r="H5" s="781">
        <v>1</v>
      </c>
      <c r="I5" s="782" t="s">
        <v>2461</v>
      </c>
      <c r="J5" s="55">
        <f ca="1">J6+J10+J12</f>
        <v>0</v>
      </c>
      <c r="K5" s="2520" t="s">
        <v>2464</v>
      </c>
      <c r="L5" s="2514"/>
      <c r="M5" s="2515"/>
    </row>
    <row r="6" spans="1:33" ht="18" customHeight="1">
      <c r="A6" s="1830" t="s">
        <v>1824</v>
      </c>
      <c r="B6" s="3427" t="s">
        <v>2466</v>
      </c>
      <c r="C6" s="783">
        <f ca="1">ROUND(F6*F8*F7*(1-F9)/10000,0)</f>
        <v>1075</v>
      </c>
      <c r="D6" s="2521" t="s">
        <v>2465</v>
      </c>
      <c r="E6" s="784" t="s">
        <v>637</v>
      </c>
      <c r="F6" s="785">
        <f ca="1">INDIRECT("'数据-取费表'!u"&amp;$G$1)</f>
        <v>800</v>
      </c>
      <c r="G6" s="1591"/>
      <c r="H6" s="2528" t="s">
        <v>1824</v>
      </c>
      <c r="I6" s="3427" t="s">
        <v>2466</v>
      </c>
      <c r="J6" s="783">
        <f ca="1">ROUND(M6*M8*M7*(1-M9)/10000,0)</f>
        <v>0</v>
      </c>
      <c r="K6" s="341" t="s">
        <v>636</v>
      </c>
      <c r="L6" s="784" t="s">
        <v>637</v>
      </c>
      <c r="M6" s="785">
        <f ca="1">INDIRECT("'数据-取费表'!z"&amp;$G$1)</f>
        <v>0</v>
      </c>
    </row>
    <row r="7" spans="1:33" ht="18" customHeight="1">
      <c r="A7" s="2524"/>
      <c r="B7" s="3428"/>
      <c r="C7" s="788"/>
      <c r="D7" s="789"/>
      <c r="E7" s="784" t="s">
        <v>638</v>
      </c>
      <c r="F7" s="785">
        <f ca="1">IF(INDIRECT("'数据-取费表'!ah"&amp;$G$1)="",INDIRECT("'数据-取费表'!k"&amp;$G$1),INDIRECT("'数据-取费表'!ah"&amp;$G$1))</f>
        <v>1244</v>
      </c>
      <c r="G7" s="1591"/>
      <c r="H7" s="2513"/>
      <c r="I7" s="3428"/>
      <c r="J7" s="788"/>
      <c r="K7" s="789"/>
      <c r="L7" s="784" t="s">
        <v>638</v>
      </c>
      <c r="M7" s="785">
        <f ca="1">F7</f>
        <v>1244</v>
      </c>
    </row>
    <row r="8" spans="1:33" ht="18" customHeight="1">
      <c r="A8" s="2517"/>
      <c r="B8" s="3429"/>
      <c r="C8" s="788"/>
      <c r="D8" s="789"/>
      <c r="E8" s="784" t="s">
        <v>639</v>
      </c>
      <c r="F8" s="785">
        <f ca="1">INDIRECT("'数据-取费表'!ai"&amp;$G$1)</f>
        <v>12</v>
      </c>
      <c r="G8" s="1591"/>
      <c r="H8" s="2513"/>
      <c r="I8" s="3429"/>
      <c r="J8" s="788"/>
      <c r="K8" s="789"/>
      <c r="L8" s="784" t="s">
        <v>639</v>
      </c>
      <c r="M8" s="785">
        <f ca="1">INDIRECT("'数据-取费表'!ai"&amp;$G$1)</f>
        <v>12</v>
      </c>
    </row>
    <row r="9" spans="1:33" ht="18" customHeight="1">
      <c r="A9" s="786"/>
      <c r="B9" s="3430"/>
      <c r="C9" s="788"/>
      <c r="D9" s="789"/>
      <c r="E9" s="784" t="s">
        <v>640</v>
      </c>
      <c r="F9" s="794">
        <f ca="1">INDIRECT("'数据-取费表'!w"&amp;$G$1)</f>
        <v>0.1</v>
      </c>
      <c r="G9" s="1591"/>
      <c r="H9" s="2529"/>
      <c r="I9" s="3429"/>
      <c r="J9" s="788"/>
      <c r="K9" s="789"/>
      <c r="L9" s="795" t="s">
        <v>640</v>
      </c>
      <c r="M9" s="796">
        <f ca="1">INDIRECT("'数据-取费表'!ab"&amp;$G$1)</f>
        <v>0</v>
      </c>
    </row>
    <row r="10" spans="1:33" ht="18" customHeight="1">
      <c r="A10" s="1830" t="s">
        <v>1825</v>
      </c>
      <c r="B10" s="2518" t="s">
        <v>2462</v>
      </c>
      <c r="C10" s="799">
        <f ca="1">ROUND(IF(F10="押一",C6/12*F11,IF(F10="押二",C6/12*2*F11,IF(F10="押三",C6/12*3*F11,C11*F11))),0)</f>
        <v>0</v>
      </c>
      <c r="D10" s="2525" t="s">
        <v>2980</v>
      </c>
      <c r="E10" s="2522" t="s">
        <v>2467</v>
      </c>
      <c r="F10" s="2645"/>
      <c r="G10" s="1591"/>
      <c r="H10" s="2585" t="s">
        <v>1825</v>
      </c>
      <c r="I10" s="2590" t="s">
        <v>2462</v>
      </c>
      <c r="J10" s="783">
        <f ca="1">ROUND(IF(M10="押一",J6/12*M11,IF(M10="押二",J6/12*2*M11,IF(M10="押三",J6/12*3*M11,J11*M11))),0)</f>
        <v>0</v>
      </c>
      <c r="K10" s="2525" t="s">
        <v>2980</v>
      </c>
      <c r="L10" s="2522" t="s">
        <v>2467</v>
      </c>
      <c r="M10" s="2645"/>
    </row>
    <row r="11" spans="1:33" ht="18" customHeight="1">
      <c r="A11" s="790"/>
      <c r="B11" s="2519" t="s">
        <v>2576</v>
      </c>
      <c r="C11" s="2523"/>
      <c r="D11" s="789"/>
      <c r="E11" s="2522" t="s">
        <v>2459</v>
      </c>
      <c r="F11" s="796">
        <f ca="1">'数据-取费表'!B39</f>
        <v>1.4999999999999999E-2</v>
      </c>
      <c r="G11" s="1591"/>
      <c r="H11" s="2586"/>
      <c r="I11" s="2519" t="s">
        <v>2576</v>
      </c>
      <c r="J11" s="2523"/>
      <c r="K11" s="2587"/>
      <c r="L11" s="2522" t="s">
        <v>2459</v>
      </c>
      <c r="M11" s="2516">
        <f ca="1">'数据-取费表'!B39</f>
        <v>1.4999999999999999E-2</v>
      </c>
    </row>
    <row r="12" spans="1:33" ht="18" customHeight="1" thickBot="1">
      <c r="A12" s="2561" t="s">
        <v>2470</v>
      </c>
      <c r="B12" s="2562" t="s">
        <v>2463</v>
      </c>
      <c r="C12" s="2563"/>
      <c r="D12" s="2564"/>
      <c r="E12" s="2565"/>
      <c r="F12" s="2566"/>
      <c r="G12" s="1591"/>
      <c r="H12" s="2575" t="s">
        <v>2470</v>
      </c>
      <c r="I12" s="2588" t="s">
        <v>2463</v>
      </c>
      <c r="J12" s="2589"/>
      <c r="K12" s="2564"/>
      <c r="L12" s="2565"/>
      <c r="M12" s="2578"/>
    </row>
    <row r="13" spans="1:33" ht="18" customHeight="1" thickTop="1">
      <c r="A13" s="1829">
        <v>2</v>
      </c>
      <c r="B13" s="1827" t="s">
        <v>644</v>
      </c>
      <c r="C13" s="792">
        <f ca="1">ROUND(C29*F13,0)</f>
        <v>19127</v>
      </c>
      <c r="D13" s="1834" t="s">
        <v>2299</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1831</v>
      </c>
      <c r="B14" s="784" t="s">
        <v>645</v>
      </c>
      <c r="C14" s="804">
        <f ca="1">INDIRECT("'数据-取费表'!m"&amp;$G$1)+INDIRECT("'数据-取费表'!t"&amp;$G$1)</f>
        <v>13288</v>
      </c>
      <c r="D14" s="3181" t="s">
        <v>646</v>
      </c>
      <c r="E14" s="3180"/>
      <c r="F14" s="805"/>
      <c r="G14" s="1591"/>
      <c r="H14" s="1648" t="s">
        <v>1824</v>
      </c>
      <c r="I14" s="2231" t="s">
        <v>2827</v>
      </c>
      <c r="J14" s="53">
        <f ca="1">C29</f>
        <v>19127</v>
      </c>
      <c r="K14" s="26"/>
      <c r="L14" s="801"/>
      <c r="M14" s="802"/>
    </row>
    <row r="15" spans="1:33" s="2064" customFormat="1" ht="18" customHeight="1" thickBot="1">
      <c r="A15" s="1647" t="s">
        <v>1832</v>
      </c>
      <c r="B15" s="784" t="s">
        <v>647</v>
      </c>
      <c r="C15" s="53">
        <f ca="1">ROUND(C14*F15,0)</f>
        <v>399</v>
      </c>
      <c r="D15" s="806" t="s">
        <v>648</v>
      </c>
      <c r="E15" s="806" t="s">
        <v>649</v>
      </c>
      <c r="F15" s="807">
        <f>'数据-取费表'!B33</f>
        <v>0.03</v>
      </c>
      <c r="G15" s="1592"/>
      <c r="H15" s="2575" t="s">
        <v>1889</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650</v>
      </c>
      <c r="C16" s="53">
        <f ca="1">ROUND(INDIRECT("'数据-取费表'!m"&amp;$G$1)*F16,0)</f>
        <v>0</v>
      </c>
      <c r="D16" s="784" t="s">
        <v>648</v>
      </c>
      <c r="E16" s="784" t="s">
        <v>649</v>
      </c>
      <c r="F16" s="809">
        <f ca="1">IF(INDIRECT("'数据-取费表'!c"&amp;$G$1)="住宅",'数据-取费表'!B34,0)</f>
        <v>0</v>
      </c>
      <c r="G16" s="1591"/>
      <c r="H16" s="1829" t="s">
        <v>1748</v>
      </c>
      <c r="I16" s="1827" t="s">
        <v>651</v>
      </c>
      <c r="J16" s="792">
        <f ca="1">ROUND(J17+J22+J23+J24,0)</f>
        <v>452</v>
      </c>
      <c r="K16" s="1821" t="s">
        <v>652</v>
      </c>
      <c r="L16" s="3184"/>
      <c r="M16" s="2515"/>
    </row>
    <row r="17" spans="1:33" s="2064" customFormat="1" ht="18" customHeight="1">
      <c r="A17" s="1647" t="s">
        <v>1887</v>
      </c>
      <c r="B17" s="784" t="s">
        <v>653</v>
      </c>
      <c r="C17" s="53">
        <f ca="1">ROUND(F17*(F43+INDIRECT("'数据-取费表'!S"&amp;$G$1))/10000,0)</f>
        <v>886</v>
      </c>
      <c r="D17" s="784" t="s">
        <v>654</v>
      </c>
      <c r="E17" s="784" t="s">
        <v>655</v>
      </c>
      <c r="F17" s="56">
        <f>'数据-取费表'!B35</f>
        <v>200</v>
      </c>
      <c r="G17" s="1592"/>
      <c r="H17" s="1648" t="s">
        <v>1824</v>
      </c>
      <c r="I17" s="784" t="s">
        <v>656</v>
      </c>
      <c r="J17" s="53">
        <f ca="1">ROUND(IF(项目基本情况!B11="自然人",J5*M17,J18+J19+J20),0)</f>
        <v>165</v>
      </c>
      <c r="K17" s="3181" t="s">
        <v>657</v>
      </c>
      <c r="L17" s="3182" t="s">
        <v>658</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199</v>
      </c>
      <c r="D18" s="784" t="s">
        <v>648</v>
      </c>
      <c r="E18" s="784" t="s">
        <v>649</v>
      </c>
      <c r="F18" s="809">
        <f>'数据-取费表'!B36</f>
        <v>1.4999999999999999E-2</v>
      </c>
      <c r="G18" s="1592"/>
      <c r="H18" s="1647" t="s">
        <v>1831</v>
      </c>
      <c r="I18" s="784" t="s">
        <v>660</v>
      </c>
      <c r="J18" s="53">
        <f ca="1">ROUND(J5*M18/1.05,1)</f>
        <v>0</v>
      </c>
      <c r="K18" s="3182"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662</v>
      </c>
      <c r="C19" s="53">
        <f ca="1">SUM(C14:C18)</f>
        <v>14772</v>
      </c>
      <c r="D19" s="261" t="s">
        <v>663</v>
      </c>
      <c r="E19" s="3185"/>
      <c r="F19" s="56"/>
      <c r="G19" s="1591"/>
      <c r="H19" s="1647" t="s">
        <v>1832</v>
      </c>
      <c r="I19" s="784" t="s">
        <v>664</v>
      </c>
      <c r="J19" s="53">
        <f ca="1">IF(K19="按租金收入计税",ROUND(J5*M19,1),ROUND(C29*F33*0.7,1))</f>
        <v>160.69999999999999</v>
      </c>
      <c r="K19" s="811" t="s">
        <v>665</v>
      </c>
      <c r="L19" s="784" t="s">
        <v>649</v>
      </c>
      <c r="M19" s="809">
        <f>IF(K19="按租金收入计税",'数据-取费表'!B51,'数据-取费表'!B50)</f>
        <v>1.2E-2</v>
      </c>
    </row>
    <row r="20" spans="1:33" s="2064" customFormat="1" ht="18" customHeight="1">
      <c r="A20" s="1648" t="s">
        <v>1889</v>
      </c>
      <c r="B20" s="784" t="s">
        <v>666</v>
      </c>
      <c r="C20" s="53">
        <f ca="1">ROUND(C19*F20,0)</f>
        <v>295</v>
      </c>
      <c r="D20" s="812" t="s">
        <v>667</v>
      </c>
      <c r="E20" s="784" t="s">
        <v>649</v>
      </c>
      <c r="F20" s="809">
        <f>'数据-取费表'!B37</f>
        <v>0.02</v>
      </c>
      <c r="G20" s="1592"/>
      <c r="H20" s="1650" t="s">
        <v>1880</v>
      </c>
      <c r="I20" s="341" t="s">
        <v>668</v>
      </c>
      <c r="J20" s="54">
        <f ca="1">ROUND(M20*M21/10000,0)</f>
        <v>4</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671</v>
      </c>
      <c r="C21" s="53" t="s">
        <v>1</v>
      </c>
      <c r="D21" s="812" t="s">
        <v>2300</v>
      </c>
      <c r="E21" s="784" t="s">
        <v>673</v>
      </c>
      <c r="F21" s="809">
        <f>'数据-取费表'!B38</f>
        <v>0.02</v>
      </c>
      <c r="G21" s="1592"/>
      <c r="H21" s="2530"/>
      <c r="I21" s="793"/>
      <c r="J21" s="69"/>
      <c r="K21" s="816"/>
      <c r="L21" s="784" t="s">
        <v>674</v>
      </c>
      <c r="M21" s="785">
        <f ca="1">INDIRECT("'数据-取费表'!r"&amp;$G$1)</f>
        <v>14029.130000000001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675</v>
      </c>
      <c r="C22" s="53"/>
      <c r="D22" s="2596" t="str">
        <f>IF(F23&lt;=1,"单利计息。","复利计息。")&amp;"建造成本、管理费用、销售费用产生的利息。"</f>
        <v>复利计息。建造成本、管理费用、销售费用产生的利息。</v>
      </c>
      <c r="E22" s="3185"/>
      <c r="F22" s="56"/>
      <c r="G22" s="1591"/>
      <c r="H22" s="1648" t="s">
        <v>1889</v>
      </c>
      <c r="I22" s="784" t="s">
        <v>676</v>
      </c>
      <c r="J22" s="53">
        <f ca="1">ROUND(J14*M22,0)</f>
        <v>287</v>
      </c>
      <c r="K22" s="3182" t="s">
        <v>677</v>
      </c>
      <c r="L22" s="784" t="s">
        <v>649</v>
      </c>
      <c r="M22" s="817">
        <f ca="1">INDIRECT("'数据-取费表'!Ak"&amp;$G$1)</f>
        <v>1.4999999999999999E-2</v>
      </c>
    </row>
    <row r="23" spans="1:33" s="2064" customFormat="1" ht="18" customHeight="1">
      <c r="A23" s="1647" t="s">
        <v>1831</v>
      </c>
      <c r="B23" s="784" t="s">
        <v>2440</v>
      </c>
      <c r="C23" s="53">
        <f ca="1">ROUND(IF('数据-取费表'!B22&lt;=1,(C19+C20)*F24*F23/2,(C19+C20)*(POWER((1+F24),F23/2)-1)),0)</f>
        <v>1086</v>
      </c>
      <c r="D23" s="2595" t="str">
        <f>IF(F23&lt;=1,"(建造成本+管理费用)×利率×(建设周期÷2)","(建造成本+管理费用)×((1+利率)^(建设周期÷2)-1)")</f>
        <v>(建造成本+管理费用)×((1+利率)^(建设周期÷2)-1)</v>
      </c>
      <c r="E23" s="784" t="s">
        <v>678</v>
      </c>
      <c r="F23" s="640">
        <f>'数据-取费表'!B20</f>
        <v>3</v>
      </c>
      <c r="G23" s="1592"/>
      <c r="H23" s="1648" t="s">
        <v>1890</v>
      </c>
      <c r="I23" s="784" t="s">
        <v>679</v>
      </c>
      <c r="J23" s="53">
        <f ca="1">ROUND(J13*M23,0)</f>
        <v>0</v>
      </c>
      <c r="K23" s="3182" t="s">
        <v>680</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681</v>
      </c>
      <c r="C24" s="53">
        <f ca="1">ROUND(IF('数据-取费表'!B22&lt;=1,F21*F24*F23/2,F21*(POWER((1+F24),F23/2)-1)),4)</f>
        <v>1.4E-3</v>
      </c>
      <c r="D24" s="2595" t="str">
        <f>IF(F23&lt;=1,"销售费用×利率×(建设周期÷2)","销售费用×((1+利率)^(建设周期÷2)-1)")</f>
        <v>销售费用×((1+利率)^(建设周期÷2)-1)</v>
      </c>
      <c r="E24" s="784" t="s">
        <v>682</v>
      </c>
      <c r="F24" s="819">
        <f ca="1">'数据-取费表'!B40</f>
        <v>4.7500000000000001E-2</v>
      </c>
      <c r="G24" s="1592"/>
      <c r="H24" s="2575" t="s">
        <v>1891</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1" t="s">
        <v>685</v>
      </c>
      <c r="E25" s="3185"/>
      <c r="F25" s="56"/>
      <c r="G25" s="1591"/>
      <c r="H25" s="1829" t="s">
        <v>1776</v>
      </c>
      <c r="I25" s="3034" t="s">
        <v>2824</v>
      </c>
      <c r="J25" s="792">
        <f ca="1">J5-J16</f>
        <v>-452</v>
      </c>
      <c r="K25" s="2572" t="s">
        <v>700</v>
      </c>
      <c r="L25" s="2573"/>
      <c r="M25" s="2574"/>
    </row>
    <row r="26" spans="1:33" ht="18" customHeight="1">
      <c r="A26" s="1647" t="s">
        <v>1831</v>
      </c>
      <c r="B26" s="784" t="s">
        <v>2441</v>
      </c>
      <c r="C26" s="53">
        <f ca="1">ROUND((C19+C20)*F26,0)</f>
        <v>1507</v>
      </c>
      <c r="D26" s="812" t="s">
        <v>701</v>
      </c>
      <c r="E26" s="795" t="s">
        <v>702</v>
      </c>
      <c r="F26" s="794">
        <f ca="1">INDIRECT("'数据-取费表'!q"&amp;$G$1)</f>
        <v>0.1</v>
      </c>
      <c r="G26" s="1591"/>
      <c r="H26" s="2526" t="s">
        <v>1780</v>
      </c>
      <c r="I26" s="2232" t="s">
        <v>2829</v>
      </c>
      <c r="J26" s="783">
        <f ca="1">IF(J5&lt;&gt;0,ROUND(J25*(1-((1+M28)/(1+M26))^M27)/(M26-M28),0),0)</f>
        <v>0</v>
      </c>
      <c r="K26" s="814" t="s">
        <v>704</v>
      </c>
      <c r="L26" s="784" t="s">
        <v>2422</v>
      </c>
      <c r="M26" s="794">
        <f ca="1">INDIRECT("'数据-取费表'!I"&amp;$G$1)</f>
        <v>0.05</v>
      </c>
    </row>
    <row r="27" spans="1:33" ht="18" customHeight="1">
      <c r="A27" s="1647" t="s">
        <v>1832</v>
      </c>
      <c r="B27" s="784" t="s">
        <v>686</v>
      </c>
      <c r="C27" s="53">
        <f ca="1">ROUND(F21*F26,4)</f>
        <v>2E-3</v>
      </c>
      <c r="D27" s="812" t="s">
        <v>706</v>
      </c>
      <c r="E27" s="806"/>
      <c r="F27" s="807"/>
      <c r="G27" s="1591"/>
      <c r="H27" s="2527"/>
      <c r="I27" s="787"/>
      <c r="J27" s="788"/>
      <c r="K27" s="821" t="s">
        <v>707</v>
      </c>
      <c r="L27" s="784" t="s">
        <v>708</v>
      </c>
      <c r="M27" s="822">
        <f ca="1">INDIRECT("'数据-取费表'!ag"&amp;$G$1)</f>
        <v>0</v>
      </c>
    </row>
    <row r="28" spans="1:33" s="2064" customFormat="1" ht="18" customHeight="1">
      <c r="A28" s="1649" t="s">
        <v>1841</v>
      </c>
      <c r="B28" s="784" t="s">
        <v>687</v>
      </c>
      <c r="C28" s="53">
        <f>ROUND(F28/(1+'数据-取费表'!C42),4)</f>
        <v>5.33E-2</v>
      </c>
      <c r="D28" s="812" t="s">
        <v>2301</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2302</v>
      </c>
      <c r="C29" s="2568">
        <f ca="1">ROUND((C19+C20+C23+C26)/(1-F21-C24-C27-C28),0)</f>
        <v>19127</v>
      </c>
      <c r="D29" s="2569"/>
      <c r="E29" s="2570"/>
      <c r="F29" s="2571"/>
      <c r="G29" s="1592"/>
      <c r="H29" s="823" t="s">
        <v>1787</v>
      </c>
      <c r="I29" s="824" t="s">
        <v>1788</v>
      </c>
      <c r="J29" s="825">
        <f ca="1">ROUND(J26/(1+F40)^F41,0)</f>
        <v>0</v>
      </c>
      <c r="K29" s="826" t="s">
        <v>1789</v>
      </c>
      <c r="L29" s="827"/>
      <c r="M29" s="828">
        <f ca="1">INDIRECT("'数据-取费表'!k"&amp;$G$1)</f>
        <v>43547.97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651</v>
      </c>
      <c r="C30" s="792">
        <f ca="1">ROUND(C31+C36+C37+C38,0)</f>
        <v>549</v>
      </c>
      <c r="D30" s="1821" t="s">
        <v>652</v>
      </c>
      <c r="E30" s="3184"/>
      <c r="F30" s="2515"/>
      <c r="G30" s="2062"/>
      <c r="H30" s="2065"/>
      <c r="I30" s="2066"/>
      <c r="J30" s="2067"/>
      <c r="K30" s="2068"/>
      <c r="L30" s="2069"/>
      <c r="M30" s="2070"/>
    </row>
    <row r="31" spans="1:33" ht="18" customHeight="1">
      <c r="A31" s="1648" t="s">
        <v>1824</v>
      </c>
      <c r="B31" s="784" t="s">
        <v>656</v>
      </c>
      <c r="C31" s="53">
        <f ca="1">ROUND(IF(项目基本情况!B11="自然人",C5*F31,C32+C33+C34),1)</f>
        <v>222.2</v>
      </c>
      <c r="D31" s="3181" t="s">
        <v>657</v>
      </c>
      <c r="E31" s="3182"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660</v>
      </c>
      <c r="C32" s="53">
        <f ca="1">ROUND(C5*F32/1.05,1)</f>
        <v>57.3</v>
      </c>
      <c r="D32" s="3182" t="s">
        <v>661</v>
      </c>
      <c r="E32" s="784" t="s">
        <v>649</v>
      </c>
      <c r="F32" s="809">
        <f>'数据-取费表'!B41</f>
        <v>5.6000000000000001E-2</v>
      </c>
      <c r="G32" s="2062"/>
      <c r="H32" s="2071"/>
      <c r="I32" s="2072"/>
      <c r="J32" s="2073"/>
      <c r="K32" s="2074"/>
      <c r="L32" s="2075"/>
      <c r="M32" s="2076"/>
    </row>
    <row r="33" spans="1:18" ht="18" customHeight="1">
      <c r="A33" s="1647" t="s">
        <v>1832</v>
      </c>
      <c r="B33" s="784" t="s">
        <v>664</v>
      </c>
      <c r="C33" s="53">
        <f ca="1">IF(D33="按租金收入计税",ROUND(C5*F33,1),IF(D33="按房产原值计税",ROUND(C29*F33*0.7,1),INDIRECT("'数据-取费表'!Aj"&amp;$G$1)))</f>
        <v>160.69999999999999</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1833</v>
      </c>
      <c r="B34" s="341" t="s">
        <v>668</v>
      </c>
      <c r="C34" s="54">
        <f ca="1">ROUND(F34*F35/10000,1)</f>
        <v>4.2</v>
      </c>
      <c r="D34" s="814" t="s">
        <v>669</v>
      </c>
      <c r="E34" s="784" t="s">
        <v>670</v>
      </c>
      <c r="F34" s="640">
        <f>'数据-取费表'!B52</f>
        <v>3</v>
      </c>
      <c r="G34" s="2062"/>
      <c r="H34" s="2065"/>
      <c r="I34" s="835" t="s">
        <v>1813</v>
      </c>
      <c r="J34" s="836"/>
      <c r="K34" s="2080"/>
      <c r="L34" s="2079"/>
      <c r="M34" s="2079"/>
    </row>
    <row r="35" spans="1:18" ht="18" customHeight="1">
      <c r="A35" s="815"/>
      <c r="B35" s="793"/>
      <c r="C35" s="69"/>
      <c r="D35" s="816"/>
      <c r="E35" s="784" t="s">
        <v>674</v>
      </c>
      <c r="F35" s="785">
        <f ca="1">INDIRECT("'数据-取费表'!r"&amp;$G$1)</f>
        <v>14029.130000000001</v>
      </c>
      <c r="G35" s="2062"/>
      <c r="H35" s="2065"/>
      <c r="I35" s="837" t="s">
        <v>1814</v>
      </c>
      <c r="J35" s="838">
        <f ca="1">ROUND(C13*J36,0)</f>
        <v>1626</v>
      </c>
      <c r="K35" s="2078"/>
      <c r="L35" s="2077"/>
      <c r="M35" s="2077"/>
    </row>
    <row r="36" spans="1:18" ht="18" customHeight="1">
      <c r="A36" s="1648" t="s">
        <v>1889</v>
      </c>
      <c r="B36" s="784" t="s">
        <v>676</v>
      </c>
      <c r="C36" s="53">
        <f ca="1">ROUND(C29*F36,1)</f>
        <v>286.89999999999998</v>
      </c>
      <c r="D36" s="3182" t="s">
        <v>691</v>
      </c>
      <c r="E36" s="784" t="s">
        <v>649</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679</v>
      </c>
      <c r="C37" s="53">
        <f ca="1">ROUND(C13*F37,1)</f>
        <v>28.7</v>
      </c>
      <c r="D37" s="3182" t="s">
        <v>680</v>
      </c>
      <c r="E37" s="784" t="s">
        <v>649</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10.8</v>
      </c>
      <c r="D38" s="2569" t="s">
        <v>683</v>
      </c>
      <c r="E38" s="2570" t="s">
        <v>649</v>
      </c>
      <c r="F38" s="2566">
        <f ca="1">INDIRECT("'数据-取费表'!Am"&amp;$G$1)</f>
        <v>0.01</v>
      </c>
      <c r="G38" s="2062"/>
      <c r="H38" s="2077"/>
      <c r="I38" s="843" t="s">
        <v>1817</v>
      </c>
      <c r="J38" s="844"/>
      <c r="K38" s="2083"/>
      <c r="L38" s="2077"/>
      <c r="M38" s="2077"/>
    </row>
    <row r="39" spans="1:18" ht="24.6" customHeight="1" thickTop="1">
      <c r="A39" s="1829" t="s">
        <v>1776</v>
      </c>
      <c r="B39" s="3034" t="s">
        <v>2824</v>
      </c>
      <c r="C39" s="792">
        <f ca="1">C5-C30</f>
        <v>526</v>
      </c>
      <c r="D39" s="2572" t="s">
        <v>700</v>
      </c>
      <c r="E39" s="2573"/>
      <c r="F39" s="2574"/>
      <c r="G39" s="2062"/>
      <c r="H39" s="2077"/>
      <c r="I39" s="837" t="s">
        <v>1818</v>
      </c>
      <c r="J39" s="845">
        <f ca="1">ROUND(J35/C39,3)</f>
        <v>3.0910000000000002</v>
      </c>
      <c r="K39" s="2083"/>
      <c r="L39" s="2077"/>
      <c r="M39" s="2077"/>
    </row>
    <row r="40" spans="1:18" ht="18" customHeight="1">
      <c r="A40" s="781" t="s">
        <v>1780</v>
      </c>
      <c r="B40" s="2232" t="s">
        <v>2303</v>
      </c>
      <c r="C40" s="783">
        <f ca="1">ROUND(C39*(1-((1+F42)/(1+F40))^F41)/(F40-F42),0)</f>
        <v>14202</v>
      </c>
      <c r="D40" s="814" t="s">
        <v>704</v>
      </c>
      <c r="E40" s="784" t="s">
        <v>2422</v>
      </c>
      <c r="F40" s="794">
        <f ca="1">INDIRECT("'数据-取费表'!I"&amp;$G$1)</f>
        <v>0.05</v>
      </c>
      <c r="G40" s="2062"/>
      <c r="H40" s="2062"/>
      <c r="I40" s="837" t="s">
        <v>1819</v>
      </c>
      <c r="J40" s="845">
        <f ca="1">1-J39</f>
        <v>-2.0910000000000002</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46.64</v>
      </c>
      <c r="G41" s="2062"/>
      <c r="H41" s="1988"/>
      <c r="I41" s="843" t="s">
        <v>1820</v>
      </c>
      <c r="J41" s="846"/>
      <c r="K41" s="2082"/>
      <c r="L41" s="1988"/>
      <c r="M41" s="1988"/>
    </row>
    <row r="42" spans="1:18" ht="18" customHeight="1">
      <c r="A42" s="790"/>
      <c r="B42" s="791"/>
      <c r="C42" s="792"/>
      <c r="D42" s="816"/>
      <c r="E42" s="784" t="s">
        <v>710</v>
      </c>
      <c r="F42" s="794">
        <f ca="1">INDIRECT("'数据-取费表'!v"&amp;$G$1)</f>
        <v>2.5000000000000001E-2</v>
      </c>
      <c r="G42" s="2062"/>
      <c r="H42" s="1988"/>
      <c r="I42" s="847" t="s">
        <v>1821</v>
      </c>
      <c r="J42" s="845">
        <f ca="1">ROUND(C13/C40,3)</f>
        <v>1.347</v>
      </c>
      <c r="K42" s="2082"/>
      <c r="L42" s="1988"/>
      <c r="M42" s="1988"/>
    </row>
    <row r="43" spans="1:18" ht="18" customHeight="1" thickBot="1">
      <c r="A43" s="823" t="s">
        <v>1787</v>
      </c>
      <c r="B43" s="824" t="s">
        <v>1810</v>
      </c>
      <c r="C43" s="825">
        <f ca="1">ROUND(C40*10000/F43,0)</f>
        <v>3261</v>
      </c>
      <c r="D43" s="826" t="s">
        <v>1811</v>
      </c>
      <c r="E43" s="827" t="s">
        <v>1812</v>
      </c>
      <c r="F43" s="828">
        <f ca="1">INDIRECT("'数据-取费表'!k"&amp;$G$1)</f>
        <v>43547.97</v>
      </c>
      <c r="G43" s="2062"/>
      <c r="H43" s="1988"/>
      <c r="I43" s="847" t="s">
        <v>1822</v>
      </c>
      <c r="J43" s="848">
        <f ca="1">1-J42</f>
        <v>-0.34699999999999998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f ca="1">C67-C40</f>
        <v>-22834</v>
      </c>
      <c r="D46" s="2085"/>
      <c r="E46" s="2085"/>
      <c r="F46" s="2085"/>
      <c r="I46" s="2378" t="s">
        <v>2345</v>
      </c>
      <c r="J46" s="2379"/>
      <c r="K46" s="2380"/>
      <c r="L46" s="2381">
        <f>IF(OR(M47="住宅",D1="土地（套用方法）"),0,IF(L48&gt;J51,L60,J60))</f>
        <v>0</v>
      </c>
      <c r="O46" s="2418" t="s">
        <v>2413</v>
      </c>
      <c r="P46" s="1591"/>
      <c r="Q46" s="1603"/>
      <c r="R46" s="1591"/>
    </row>
    <row r="47" spans="1:18" s="2059" customFormat="1" ht="18" customHeight="1" thickBot="1">
      <c r="A47" s="2372">
        <v>1</v>
      </c>
      <c r="B47" s="2373" t="s">
        <v>635</v>
      </c>
      <c r="C47" s="2598">
        <f ca="1">C48+C52+C54</f>
        <v>0</v>
      </c>
      <c r="D47" s="2085"/>
      <c r="E47" s="2085"/>
      <c r="F47" s="2085"/>
      <c r="I47" s="2382" t="s">
        <v>2346</v>
      </c>
      <c r="J47" s="2387" t="s">
        <v>3061</v>
      </c>
      <c r="K47" s="2388" t="s">
        <v>2352</v>
      </c>
      <c r="L47" s="2389">
        <f ca="1">INDIRECT("'数据-取费表'!d"&amp;$G$1)</f>
        <v>50</v>
      </c>
      <c r="M47" s="1603" t="str">
        <f>IF(ISNUMBER(FIND("住宅",C1)),"住宅","非住宅")</f>
        <v>非住宅</v>
      </c>
      <c r="O47" s="2419" t="s">
        <v>2378</v>
      </c>
      <c r="P47" s="2420" t="s">
        <v>2379</v>
      </c>
      <c r="Q47" s="2421" t="s">
        <v>2380</v>
      </c>
      <c r="R47" s="2420" t="s">
        <v>2381</v>
      </c>
    </row>
    <row r="48" spans="1:18" s="2059" customFormat="1" ht="18" customHeight="1" thickBot="1">
      <c r="A48" s="2666" t="s">
        <v>1870</v>
      </c>
      <c r="B48" s="2667" t="s">
        <v>2541</v>
      </c>
      <c r="C48" s="2374">
        <f ca="1">ROUND(F48*F50*F49*(1-F51)/10000,0)</f>
        <v>0</v>
      </c>
      <c r="D48" s="2375" t="s">
        <v>636</v>
      </c>
      <c r="E48" s="2376" t="s">
        <v>2298</v>
      </c>
      <c r="F48" s="2377"/>
      <c r="G48" s="2090"/>
      <c r="I48" s="2383" t="s">
        <v>2347</v>
      </c>
      <c r="J48" s="2390" t="s">
        <v>2353</v>
      </c>
      <c r="K48" s="2391" t="s">
        <v>2354</v>
      </c>
      <c r="L48" s="2392">
        <f ca="1">INDIRECT("'数据-取费表'!f"&amp;$G$1)</f>
        <v>49.64</v>
      </c>
      <c r="O48" s="2422" t="s">
        <v>2382</v>
      </c>
      <c r="P48" s="2423" t="s">
        <v>2408</v>
      </c>
      <c r="Q48" s="2424">
        <f ca="1">C40+J29</f>
        <v>14202</v>
      </c>
      <c r="R48" s="2423" t="s">
        <v>2383</v>
      </c>
    </row>
    <row r="49" spans="1:18" s="2059" customFormat="1" ht="18" customHeight="1" thickBot="1">
      <c r="A49" s="786"/>
      <c r="B49" s="787"/>
      <c r="C49" s="788"/>
      <c r="D49" s="789"/>
      <c r="E49" s="784" t="s">
        <v>638</v>
      </c>
      <c r="F49" s="785">
        <f ca="1">F7</f>
        <v>1244</v>
      </c>
      <c r="G49" s="2090"/>
      <c r="H49" s="2093"/>
      <c r="I49" s="2383" t="s">
        <v>2348</v>
      </c>
      <c r="J49" s="2393">
        <v>2021</v>
      </c>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639</v>
      </c>
      <c r="F50" s="785">
        <f ca="1">F8</f>
        <v>12</v>
      </c>
      <c r="G50" s="2095"/>
      <c r="H50" s="2093"/>
      <c r="I50" s="2383" t="s">
        <v>2349</v>
      </c>
      <c r="J50" s="2396">
        <f>SUMPRODUCT((I63:I65=J47)*(J62:L62=J48)*(J63:L65))</f>
        <v>60</v>
      </c>
      <c r="K50" s="2394" t="s">
        <v>2356</v>
      </c>
      <c r="L50" s="2395"/>
      <c r="O50" s="2425" t="s">
        <v>2386</v>
      </c>
      <c r="P50" s="2423" t="s">
        <v>2410</v>
      </c>
      <c r="Q50" s="2424">
        <f ca="1">C29</f>
        <v>19127</v>
      </c>
      <c r="R50" s="2423" t="s">
        <v>2383</v>
      </c>
    </row>
    <row r="51" spans="1:18" s="2059" customFormat="1" ht="18" customHeight="1" thickBot="1">
      <c r="A51" s="786"/>
      <c r="B51" s="787"/>
      <c r="C51" s="788"/>
      <c r="D51" s="789"/>
      <c r="E51" s="784" t="s">
        <v>640</v>
      </c>
      <c r="F51" s="2371"/>
      <c r="H51" s="2093"/>
      <c r="I51" s="2384" t="s">
        <v>2350</v>
      </c>
      <c r="J51" s="2397">
        <f>IF(J49="",J50,J49+J50-YEAR('数据-取费表'!B2))</f>
        <v>63</v>
      </c>
      <c r="K51" s="2383" t="s">
        <v>2357</v>
      </c>
      <c r="L51" s="2398">
        <f ca="1">ROUND(-PV(INDIRECT("'数据-取费表'!h"&amp;$G$1),L48,(C39-C13*J36),0),0)</f>
        <v>-21691</v>
      </c>
      <c r="O51" s="2425" t="s">
        <v>2387</v>
      </c>
      <c r="P51" s="2423" t="s">
        <v>2388</v>
      </c>
      <c r="Q51" s="2426" t="e">
        <f ca="1">J58</f>
        <v>#VALUE!</v>
      </c>
      <c r="R51" s="2427"/>
    </row>
    <row r="52" spans="1:18" s="2059" customFormat="1" ht="18" customHeight="1" thickBot="1">
      <c r="A52" s="781" t="s">
        <v>2539</v>
      </c>
      <c r="B52" s="2518" t="s">
        <v>2462</v>
      </c>
      <c r="C52" s="799">
        <f ca="1">ROUND(IF(F52="押一",C48/12*F11,IF(F52="押二",C48/12*2*F11,IF(F52="押三",C48/12*3*F11,C53*F11))),0)</f>
        <v>0</v>
      </c>
      <c r="D52" s="2525" t="s">
        <v>2981</v>
      </c>
      <c r="E52" s="2522" t="s">
        <v>2467</v>
      </c>
      <c r="F52" s="2645"/>
      <c r="I52" s="2385" t="s">
        <v>2424</v>
      </c>
      <c r="J52" s="2399">
        <v>0.09</v>
      </c>
      <c r="K52" s="2385" t="s">
        <v>2423</v>
      </c>
      <c r="L52" s="2399"/>
      <c r="O52" s="2425" t="s">
        <v>2389</v>
      </c>
      <c r="P52" s="2423" t="s">
        <v>2390</v>
      </c>
      <c r="Q52" s="2426">
        <f>J52</f>
        <v>0.09</v>
      </c>
      <c r="R52" s="2427"/>
    </row>
    <row r="53" spans="1:18" s="2059" customFormat="1" ht="39.75" customHeight="1" thickBot="1">
      <c r="A53" s="786"/>
      <c r="B53" s="2519" t="s">
        <v>2576</v>
      </c>
      <c r="C53" s="2523"/>
      <c r="D53" s="2525"/>
      <c r="E53" s="2522"/>
      <c r="F53" s="800"/>
      <c r="I53" s="2386" t="s">
        <v>2351</v>
      </c>
      <c r="J53" s="2400">
        <f ca="1">IF(M47="住宅",J51,IF(D1="——",MIN(J51,L48),IF(D1="土地（套用方法）",MIN(J51,L48-'数据-取费表'!B20))))</f>
        <v>46.64</v>
      </c>
      <c r="K53" s="3443" t="s">
        <v>2972</v>
      </c>
      <c r="L53" s="3444"/>
      <c r="O53" s="2425" t="s">
        <v>2391</v>
      </c>
      <c r="P53" s="2423" t="s">
        <v>2392</v>
      </c>
      <c r="Q53" s="2424">
        <f ca="1">J53</f>
        <v>46.64</v>
      </c>
      <c r="R53" s="2423" t="s">
        <v>2393</v>
      </c>
    </row>
    <row r="54" spans="1:18" s="2059" customFormat="1" ht="18" customHeight="1" thickBot="1">
      <c r="A54" s="2561" t="s">
        <v>2470</v>
      </c>
      <c r="B54" s="2562" t="s">
        <v>2463</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14202</v>
      </c>
      <c r="R54" s="2427" t="s">
        <v>2395</v>
      </c>
    </row>
    <row r="55" spans="1:18" s="2059" customFormat="1" ht="18" customHeight="1" thickTop="1" thickBot="1">
      <c r="A55" s="797">
        <v>2</v>
      </c>
      <c r="B55" s="798" t="s">
        <v>644</v>
      </c>
      <c r="C55" s="799">
        <f ca="1">C13</f>
        <v>19127</v>
      </c>
      <c r="D55" s="795"/>
      <c r="E55" s="795"/>
      <c r="F55" s="800"/>
      <c r="I55" s="3125" t="s">
        <v>2358</v>
      </c>
      <c r="J55" s="3124" t="e">
        <f ca="1">ROUND(IF(J47="钢混",J57/J50,1-(1-2%)*(J50-J57)/J50),3)</f>
        <v>#VALUE!</v>
      </c>
      <c r="K55" s="2401" t="s">
        <v>2359</v>
      </c>
      <c r="L55" s="2402"/>
      <c r="O55" s="2428" t="s">
        <v>2414</v>
      </c>
      <c r="P55" s="1591"/>
      <c r="Q55" s="1603"/>
      <c r="R55" s="1591"/>
    </row>
    <row r="56" spans="1:18" s="2059" customFormat="1" ht="42.75" customHeight="1" thickBot="1">
      <c r="A56" s="1649"/>
      <c r="B56" s="2231" t="s">
        <v>2302</v>
      </c>
      <c r="C56" s="53">
        <f ca="1">C29</f>
        <v>19127</v>
      </c>
      <c r="D56" s="3182"/>
      <c r="E56" s="784"/>
      <c r="F56" s="809"/>
      <c r="I56" s="2403" t="s">
        <v>2360</v>
      </c>
      <c r="J56" s="3148" t="s">
        <v>1679</v>
      </c>
      <c r="K56" s="2383" t="s">
        <v>2365</v>
      </c>
      <c r="L56" s="2392" t="str">
        <f ca="1">IF(L48&lt;J51,"——",L48-J51)</f>
        <v>——</v>
      </c>
      <c r="O56" s="2419" t="s">
        <v>2378</v>
      </c>
      <c r="P56" s="2420" t="s">
        <v>2379</v>
      </c>
      <c r="Q56" s="2421" t="s">
        <v>2380</v>
      </c>
      <c r="R56" s="2420" t="s">
        <v>2381</v>
      </c>
    </row>
    <row r="57" spans="1:18" s="2059" customFormat="1" ht="28.5" customHeight="1" thickBot="1">
      <c r="A57" s="797" t="s">
        <v>1748</v>
      </c>
      <c r="B57" s="798" t="s">
        <v>651</v>
      </c>
      <c r="C57" s="799">
        <f ca="1">ROUND(C58+C63+C64+C65,0)</f>
        <v>481</v>
      </c>
      <c r="D57" s="26" t="s">
        <v>652</v>
      </c>
      <c r="E57" s="3185"/>
      <c r="F57" s="56"/>
      <c r="I57" s="2404" t="s">
        <v>2361</v>
      </c>
      <c r="J57" s="2406" t="str">
        <f ca="1">IF(OR(M47="住宅",J51&lt;L48,J56="是"),"——",J51-L48)</f>
        <v>——</v>
      </c>
      <c r="K57" s="2383" t="s">
        <v>2366</v>
      </c>
      <c r="L57" s="2392" t="str">
        <f ca="1">IF(L48&lt;J51,"——",IF(L55="比较法",L49,IF(L55="基准地价",L50,L51)))</f>
        <v>——</v>
      </c>
      <c r="O57" s="2422" t="s">
        <v>2382</v>
      </c>
      <c r="P57" s="2423" t="s">
        <v>2408</v>
      </c>
      <c r="Q57" s="2424">
        <f ca="1">C40+J29</f>
        <v>14202</v>
      </c>
      <c r="R57" s="2423" t="s">
        <v>2383</v>
      </c>
    </row>
    <row r="58" spans="1:18" s="2059" customFormat="1" ht="28.5" customHeight="1" thickBot="1">
      <c r="A58" s="1648" t="s">
        <v>1824</v>
      </c>
      <c r="B58" s="784" t="s">
        <v>656</v>
      </c>
      <c r="C58" s="53">
        <f ca="1">ROUND(IF(项目基本情况!B11="自然人",C47*F58,C59+C60+C61),1)</f>
        <v>164.9</v>
      </c>
      <c r="D58" s="3181" t="s">
        <v>657</v>
      </c>
      <c r="E58" s="3182" t="s">
        <v>690</v>
      </c>
      <c r="F58" s="810" t="str">
        <f ca="1">IF(项目基本情况!B11="企业","",IF(INDIRECT("'数据-取费表'!c"&amp;$G$1)="住宅",5%,IF(F48*F49*F50/12/(1+'数据-取费表'!C42)&gt;20000,12%,7%)))</f>
        <v/>
      </c>
      <c r="I58" s="2404" t="s">
        <v>2362</v>
      </c>
      <c r="J58" s="3126"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7" t="s">
        <v>1831</v>
      </c>
      <c r="B59" s="784" t="s">
        <v>660</v>
      </c>
      <c r="C59" s="53">
        <f ca="1">ROUND(C47*F59/1.05,1)</f>
        <v>0</v>
      </c>
      <c r="D59" s="3182" t="s">
        <v>661</v>
      </c>
      <c r="E59" s="784" t="s">
        <v>649</v>
      </c>
      <c r="F59" s="809">
        <f t="shared" ref="F59:F65" si="0">F32</f>
        <v>5.6000000000000001E-2</v>
      </c>
      <c r="I59" s="2404" t="s">
        <v>2363</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7" t="s">
        <v>1832</v>
      </c>
      <c r="B60" s="784" t="s">
        <v>664</v>
      </c>
      <c r="C60" s="53">
        <f ca="1">IF(D60="按租金收入计税",ROUND(C47*F60,1),IF(D60="按房产原值计税",ROUND(C56*F60*0.7,1),INDIRECT("'数据-取费表'!Aj"&amp;$G$1)))</f>
        <v>160.69999999999999</v>
      </c>
      <c r="D60" s="3182" t="str">
        <f>D33</f>
        <v>按房产原值计税</v>
      </c>
      <c r="E60" s="784" t="s">
        <v>649</v>
      </c>
      <c r="F60" s="809">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0" t="s">
        <v>1833</v>
      </c>
      <c r="B61" s="341" t="s">
        <v>668</v>
      </c>
      <c r="C61" s="54">
        <f ca="1">ROUND(F61*F62/10000,1)</f>
        <v>4.2</v>
      </c>
      <c r="D61" s="814" t="s">
        <v>669</v>
      </c>
      <c r="E61" s="784" t="s">
        <v>670</v>
      </c>
      <c r="F61" s="640">
        <f t="shared" si="0"/>
        <v>3</v>
      </c>
      <c r="K61" s="2086"/>
      <c r="O61" s="2425" t="s">
        <v>2389</v>
      </c>
      <c r="P61" s="2423" t="s">
        <v>2397</v>
      </c>
      <c r="Q61" s="2424" t="e">
        <f ca="1">L58</f>
        <v>#DIV/0!</v>
      </c>
      <c r="R61" s="2427" t="s">
        <v>2398</v>
      </c>
    </row>
    <row r="62" spans="1:18" s="2059" customFormat="1" ht="15.75" thickBot="1">
      <c r="A62" s="815"/>
      <c r="B62" s="793"/>
      <c r="C62" s="69"/>
      <c r="D62" s="816"/>
      <c r="E62" s="784" t="s">
        <v>674</v>
      </c>
      <c r="F62" s="785">
        <f t="shared" ca="1" si="0"/>
        <v>14029.130000000001</v>
      </c>
      <c r="I62" s="2409" t="s">
        <v>2370</v>
      </c>
      <c r="J62" s="2410" t="s">
        <v>2371</v>
      </c>
      <c r="K62" s="2410" t="s">
        <v>2372</v>
      </c>
      <c r="L62" s="2410" t="s">
        <v>2353</v>
      </c>
      <c r="M62" s="3127" t="s">
        <v>2947</v>
      </c>
      <c r="O62" s="2425" t="s">
        <v>2391</v>
      </c>
      <c r="P62" s="2423" t="str">
        <f>K59</f>
        <v>建设期及建筑物耐用年限下的土地年期修正系数Kn</v>
      </c>
      <c r="Q62" s="2424" t="e">
        <f ca="1">L59</f>
        <v>#DIV/0!</v>
      </c>
      <c r="R62" s="2427" t="s">
        <v>2400</v>
      </c>
    </row>
    <row r="63" spans="1:18" s="2059" customFormat="1" ht="15.75" thickBot="1">
      <c r="A63" s="1648" t="s">
        <v>1889</v>
      </c>
      <c r="B63" s="784" t="s">
        <v>676</v>
      </c>
      <c r="C63" s="53">
        <f ca="1">ROUND(C56*F63,1)</f>
        <v>286.89999999999998</v>
      </c>
      <c r="D63" s="3182" t="s">
        <v>691</v>
      </c>
      <c r="E63" s="784" t="s">
        <v>649</v>
      </c>
      <c r="F63" s="817">
        <f t="shared" ca="1" si="0"/>
        <v>1.4999999999999999E-2</v>
      </c>
      <c r="I63" s="2409" t="s">
        <v>2373</v>
      </c>
      <c r="J63" s="2410">
        <v>70</v>
      </c>
      <c r="K63" s="2410">
        <v>50</v>
      </c>
      <c r="L63" s="2410">
        <v>80</v>
      </c>
      <c r="M63" s="3128">
        <v>0.02</v>
      </c>
      <c r="O63" s="2422" t="s">
        <v>2394</v>
      </c>
      <c r="P63" s="2423" t="s">
        <v>2411</v>
      </c>
      <c r="Q63" s="2424">
        <f ca="1">Q57+Q58</f>
        <v>14202</v>
      </c>
      <c r="R63" s="2427" t="s">
        <v>2395</v>
      </c>
    </row>
    <row r="64" spans="1:18" s="2059" customFormat="1" ht="16.5" thickBot="1">
      <c r="A64" s="1648" t="s">
        <v>1890</v>
      </c>
      <c r="B64" s="784" t="s">
        <v>679</v>
      </c>
      <c r="C64" s="53">
        <f ca="1">ROUND(C55*F64,1)</f>
        <v>28.7</v>
      </c>
      <c r="D64" s="3182" t="s">
        <v>680</v>
      </c>
      <c r="E64" s="784" t="s">
        <v>649</v>
      </c>
      <c r="F64" s="818">
        <f t="shared" ca="1" si="0"/>
        <v>1.5E-3</v>
      </c>
      <c r="I64" s="2409" t="s">
        <v>2374</v>
      </c>
      <c r="J64" s="2410">
        <v>50</v>
      </c>
      <c r="K64" s="2410">
        <v>35</v>
      </c>
      <c r="L64" s="2410">
        <v>60</v>
      </c>
      <c r="M64" s="3129">
        <v>0</v>
      </c>
      <c r="O64" s="2428" t="s">
        <v>2418</v>
      </c>
      <c r="P64" s="1591"/>
      <c r="Q64" s="1603"/>
      <c r="R64" s="1591"/>
    </row>
    <row r="65" spans="1:18" s="2059" customFormat="1" ht="15.75" thickBot="1">
      <c r="A65" s="1648" t="s">
        <v>1891</v>
      </c>
      <c r="B65" s="784" t="s">
        <v>666</v>
      </c>
      <c r="C65" s="53">
        <f ca="1">ROUND(C47*F65,1)</f>
        <v>0</v>
      </c>
      <c r="D65" s="3182" t="s">
        <v>683</v>
      </c>
      <c r="E65" s="784" t="s">
        <v>649</v>
      </c>
      <c r="F65" s="794">
        <f t="shared" ca="1" si="0"/>
        <v>0.01</v>
      </c>
      <c r="I65" s="2409" t="s">
        <v>2375</v>
      </c>
      <c r="J65" s="2410">
        <v>40</v>
      </c>
      <c r="K65" s="2410">
        <v>30</v>
      </c>
      <c r="L65" s="2410">
        <v>50</v>
      </c>
      <c r="M65" s="3128">
        <v>0.02</v>
      </c>
      <c r="O65" s="2419" t="s">
        <v>2378</v>
      </c>
      <c r="P65" s="2420" t="s">
        <v>2379</v>
      </c>
      <c r="Q65" s="2421" t="s">
        <v>2380</v>
      </c>
      <c r="R65" s="2420" t="s">
        <v>2381</v>
      </c>
    </row>
    <row r="66" spans="1:18" s="2059" customFormat="1" ht="24.75" thickBot="1">
      <c r="A66" s="797" t="s">
        <v>1776</v>
      </c>
      <c r="B66" s="3035" t="s">
        <v>2824</v>
      </c>
      <c r="C66" s="799">
        <f ca="1">C47-C57</f>
        <v>-481</v>
      </c>
      <c r="D66" s="3181" t="s">
        <v>700</v>
      </c>
      <c r="E66" s="3179"/>
      <c r="F66" s="820"/>
      <c r="K66" s="2086"/>
      <c r="O66" s="2422" t="s">
        <v>2382</v>
      </c>
      <c r="P66" s="2423" t="s">
        <v>2408</v>
      </c>
      <c r="Q66" s="2424">
        <f ca="1">C40+J29</f>
        <v>14202</v>
      </c>
      <c r="R66" s="2423" t="s">
        <v>2383</v>
      </c>
    </row>
    <row r="67" spans="1:18" s="2059" customFormat="1" ht="20.25" thickBot="1">
      <c r="A67" s="781" t="s">
        <v>1780</v>
      </c>
      <c r="B67" s="2232" t="s">
        <v>2303</v>
      </c>
      <c r="C67" s="783">
        <f ca="1">ROUND(C66*(1-((1+F69)/(1+F67))^F68)/(F67-F69),0)</f>
        <v>-8632</v>
      </c>
      <c r="D67" s="814" t="s">
        <v>704</v>
      </c>
      <c r="E67" s="784" t="s">
        <v>705</v>
      </c>
      <c r="F67" s="794">
        <f ca="1">F40</f>
        <v>0.05</v>
      </c>
      <c r="K67" s="2086"/>
      <c r="O67" s="2422" t="s">
        <v>2384</v>
      </c>
      <c r="P67" s="2423" t="s">
        <v>2415</v>
      </c>
      <c r="Q67" s="2424">
        <f ca="1">L60</f>
        <v>0</v>
      </c>
      <c r="R67" s="2427" t="s">
        <v>2417</v>
      </c>
    </row>
    <row r="68" spans="1:18" ht="21.75" thickBot="1">
      <c r="A68" s="786"/>
      <c r="B68" s="787"/>
      <c r="C68" s="788"/>
      <c r="D68" s="821" t="s">
        <v>1808</v>
      </c>
      <c r="E68" s="784" t="s">
        <v>708</v>
      </c>
      <c r="F68" s="822">
        <f ca="1">F41</f>
        <v>46.64</v>
      </c>
      <c r="O68" s="2425" t="s">
        <v>2386</v>
      </c>
      <c r="P68" s="2423" t="s">
        <v>2416</v>
      </c>
      <c r="Q68" s="2429">
        <f ca="1">L51</f>
        <v>-21691</v>
      </c>
      <c r="R68" s="2430" t="s">
        <v>2419</v>
      </c>
    </row>
    <row r="69" spans="1:18" ht="20.25" thickBot="1">
      <c r="A69" s="790"/>
      <c r="B69" s="791"/>
      <c r="C69" s="792"/>
      <c r="D69" s="816"/>
      <c r="E69" s="784" t="s">
        <v>710</v>
      </c>
      <c r="F69" s="2371"/>
      <c r="O69" s="2425" t="s">
        <v>2387</v>
      </c>
      <c r="P69" s="2431" t="s">
        <v>2401</v>
      </c>
      <c r="Q69" s="2424">
        <f ca="1">ROUND(Q70-Q71*Q72,0)</f>
        <v>-1100</v>
      </c>
      <c r="R69" s="2427"/>
    </row>
    <row r="70" spans="1:18" ht="15.75" thickBot="1">
      <c r="A70" s="823" t="s">
        <v>1787</v>
      </c>
      <c r="B70" s="824" t="s">
        <v>1810</v>
      </c>
      <c r="C70" s="825">
        <f ca="1">ROUND(C67*10000/F70,0)</f>
        <v>-1982</v>
      </c>
      <c r="D70" s="826" t="s">
        <v>1811</v>
      </c>
      <c r="E70" s="827" t="s">
        <v>1812</v>
      </c>
      <c r="F70" s="828">
        <f ca="1">F43</f>
        <v>43547.97</v>
      </c>
      <c r="O70" s="2425" t="s">
        <v>2402</v>
      </c>
      <c r="P70" s="2431" t="s">
        <v>2403</v>
      </c>
      <c r="Q70" s="2424">
        <f ca="1">C39</f>
        <v>526</v>
      </c>
      <c r="R70" s="2423" t="s">
        <v>2383</v>
      </c>
    </row>
    <row r="71" spans="1:18" ht="15.75" thickBot="1">
      <c r="O71" s="2425" t="s">
        <v>2404</v>
      </c>
      <c r="P71" s="2431" t="s">
        <v>2405</v>
      </c>
      <c r="Q71" s="2424">
        <f ca="1">C13</f>
        <v>19127</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14202</v>
      </c>
      <c r="R76" s="2427"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D46" sqref="D4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2998</v>
      </c>
      <c r="D1" s="3154" t="s">
        <v>3060</v>
      </c>
      <c r="E1" s="2411" t="s">
        <v>870</v>
      </c>
      <c r="F1" s="2412">
        <f ca="1">J53</f>
        <v>36.630000000000003</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217</v>
      </c>
      <c r="C2" s="2057"/>
      <c r="D2" s="2055"/>
      <c r="E2" s="2056"/>
      <c r="F2" s="2056"/>
      <c r="G2" s="1589"/>
      <c r="H2" s="2057"/>
      <c r="I2" s="2057"/>
      <c r="J2" s="2057"/>
      <c r="K2" s="2058"/>
      <c r="L2" s="2057"/>
      <c r="M2" s="2057"/>
    </row>
    <row r="3" spans="1:33" ht="18" customHeight="1" thickBot="1">
      <c r="A3" s="833" t="s">
        <v>519</v>
      </c>
      <c r="B3" s="834">
        <f ca="1">IF(ISERROR(B2*10000/F43),0,ROUND(B2*10000/F43,0))</f>
        <v>20220</v>
      </c>
      <c r="C3" s="2057"/>
      <c r="D3" s="2055"/>
      <c r="E3" s="2056"/>
      <c r="F3" s="2056"/>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2461</v>
      </c>
      <c r="C5" s="55">
        <f ca="1">C6+C10+C12</f>
        <v>12</v>
      </c>
      <c r="D5" s="2520" t="s">
        <v>2464</v>
      </c>
      <c r="E5" s="2514"/>
      <c r="F5" s="2515"/>
      <c r="G5" s="1591"/>
      <c r="H5" s="781">
        <v>1</v>
      </c>
      <c r="I5" s="782" t="s">
        <v>2461</v>
      </c>
      <c r="J5" s="55">
        <f ca="1">J6+J10+J12</f>
        <v>0</v>
      </c>
      <c r="K5" s="2520" t="s">
        <v>2464</v>
      </c>
      <c r="L5" s="2514"/>
      <c r="M5" s="2515"/>
    </row>
    <row r="6" spans="1:33" ht="18" customHeight="1">
      <c r="A6" s="1830" t="s">
        <v>1824</v>
      </c>
      <c r="B6" s="3427" t="s">
        <v>2466</v>
      </c>
      <c r="C6" s="783">
        <f ca="1">ROUND(F6*F8*F7*(1-F9)/10000,0)</f>
        <v>12</v>
      </c>
      <c r="D6" s="2521" t="s">
        <v>2465</v>
      </c>
      <c r="E6" s="784" t="s">
        <v>637</v>
      </c>
      <c r="F6" s="785">
        <f ca="1">INDIRECT("'数据-取费表'!u"&amp;$G$1)</f>
        <v>3.5</v>
      </c>
      <c r="G6" s="1591"/>
      <c r="H6" s="2528" t="s">
        <v>1824</v>
      </c>
      <c r="I6" s="3427" t="s">
        <v>2466</v>
      </c>
      <c r="J6" s="783">
        <f ca="1">ROUND(M6*M8*M7*(1-M9)/10000,0)</f>
        <v>0</v>
      </c>
      <c r="K6" s="341" t="s">
        <v>636</v>
      </c>
      <c r="L6" s="784" t="s">
        <v>637</v>
      </c>
      <c r="M6" s="785">
        <f ca="1">INDIRECT("'数据-取费表'!z"&amp;$G$1)</f>
        <v>0</v>
      </c>
    </row>
    <row r="7" spans="1:33" ht="18" customHeight="1">
      <c r="A7" s="2524"/>
      <c r="B7" s="3428"/>
      <c r="C7" s="788"/>
      <c r="D7" s="789"/>
      <c r="E7" s="784" t="s">
        <v>638</v>
      </c>
      <c r="F7" s="785">
        <f ca="1">IF(INDIRECT("'数据-取费表'!ah"&amp;$G$1)="",INDIRECT("'数据-取费表'!k"&amp;$G$1),INDIRECT("'数据-取费表'!ah"&amp;$G$1))</f>
        <v>107.32</v>
      </c>
      <c r="G7" s="1591"/>
      <c r="H7" s="2513"/>
      <c r="I7" s="3428"/>
      <c r="J7" s="788"/>
      <c r="K7" s="789"/>
      <c r="L7" s="784" t="s">
        <v>638</v>
      </c>
      <c r="M7" s="785">
        <f ca="1">F7</f>
        <v>107.32</v>
      </c>
    </row>
    <row r="8" spans="1:33" ht="18" customHeight="1">
      <c r="A8" s="2517"/>
      <c r="B8" s="3429"/>
      <c r="C8" s="788"/>
      <c r="D8" s="789"/>
      <c r="E8" s="784" t="s">
        <v>639</v>
      </c>
      <c r="F8" s="785">
        <f ca="1">INDIRECT("'数据-取费表'!ai"&amp;$G$1)</f>
        <v>365</v>
      </c>
      <c r="G8" s="1591"/>
      <c r="H8" s="2513"/>
      <c r="I8" s="3429"/>
      <c r="J8" s="788"/>
      <c r="K8" s="789"/>
      <c r="L8" s="784" t="s">
        <v>639</v>
      </c>
      <c r="M8" s="785">
        <f ca="1">INDIRECT("'数据-取费表'!ai"&amp;$G$1)</f>
        <v>365</v>
      </c>
    </row>
    <row r="9" spans="1:33" ht="18" customHeight="1">
      <c r="A9" s="786"/>
      <c r="B9" s="3430"/>
      <c r="C9" s="788"/>
      <c r="D9" s="789"/>
      <c r="E9" s="784" t="s">
        <v>640</v>
      </c>
      <c r="F9" s="794">
        <f ca="1">INDIRECT("'数据-取费表'!w"&amp;$G$1)</f>
        <v>0.1</v>
      </c>
      <c r="G9" s="1591"/>
      <c r="H9" s="2529"/>
      <c r="I9" s="3429"/>
      <c r="J9" s="788"/>
      <c r="K9" s="789"/>
      <c r="L9" s="795" t="s">
        <v>640</v>
      </c>
      <c r="M9" s="796">
        <f ca="1">INDIRECT("'数据-取费表'!ab"&amp;$G$1)</f>
        <v>0</v>
      </c>
    </row>
    <row r="10" spans="1:33" ht="18" customHeight="1">
      <c r="A10" s="1830" t="s">
        <v>1825</v>
      </c>
      <c r="B10" s="2518" t="s">
        <v>2462</v>
      </c>
      <c r="C10" s="799">
        <f ca="1">ROUND(IF(F10="押一",C6/12*F11,IF(F10="押二",C6/12*2*F11,IF(F10="押三",C6/12*3*F11,C11*F11))),0)</f>
        <v>0</v>
      </c>
      <c r="D10" s="2525" t="s">
        <v>2980</v>
      </c>
      <c r="E10" s="2522" t="s">
        <v>2467</v>
      </c>
      <c r="F10" s="2645" t="s">
        <v>3062</v>
      </c>
      <c r="G10" s="1591"/>
      <c r="H10" s="2585" t="s">
        <v>1825</v>
      </c>
      <c r="I10" s="2590" t="s">
        <v>2462</v>
      </c>
      <c r="J10" s="783">
        <f ca="1">ROUND(IF(M10="押一",J6/12*M11,IF(M10="押二",J6/12*2*M11,IF(M10="押三",J6/12*3*M11,J11*M11))),0)</f>
        <v>0</v>
      </c>
      <c r="K10" s="2525" t="s">
        <v>2980</v>
      </c>
      <c r="L10" s="2522" t="s">
        <v>2467</v>
      </c>
      <c r="M10" s="2645"/>
    </row>
    <row r="11" spans="1:33" ht="18" customHeight="1">
      <c r="A11" s="790"/>
      <c r="B11" s="2519" t="s">
        <v>2576</v>
      </c>
      <c r="C11" s="2523"/>
      <c r="D11" s="789"/>
      <c r="E11" s="2522" t="s">
        <v>2459</v>
      </c>
      <c r="F11" s="796">
        <f ca="1">'数据-取费表'!B39</f>
        <v>1.4999999999999999E-2</v>
      </c>
      <c r="G11" s="1591"/>
      <c r="H11" s="2586"/>
      <c r="I11" s="2519" t="s">
        <v>2576</v>
      </c>
      <c r="J11" s="2523"/>
      <c r="K11" s="2587"/>
      <c r="L11" s="2522" t="s">
        <v>2459</v>
      </c>
      <c r="M11" s="2516">
        <f ca="1">'数据-取费表'!B39</f>
        <v>1.4999999999999999E-2</v>
      </c>
    </row>
    <row r="12" spans="1:33" ht="18" customHeight="1" thickBot="1">
      <c r="A12" s="2561" t="s">
        <v>2470</v>
      </c>
      <c r="B12" s="2562" t="s">
        <v>2463</v>
      </c>
      <c r="C12" s="2563"/>
      <c r="D12" s="2564"/>
      <c r="E12" s="2565"/>
      <c r="F12" s="2566"/>
      <c r="G12" s="1591"/>
      <c r="H12" s="2575" t="s">
        <v>2470</v>
      </c>
      <c r="I12" s="2588" t="s">
        <v>2463</v>
      </c>
      <c r="J12" s="2589"/>
      <c r="K12" s="2564"/>
      <c r="L12" s="2565"/>
      <c r="M12" s="2578"/>
    </row>
    <row r="13" spans="1:33" ht="18" customHeight="1" thickTop="1">
      <c r="A13" s="1829">
        <v>2</v>
      </c>
      <c r="B13" s="1827" t="s">
        <v>644</v>
      </c>
      <c r="C13" s="792">
        <f ca="1">ROUND(C29*F13,0)</f>
        <v>55</v>
      </c>
      <c r="D13" s="1834" t="s">
        <v>2299</v>
      </c>
      <c r="E13" s="1834" t="s">
        <v>643</v>
      </c>
      <c r="F13" s="2560">
        <f ca="1">INDIRECT("'数据-取费表'!y"&amp;$G$1)</f>
        <v>1</v>
      </c>
      <c r="G13" s="1591"/>
      <c r="H13" s="1829">
        <v>2</v>
      </c>
      <c r="I13" s="1827" t="s">
        <v>644</v>
      </c>
      <c r="J13" s="1819">
        <f ca="1">ROUND(J14*J15,0)</f>
        <v>0</v>
      </c>
      <c r="K13" s="1821" t="s">
        <v>642</v>
      </c>
      <c r="L13" s="2576"/>
      <c r="M13" s="2577"/>
    </row>
    <row r="14" spans="1:33" ht="18" customHeight="1">
      <c r="A14" s="1647" t="s">
        <v>1831</v>
      </c>
      <c r="B14" s="784" t="s">
        <v>645</v>
      </c>
      <c r="C14" s="804">
        <f ca="1">INDIRECT("'数据-取费表'!m"&amp;$G$1)+INDIRECT("'数据-取费表'!t"&amp;$G$1)</f>
        <v>35</v>
      </c>
      <c r="D14" s="3181" t="s">
        <v>646</v>
      </c>
      <c r="E14" s="3180"/>
      <c r="F14" s="805"/>
      <c r="G14" s="1591"/>
      <c r="H14" s="1648" t="s">
        <v>1824</v>
      </c>
      <c r="I14" s="2231" t="s">
        <v>2827</v>
      </c>
      <c r="J14" s="53">
        <f ca="1">C29</f>
        <v>55</v>
      </c>
      <c r="K14" s="26"/>
      <c r="L14" s="801"/>
      <c r="M14" s="802"/>
    </row>
    <row r="15" spans="1:33" s="2064" customFormat="1" ht="18" customHeight="1" thickBot="1">
      <c r="A15" s="1647" t="s">
        <v>1832</v>
      </c>
      <c r="B15" s="784" t="s">
        <v>647</v>
      </c>
      <c r="C15" s="53">
        <f ca="1">ROUND(C14*F15,0)</f>
        <v>1</v>
      </c>
      <c r="D15" s="806" t="s">
        <v>648</v>
      </c>
      <c r="E15" s="806" t="s">
        <v>649</v>
      </c>
      <c r="F15" s="807">
        <f>'数据-取费表'!B33</f>
        <v>0.03</v>
      </c>
      <c r="G15" s="1592"/>
      <c r="H15" s="2575" t="s">
        <v>1889</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650</v>
      </c>
      <c r="C16" s="53">
        <f ca="1">ROUND(INDIRECT("'数据-取费表'!m"&amp;$G$1)*F16,0)</f>
        <v>0</v>
      </c>
      <c r="D16" s="784" t="s">
        <v>648</v>
      </c>
      <c r="E16" s="784" t="s">
        <v>649</v>
      </c>
      <c r="F16" s="809">
        <f ca="1">IF(INDIRECT("'数据-取费表'!c"&amp;$G$1)="住宅",'数据-取费表'!B34,0)</f>
        <v>0</v>
      </c>
      <c r="G16" s="1591"/>
      <c r="H16" s="1829" t="s">
        <v>1748</v>
      </c>
      <c r="I16" s="1827" t="s">
        <v>651</v>
      </c>
      <c r="J16" s="792">
        <f ca="1">ROUND(J17+J22+J23+J24,0)</f>
        <v>2</v>
      </c>
      <c r="K16" s="1821" t="s">
        <v>652</v>
      </c>
      <c r="L16" s="3184"/>
      <c r="M16" s="2515"/>
    </row>
    <row r="17" spans="1:33" s="2064" customFormat="1" ht="18" customHeight="1">
      <c r="A17" s="1647" t="s">
        <v>1887</v>
      </c>
      <c r="B17" s="784" t="s">
        <v>653</v>
      </c>
      <c r="C17" s="53">
        <f ca="1">ROUND(F17*(F43+INDIRECT("'数据-取费表'!S"&amp;$G$1))/10000,0)</f>
        <v>2</v>
      </c>
      <c r="D17" s="784" t="s">
        <v>654</v>
      </c>
      <c r="E17" s="784" t="s">
        <v>655</v>
      </c>
      <c r="F17" s="56">
        <f>'数据-取费表'!B35</f>
        <v>200</v>
      </c>
      <c r="G17" s="1592"/>
      <c r="H17" s="1648" t="s">
        <v>1824</v>
      </c>
      <c r="I17" s="784" t="s">
        <v>656</v>
      </c>
      <c r="J17" s="53">
        <f ca="1">ROUND(IF(项目基本情况!B11="自然人",J5*M17,J18+J19+J20),0)</f>
        <v>1</v>
      </c>
      <c r="K17" s="3181" t="s">
        <v>657</v>
      </c>
      <c r="L17" s="3182" t="s">
        <v>658</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v>
      </c>
      <c r="D18" s="784" t="s">
        <v>648</v>
      </c>
      <c r="E18" s="784" t="s">
        <v>649</v>
      </c>
      <c r="F18" s="809">
        <f>'数据-取费表'!B36</f>
        <v>1.4999999999999999E-2</v>
      </c>
      <c r="G18" s="1592"/>
      <c r="H18" s="1647" t="s">
        <v>1831</v>
      </c>
      <c r="I18" s="784" t="s">
        <v>660</v>
      </c>
      <c r="J18" s="53">
        <f ca="1">ROUND(J5*M18/1.05,1)</f>
        <v>0</v>
      </c>
      <c r="K18" s="3182" t="s">
        <v>661</v>
      </c>
      <c r="L18" s="784" t="s">
        <v>649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662</v>
      </c>
      <c r="C19" s="53">
        <f ca="1">SUM(C14:C18)</f>
        <v>39</v>
      </c>
      <c r="D19" s="261" t="s">
        <v>663</v>
      </c>
      <c r="E19" s="3185"/>
      <c r="F19" s="56"/>
      <c r="G19" s="1591"/>
      <c r="H19" s="1647" t="s">
        <v>1832</v>
      </c>
      <c r="I19" s="784" t="s">
        <v>664</v>
      </c>
      <c r="J19" s="53">
        <f ca="1">IF(K19="按租金收入计税",ROUND(J5*M19,1),ROUND(C29*F33*0.7,1))</f>
        <v>0.5</v>
      </c>
      <c r="K19" s="811" t="s">
        <v>665</v>
      </c>
      <c r="L19" s="784" t="s">
        <v>649</v>
      </c>
      <c r="M19" s="809">
        <f>IF(K19="按租金收入计税",'数据-取费表'!B51,'数据-取费表'!B50)</f>
        <v>1.2E-2</v>
      </c>
    </row>
    <row r="20" spans="1:33" s="2064" customFormat="1" ht="18" customHeight="1">
      <c r="A20" s="1648" t="s">
        <v>1889</v>
      </c>
      <c r="B20" s="784" t="s">
        <v>666</v>
      </c>
      <c r="C20" s="53">
        <f ca="1">ROUND(C19*F20,0)</f>
        <v>1</v>
      </c>
      <c r="D20" s="812" t="s">
        <v>667</v>
      </c>
      <c r="E20" s="784" t="s">
        <v>649</v>
      </c>
      <c r="F20" s="809">
        <f>'数据-取费表'!B37</f>
        <v>0.02</v>
      </c>
      <c r="G20" s="1592"/>
      <c r="H20" s="1650" t="s">
        <v>1880</v>
      </c>
      <c r="I20" s="341" t="s">
        <v>668</v>
      </c>
      <c r="J20" s="54">
        <f ca="1">ROUND(M20*M21/10000,0)</f>
        <v>0</v>
      </c>
      <c r="K20" s="814" t="s">
        <v>669</v>
      </c>
      <c r="L20" s="784" t="s">
        <v>670</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671</v>
      </c>
      <c r="C21" s="53" t="s">
        <v>1</v>
      </c>
      <c r="D21" s="812" t="s">
        <v>2300</v>
      </c>
      <c r="E21" s="784" t="s">
        <v>673</v>
      </c>
      <c r="F21" s="809">
        <f>'数据-取费表'!B38</f>
        <v>0.02</v>
      </c>
      <c r="G21" s="1592"/>
      <c r="H21" s="2530"/>
      <c r="I21" s="793"/>
      <c r="J21" s="69"/>
      <c r="K21" s="816"/>
      <c r="L21" s="784" t="s">
        <v>674</v>
      </c>
      <c r="M21" s="785">
        <f ca="1">INDIRECT("'数据-取费表'!r"&amp;$G$1)</f>
        <v>34.57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675</v>
      </c>
      <c r="C22" s="53"/>
      <c r="D22" s="2596" t="str">
        <f>IF(F23&lt;=1,"单利计息。","复利计息。")&amp;"建造成本、管理费用、销售费用产生的利息。"</f>
        <v>复利计息。建造成本、管理费用、销售费用产生的利息。</v>
      </c>
      <c r="E22" s="3185"/>
      <c r="F22" s="56"/>
      <c r="G22" s="1591"/>
      <c r="H22" s="1648" t="s">
        <v>1889</v>
      </c>
      <c r="I22" s="784" t="s">
        <v>676</v>
      </c>
      <c r="J22" s="53">
        <f ca="1">ROUND(J14*M22,0)</f>
        <v>1</v>
      </c>
      <c r="K22" s="3182" t="s">
        <v>677</v>
      </c>
      <c r="L22" s="784" t="s">
        <v>649</v>
      </c>
      <c r="M22" s="817">
        <f ca="1">INDIRECT("'数据-取费表'!Ak"&amp;$G$1)</f>
        <v>1.4999999999999999E-2</v>
      </c>
    </row>
    <row r="23" spans="1:33" s="2064" customFormat="1" ht="18" customHeight="1">
      <c r="A23" s="1647" t="s">
        <v>1831</v>
      </c>
      <c r="B23" s="784" t="s">
        <v>2440</v>
      </c>
      <c r="C23" s="53">
        <f ca="1">ROUND(IF('数据-取费表'!B22&lt;=1,(C19+C20)*F24*F23/2,(C19+C20)*(POWER((1+F24),F23/2)-1)),0)</f>
        <v>3</v>
      </c>
      <c r="D23" s="2595" t="str">
        <f>IF(F23&lt;=1,"(建造成本+管理费用)×利率×(建设周期÷2)","(建造成本+管理费用)×((1+利率)^(建设周期÷2)-1)")</f>
        <v>(建造成本+管理费用)×((1+利率)^(建设周期÷2)-1)</v>
      </c>
      <c r="E23" s="784" t="s">
        <v>678</v>
      </c>
      <c r="F23" s="640">
        <f>'数据-取费表'!B20</f>
        <v>3</v>
      </c>
      <c r="G23" s="1592"/>
      <c r="H23" s="1648" t="s">
        <v>1890</v>
      </c>
      <c r="I23" s="784" t="s">
        <v>679</v>
      </c>
      <c r="J23" s="53">
        <f ca="1">ROUND(J13*M23,0)</f>
        <v>0</v>
      </c>
      <c r="K23" s="3182" t="s">
        <v>680</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681</v>
      </c>
      <c r="C24" s="53">
        <f ca="1">ROUND(IF('数据-取费表'!B22&lt;=1,F21*F24*F23/2,F21*(POWER((1+F24),F23/2)-1)),4)</f>
        <v>1.4E-3</v>
      </c>
      <c r="D24" s="2595" t="str">
        <f>IF(F23&lt;=1,"销售费用×利率×(建设周期÷2)","销售费用×((1+利率)^(建设周期÷2)-1)")</f>
        <v>销售费用×((1+利率)^(建设周期÷2)-1)</v>
      </c>
      <c r="E24" s="784" t="s">
        <v>682</v>
      </c>
      <c r="F24" s="819">
        <f ca="1">'数据-取费表'!B40</f>
        <v>4.7500000000000001E-2</v>
      </c>
      <c r="G24" s="1592"/>
      <c r="H24" s="2575" t="s">
        <v>1891</v>
      </c>
      <c r="I24" s="2570" t="s">
        <v>666</v>
      </c>
      <c r="J24" s="2568">
        <f ca="1">ROUND(J5*M24,0)</f>
        <v>0</v>
      </c>
      <c r="K24" s="2569" t="s">
        <v>683</v>
      </c>
      <c r="L24" s="2570" t="s">
        <v>649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1" t="s">
        <v>685</v>
      </c>
      <c r="E25" s="3185"/>
      <c r="F25" s="56"/>
      <c r="G25" s="1591"/>
      <c r="H25" s="1829" t="s">
        <v>1776</v>
      </c>
      <c r="I25" s="3034" t="s">
        <v>2824</v>
      </c>
      <c r="J25" s="792">
        <f ca="1">J5-J16</f>
        <v>-2</v>
      </c>
      <c r="K25" s="2572" t="s">
        <v>700</v>
      </c>
      <c r="L25" s="2573"/>
      <c r="M25" s="2574"/>
    </row>
    <row r="26" spans="1:33" ht="18" customHeight="1">
      <c r="A26" s="1647" t="s">
        <v>1831</v>
      </c>
      <c r="B26" s="784" t="s">
        <v>2441</v>
      </c>
      <c r="C26" s="53">
        <f ca="1">ROUND((C19+C20)*F26,0)</f>
        <v>8</v>
      </c>
      <c r="D26" s="812" t="s">
        <v>701</v>
      </c>
      <c r="E26" s="795" t="s">
        <v>702</v>
      </c>
      <c r="F26" s="794">
        <f ca="1">INDIRECT("'数据-取费表'!q"&amp;$G$1)</f>
        <v>0.2</v>
      </c>
      <c r="G26" s="1591"/>
      <c r="H26" s="2526" t="s">
        <v>1780</v>
      </c>
      <c r="I26" s="2232" t="s">
        <v>2829</v>
      </c>
      <c r="J26" s="783">
        <f ca="1">IF(J5&lt;&gt;0,ROUND(J25*(1-((1+M28)/(1+M26))^M27)/(M26-M28),0),0)</f>
        <v>0</v>
      </c>
      <c r="K26" s="814" t="s">
        <v>704</v>
      </c>
      <c r="L26" s="784" t="s">
        <v>2422</v>
      </c>
      <c r="M26" s="794">
        <f ca="1">INDIRECT("'数据-取费表'!I"&amp;$G$1)</f>
        <v>0.06</v>
      </c>
    </row>
    <row r="27" spans="1:33" ht="18" customHeight="1">
      <c r="A27" s="1647" t="s">
        <v>1832</v>
      </c>
      <c r="B27" s="784" t="s">
        <v>686</v>
      </c>
      <c r="C27" s="53">
        <f ca="1">ROUND(F21*F26,4)</f>
        <v>4.0000000000000001E-3</v>
      </c>
      <c r="D27" s="812" t="s">
        <v>706</v>
      </c>
      <c r="E27" s="806"/>
      <c r="F27" s="807"/>
      <c r="G27" s="1591"/>
      <c r="H27" s="2527"/>
      <c r="I27" s="787"/>
      <c r="J27" s="788"/>
      <c r="K27" s="821" t="s">
        <v>707</v>
      </c>
      <c r="L27" s="784" t="s">
        <v>708</v>
      </c>
      <c r="M27" s="822">
        <f ca="1">INDIRECT("'数据-取费表'!ag"&amp;$G$1)</f>
        <v>0</v>
      </c>
    </row>
    <row r="28" spans="1:33" s="2064" customFormat="1" ht="18" customHeight="1">
      <c r="A28" s="1649" t="s">
        <v>1841</v>
      </c>
      <c r="B28" s="784" t="s">
        <v>687</v>
      </c>
      <c r="C28" s="53">
        <f>ROUND(F28/(1+'数据-取费表'!C42),4)</f>
        <v>5.33E-2</v>
      </c>
      <c r="D28" s="812" t="s">
        <v>2301</v>
      </c>
      <c r="E28" s="784" t="s">
        <v>649</v>
      </c>
      <c r="F28" s="809">
        <f>'数据-取费表'!B41</f>
        <v>5.6000000000000001E-2</v>
      </c>
      <c r="G28" s="1592"/>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2302</v>
      </c>
      <c r="C29" s="2568">
        <f ca="1">ROUND((C19+C20+C23+C26)/(1-F21-C24-C27-C28),0)</f>
        <v>55</v>
      </c>
      <c r="D29" s="2569"/>
      <c r="E29" s="2570"/>
      <c r="F29" s="2571"/>
      <c r="G29" s="1592"/>
      <c r="H29" s="823" t="s">
        <v>1787</v>
      </c>
      <c r="I29" s="824" t="s">
        <v>1788</v>
      </c>
      <c r="J29" s="825">
        <f ca="1">ROUND(J26/(1+F40)^F41,0)</f>
        <v>0</v>
      </c>
      <c r="K29" s="826" t="s">
        <v>1789</v>
      </c>
      <c r="L29" s="827"/>
      <c r="M29" s="828">
        <f ca="1">INDIRECT("'数据-取费表'!k"&amp;$G$1)</f>
        <v>107.32</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651</v>
      </c>
      <c r="C30" s="792">
        <f ca="1">ROUND(C31+C36+C37+C38,0)</f>
        <v>2</v>
      </c>
      <c r="D30" s="1821" t="s">
        <v>652</v>
      </c>
      <c r="E30" s="3184"/>
      <c r="F30" s="2515"/>
      <c r="G30" s="2062"/>
      <c r="H30" s="2065"/>
      <c r="I30" s="2066"/>
      <c r="J30" s="2067"/>
      <c r="K30" s="2068"/>
      <c r="L30" s="2069"/>
      <c r="M30" s="2070"/>
    </row>
    <row r="31" spans="1:33" ht="18" customHeight="1">
      <c r="A31" s="1648" t="s">
        <v>1824</v>
      </c>
      <c r="B31" s="784" t="s">
        <v>656</v>
      </c>
      <c r="C31" s="53">
        <f ca="1">ROUND(IF(项目基本情况!B11="自然人",C5*F31,C32+C33+C34),1)</f>
        <v>1.1000000000000001</v>
      </c>
      <c r="D31" s="3181" t="s">
        <v>657</v>
      </c>
      <c r="E31" s="3182"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660</v>
      </c>
      <c r="C32" s="53">
        <f ca="1">ROUND(C5*F32/1.05,1)</f>
        <v>0.6</v>
      </c>
      <c r="D32" s="3182" t="s">
        <v>661</v>
      </c>
      <c r="E32" s="784" t="s">
        <v>649</v>
      </c>
      <c r="F32" s="809">
        <f>'数据-取费表'!B41</f>
        <v>5.6000000000000001E-2</v>
      </c>
      <c r="G32" s="2062"/>
      <c r="H32" s="2071"/>
      <c r="I32" s="2072"/>
      <c r="J32" s="2073"/>
      <c r="K32" s="2074"/>
      <c r="L32" s="2075"/>
      <c r="M32" s="2076"/>
    </row>
    <row r="33" spans="1:18" ht="18" customHeight="1">
      <c r="A33" s="1647" t="s">
        <v>1832</v>
      </c>
      <c r="B33" s="784" t="s">
        <v>664</v>
      </c>
      <c r="C33" s="53">
        <f ca="1">IF(D33="按租金收入计税",ROUND(C5*F33,1),IF(D33="按房产原值计税",ROUND(C29*F33*0.7,1),INDIRECT("'数据-取费表'!Aj"&amp;$G$1)))</f>
        <v>0.5</v>
      </c>
      <c r="D33" s="811" t="s">
        <v>1681</v>
      </c>
      <c r="E33" s="784" t="s">
        <v>649</v>
      </c>
      <c r="F33" s="809">
        <f>IF(D33="按租金收入计税",'数据-取费表'!B51,'数据-取费表'!B50)</f>
        <v>1.2E-2</v>
      </c>
      <c r="G33" s="2062"/>
      <c r="H33" s="2077"/>
      <c r="I33" s="2077"/>
      <c r="J33" s="2077"/>
      <c r="K33" s="2078"/>
      <c r="L33" s="2077"/>
      <c r="M33" s="2077"/>
    </row>
    <row r="34" spans="1:18" ht="18" customHeight="1">
      <c r="A34" s="1650" t="s">
        <v>1833</v>
      </c>
      <c r="B34" s="341" t="s">
        <v>668</v>
      </c>
      <c r="C34" s="54">
        <f ca="1">ROUND(F34*F35/10000,1)</f>
        <v>0</v>
      </c>
      <c r="D34" s="814" t="s">
        <v>669</v>
      </c>
      <c r="E34" s="784" t="s">
        <v>670</v>
      </c>
      <c r="F34" s="640">
        <f>'数据-取费表'!B52</f>
        <v>3</v>
      </c>
      <c r="G34" s="2062"/>
      <c r="H34" s="2065"/>
      <c r="I34" s="835" t="s">
        <v>1813</v>
      </c>
      <c r="J34" s="836"/>
      <c r="K34" s="2080"/>
      <c r="L34" s="2079"/>
      <c r="M34" s="2079"/>
    </row>
    <row r="35" spans="1:18" ht="18" customHeight="1">
      <c r="A35" s="815"/>
      <c r="B35" s="793"/>
      <c r="C35" s="69"/>
      <c r="D35" s="816"/>
      <c r="E35" s="784" t="s">
        <v>674</v>
      </c>
      <c r="F35" s="785">
        <f ca="1">INDIRECT("'数据-取费表'!r"&amp;$G$1)</f>
        <v>34.57</v>
      </c>
      <c r="G35" s="2062"/>
      <c r="H35" s="2065"/>
      <c r="I35" s="837" t="s">
        <v>1814</v>
      </c>
      <c r="J35" s="838">
        <f ca="1">ROUND(C13*J36,0)</f>
        <v>5</v>
      </c>
      <c r="K35" s="2078"/>
      <c r="L35" s="2077"/>
      <c r="M35" s="2077"/>
    </row>
    <row r="36" spans="1:18" ht="18" customHeight="1">
      <c r="A36" s="1648" t="s">
        <v>1889</v>
      </c>
      <c r="B36" s="784" t="s">
        <v>676</v>
      </c>
      <c r="C36" s="53">
        <f ca="1">ROUND(C29*F36,1)</f>
        <v>0.8</v>
      </c>
      <c r="D36" s="3182" t="s">
        <v>691</v>
      </c>
      <c r="E36" s="784" t="s">
        <v>649</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679</v>
      </c>
      <c r="C37" s="53">
        <f ca="1">ROUND(C13*F37,1)</f>
        <v>0.1</v>
      </c>
      <c r="D37" s="3182" t="s">
        <v>680</v>
      </c>
      <c r="E37" s="784" t="s">
        <v>649</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0.1</v>
      </c>
      <c r="D38" s="2569" t="s">
        <v>683</v>
      </c>
      <c r="E38" s="2570" t="s">
        <v>649</v>
      </c>
      <c r="F38" s="2566">
        <f ca="1">INDIRECT("'数据-取费表'!Am"&amp;$G$1)</f>
        <v>0.01</v>
      </c>
      <c r="G38" s="2062"/>
      <c r="H38" s="2077"/>
      <c r="I38" s="843" t="s">
        <v>1817</v>
      </c>
      <c r="J38" s="844"/>
      <c r="K38" s="2083"/>
      <c r="L38" s="2077"/>
      <c r="M38" s="2077"/>
    </row>
    <row r="39" spans="1:18" ht="24.6" customHeight="1" thickTop="1">
      <c r="A39" s="1829" t="s">
        <v>1776</v>
      </c>
      <c r="B39" s="3034" t="s">
        <v>2824</v>
      </c>
      <c r="C39" s="792">
        <f ca="1">C5-C30</f>
        <v>10</v>
      </c>
      <c r="D39" s="2572" t="s">
        <v>700</v>
      </c>
      <c r="E39" s="2573"/>
      <c r="F39" s="2574"/>
      <c r="G39" s="2062"/>
      <c r="H39" s="2077"/>
      <c r="I39" s="837" t="s">
        <v>1818</v>
      </c>
      <c r="J39" s="845">
        <f ca="1">ROUND(J35/C39,3)</f>
        <v>0.5</v>
      </c>
      <c r="K39" s="2083"/>
      <c r="L39" s="2077"/>
      <c r="M39" s="2077"/>
    </row>
    <row r="40" spans="1:18" ht="18" customHeight="1">
      <c r="A40" s="781" t="s">
        <v>1780</v>
      </c>
      <c r="B40" s="2232" t="s">
        <v>2303</v>
      </c>
      <c r="C40" s="783">
        <f ca="1">ROUND(C39*(1-((1+F42)/(1+F40))^F41)/(F40-F42),0)</f>
        <v>217</v>
      </c>
      <c r="D40" s="814" t="s">
        <v>704</v>
      </c>
      <c r="E40" s="784" t="s">
        <v>2422</v>
      </c>
      <c r="F40" s="794">
        <f ca="1">INDIRECT("'数据-取费表'!I"&amp;$G$1)</f>
        <v>0.06</v>
      </c>
      <c r="G40" s="2062"/>
      <c r="H40" s="2062"/>
      <c r="I40" s="837" t="s">
        <v>1819</v>
      </c>
      <c r="J40" s="845">
        <f ca="1">1-J39</f>
        <v>0.5</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36.630000000000003</v>
      </c>
      <c r="G41" s="2062"/>
      <c r="H41" s="1988"/>
      <c r="I41" s="843" t="s">
        <v>1820</v>
      </c>
      <c r="J41" s="846"/>
      <c r="K41" s="2082"/>
      <c r="L41" s="1988"/>
      <c r="M41" s="1988"/>
    </row>
    <row r="42" spans="1:18" ht="18" customHeight="1">
      <c r="A42" s="790"/>
      <c r="B42" s="791"/>
      <c r="C42" s="792"/>
      <c r="D42" s="816"/>
      <c r="E42" s="784" t="s">
        <v>710</v>
      </c>
      <c r="F42" s="794">
        <f ca="1">INDIRECT("'数据-取费表'!v"&amp;$G$1)</f>
        <v>0.03</v>
      </c>
      <c r="G42" s="2062"/>
      <c r="H42" s="1988"/>
      <c r="I42" s="847" t="s">
        <v>1821</v>
      </c>
      <c r="J42" s="845">
        <f ca="1">ROUND(C13/C40,3)</f>
        <v>0.253</v>
      </c>
      <c r="K42" s="2082"/>
      <c r="L42" s="1988"/>
      <c r="M42" s="1988"/>
    </row>
    <row r="43" spans="1:18" ht="18" customHeight="1" thickBot="1">
      <c r="A43" s="823" t="s">
        <v>1787</v>
      </c>
      <c r="B43" s="824" t="s">
        <v>1810</v>
      </c>
      <c r="C43" s="825">
        <f ca="1">ROUND(C40*10000/F43,0)</f>
        <v>20220</v>
      </c>
      <c r="D43" s="826" t="s">
        <v>1811</v>
      </c>
      <c r="E43" s="827" t="s">
        <v>1812</v>
      </c>
      <c r="F43" s="828">
        <f ca="1">INDIRECT("'数据-取费表'!k"&amp;$G$1)</f>
        <v>107.32</v>
      </c>
      <c r="G43" s="2062"/>
      <c r="H43" s="1988"/>
      <c r="I43" s="847" t="s">
        <v>1822</v>
      </c>
      <c r="J43" s="848">
        <f ca="1">1-J42</f>
        <v>0.747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f ca="1">C67-C40</f>
        <v>-232</v>
      </c>
      <c r="D46" s="2085"/>
      <c r="E46" s="2085"/>
      <c r="F46" s="2085"/>
      <c r="I46" s="2378" t="s">
        <v>2345</v>
      </c>
      <c r="J46" s="2379"/>
      <c r="K46" s="2380"/>
      <c r="L46" s="2381">
        <f>IF(OR(M47="住宅",D1="土地（套用方法）"),0,IF(L48&gt;J51,L60,J60))</f>
        <v>0</v>
      </c>
      <c r="O46" s="2418" t="s">
        <v>2413</v>
      </c>
      <c r="P46" s="1591"/>
      <c r="Q46" s="1603"/>
      <c r="R46" s="1591"/>
    </row>
    <row r="47" spans="1:18" s="2059" customFormat="1" ht="18" customHeight="1" thickBot="1">
      <c r="A47" s="2372">
        <v>1</v>
      </c>
      <c r="B47" s="2373" t="s">
        <v>635</v>
      </c>
      <c r="C47" s="2598">
        <f ca="1">C48+C52+C54</f>
        <v>0</v>
      </c>
      <c r="D47" s="2085"/>
      <c r="E47" s="2085"/>
      <c r="F47" s="2085"/>
      <c r="I47" s="2382" t="s">
        <v>2346</v>
      </c>
      <c r="J47" s="2387" t="s">
        <v>3061</v>
      </c>
      <c r="K47" s="2388" t="s">
        <v>2352</v>
      </c>
      <c r="L47" s="2389">
        <f ca="1">INDIRECT("'数据-取费表'!d"&amp;$G$1)</f>
        <v>40</v>
      </c>
      <c r="M47" s="1603" t="str">
        <f>IF(ISNUMBER(FIND("住宅",C1)),"住宅","非住宅")</f>
        <v>非住宅</v>
      </c>
      <c r="O47" s="2419" t="s">
        <v>2378</v>
      </c>
      <c r="P47" s="2420" t="s">
        <v>2379</v>
      </c>
      <c r="Q47" s="2421" t="s">
        <v>2380</v>
      </c>
      <c r="R47" s="2420" t="s">
        <v>2381</v>
      </c>
    </row>
    <row r="48" spans="1:18" s="2059" customFormat="1" ht="18" customHeight="1" thickBot="1">
      <c r="A48" s="2666" t="s">
        <v>1870</v>
      </c>
      <c r="B48" s="2667" t="s">
        <v>2541</v>
      </c>
      <c r="C48" s="2374">
        <f ca="1">ROUND(F48*F50*F49*(1-F51)/10000,0)</f>
        <v>0</v>
      </c>
      <c r="D48" s="2375" t="s">
        <v>636</v>
      </c>
      <c r="E48" s="2376" t="s">
        <v>2298</v>
      </c>
      <c r="F48" s="2377"/>
      <c r="G48" s="2090"/>
      <c r="I48" s="2383" t="s">
        <v>2347</v>
      </c>
      <c r="J48" s="2390" t="s">
        <v>2353</v>
      </c>
      <c r="K48" s="2391" t="s">
        <v>2354</v>
      </c>
      <c r="L48" s="2392">
        <f ca="1">INDIRECT("'数据-取费表'!f"&amp;$G$1)</f>
        <v>39.630000000000003</v>
      </c>
      <c r="O48" s="2422" t="s">
        <v>2382</v>
      </c>
      <c r="P48" s="2423" t="s">
        <v>2408</v>
      </c>
      <c r="Q48" s="2424">
        <f ca="1">C40+J29</f>
        <v>217</v>
      </c>
      <c r="R48" s="2423" t="s">
        <v>2383</v>
      </c>
    </row>
    <row r="49" spans="1:18" s="2059" customFormat="1" ht="18" customHeight="1" thickBot="1">
      <c r="A49" s="786"/>
      <c r="B49" s="787"/>
      <c r="C49" s="788"/>
      <c r="D49" s="789"/>
      <c r="E49" s="784" t="s">
        <v>638</v>
      </c>
      <c r="F49" s="785">
        <f ca="1">F7</f>
        <v>107.32</v>
      </c>
      <c r="G49" s="2090"/>
      <c r="H49" s="2093"/>
      <c r="I49" s="2383" t="s">
        <v>2348</v>
      </c>
      <c r="J49" s="2393">
        <v>2021</v>
      </c>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639</v>
      </c>
      <c r="F50" s="785">
        <f ca="1">F8</f>
        <v>365</v>
      </c>
      <c r="G50" s="2095"/>
      <c r="H50" s="2093"/>
      <c r="I50" s="2383" t="s">
        <v>2349</v>
      </c>
      <c r="J50" s="2396">
        <f>SUMPRODUCT((I63:I65=J47)*(J62:L62=J48)*(J63:L65))</f>
        <v>60</v>
      </c>
      <c r="K50" s="2394" t="s">
        <v>2356</v>
      </c>
      <c r="L50" s="2395"/>
      <c r="O50" s="2425" t="s">
        <v>2386</v>
      </c>
      <c r="P50" s="2423" t="s">
        <v>2410</v>
      </c>
      <c r="Q50" s="2424">
        <f ca="1">C29</f>
        <v>55</v>
      </c>
      <c r="R50" s="2423" t="s">
        <v>2383</v>
      </c>
    </row>
    <row r="51" spans="1:18" s="2059" customFormat="1" ht="18" customHeight="1" thickBot="1">
      <c r="A51" s="786"/>
      <c r="B51" s="787"/>
      <c r="C51" s="788"/>
      <c r="D51" s="789"/>
      <c r="E51" s="784" t="s">
        <v>640</v>
      </c>
      <c r="F51" s="2371"/>
      <c r="H51" s="2093"/>
      <c r="I51" s="2384" t="s">
        <v>2350</v>
      </c>
      <c r="J51" s="2397">
        <f>IF(J49="",J50,J49+J50-YEAR('数据-取费表'!B2))</f>
        <v>63</v>
      </c>
      <c r="K51" s="2383" t="s">
        <v>2357</v>
      </c>
      <c r="L51" s="2398">
        <f ca="1">ROUND(-PV(INDIRECT("'数据-取费表'!h"&amp;$G$1),L48,(C39-C13*J36),0),0)</f>
        <v>85</v>
      </c>
      <c r="O51" s="2425" t="s">
        <v>2387</v>
      </c>
      <c r="P51" s="2423" t="s">
        <v>2388</v>
      </c>
      <c r="Q51" s="2426" t="e">
        <f ca="1">J58</f>
        <v>#VALUE!</v>
      </c>
      <c r="R51" s="2427"/>
    </row>
    <row r="52" spans="1:18" s="2059" customFormat="1" ht="18" customHeight="1" thickBot="1">
      <c r="A52" s="781" t="s">
        <v>2539</v>
      </c>
      <c r="B52" s="2518" t="s">
        <v>2462</v>
      </c>
      <c r="C52" s="799">
        <f ca="1">ROUND(IF(F52="押一",C48/12*F11,IF(F52="押二",C48/12*2*F11,IF(F52="押三",C48/12*3*F11,C53*F11))),0)</f>
        <v>0</v>
      </c>
      <c r="D52" s="2525" t="s">
        <v>2981</v>
      </c>
      <c r="E52" s="2522" t="s">
        <v>2467</v>
      </c>
      <c r="F52" s="2645"/>
      <c r="I52" s="2385" t="s">
        <v>2424</v>
      </c>
      <c r="J52" s="2399">
        <v>0.09</v>
      </c>
      <c r="K52" s="2385" t="s">
        <v>2423</v>
      </c>
      <c r="L52" s="2399"/>
      <c r="O52" s="2425" t="s">
        <v>2389</v>
      </c>
      <c r="P52" s="2423" t="s">
        <v>2390</v>
      </c>
      <c r="Q52" s="2426">
        <f>J52</f>
        <v>0.09</v>
      </c>
      <c r="R52" s="2427"/>
    </row>
    <row r="53" spans="1:18" s="2059" customFormat="1" ht="39.75" customHeight="1" thickBot="1">
      <c r="A53" s="786"/>
      <c r="B53" s="2519" t="s">
        <v>2576</v>
      </c>
      <c r="C53" s="2523"/>
      <c r="D53" s="2525"/>
      <c r="E53" s="2522"/>
      <c r="F53" s="800"/>
      <c r="I53" s="2386" t="s">
        <v>2351</v>
      </c>
      <c r="J53" s="2400">
        <f ca="1">IF(M47="住宅",J51,IF(D1="——",MIN(J51,L48),IF(D1="土地（套用方法）",MIN(J51,L48-'数据-取费表'!B20))))</f>
        <v>36.630000000000003</v>
      </c>
      <c r="K53" s="3443" t="s">
        <v>2972</v>
      </c>
      <c r="L53" s="3444"/>
      <c r="O53" s="2425" t="s">
        <v>2391</v>
      </c>
      <c r="P53" s="2423" t="s">
        <v>2392</v>
      </c>
      <c r="Q53" s="2424">
        <f ca="1">J53</f>
        <v>36.630000000000003</v>
      </c>
      <c r="R53" s="2423" t="s">
        <v>2393</v>
      </c>
    </row>
    <row r="54" spans="1:18" s="2059" customFormat="1" ht="18" customHeight="1" thickBot="1">
      <c r="A54" s="2561" t="s">
        <v>2470</v>
      </c>
      <c r="B54" s="2562" t="s">
        <v>2463</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217</v>
      </c>
      <c r="R54" s="2427" t="s">
        <v>2395</v>
      </c>
    </row>
    <row r="55" spans="1:18" s="2059" customFormat="1" ht="18" customHeight="1" thickTop="1" thickBot="1">
      <c r="A55" s="797">
        <v>2</v>
      </c>
      <c r="B55" s="798" t="s">
        <v>644</v>
      </c>
      <c r="C55" s="799">
        <f ca="1">C13</f>
        <v>55</v>
      </c>
      <c r="D55" s="795"/>
      <c r="E55" s="795"/>
      <c r="F55" s="800"/>
      <c r="I55" s="3125" t="s">
        <v>2358</v>
      </c>
      <c r="J55" s="3124" t="e">
        <f ca="1">ROUND(IF(J47="钢混",J57/J50,1-(1-2%)*(J50-J57)/J50),3)</f>
        <v>#VALUE!</v>
      </c>
      <c r="K55" s="2401" t="s">
        <v>2359</v>
      </c>
      <c r="L55" s="2402"/>
      <c r="O55" s="2428" t="s">
        <v>2414</v>
      </c>
      <c r="P55" s="1591"/>
      <c r="Q55" s="1603"/>
      <c r="R55" s="1591"/>
    </row>
    <row r="56" spans="1:18" s="2059" customFormat="1" ht="42.75" customHeight="1" thickBot="1">
      <c r="A56" s="1649"/>
      <c r="B56" s="2231" t="s">
        <v>2302</v>
      </c>
      <c r="C56" s="53">
        <f ca="1">C29</f>
        <v>55</v>
      </c>
      <c r="D56" s="3182"/>
      <c r="E56" s="784"/>
      <c r="F56" s="809"/>
      <c r="I56" s="2403" t="s">
        <v>2360</v>
      </c>
      <c r="J56" s="3148" t="s">
        <v>1679</v>
      </c>
      <c r="K56" s="2383" t="s">
        <v>2365</v>
      </c>
      <c r="L56" s="2392" t="str">
        <f ca="1">IF(L48&lt;J51,"——",L48-J51)</f>
        <v>——</v>
      </c>
      <c r="O56" s="2419" t="s">
        <v>2378</v>
      </c>
      <c r="P56" s="2420" t="s">
        <v>2379</v>
      </c>
      <c r="Q56" s="2421" t="s">
        <v>2380</v>
      </c>
      <c r="R56" s="2420" t="s">
        <v>2381</v>
      </c>
    </row>
    <row r="57" spans="1:18" s="2059" customFormat="1" ht="28.5" customHeight="1" thickBot="1">
      <c r="A57" s="797" t="s">
        <v>1748</v>
      </c>
      <c r="B57" s="798" t="s">
        <v>651</v>
      </c>
      <c r="C57" s="799">
        <f ca="1">ROUND(C58+C63+C64+C65,0)</f>
        <v>1</v>
      </c>
      <c r="D57" s="26" t="s">
        <v>652</v>
      </c>
      <c r="E57" s="3185"/>
      <c r="F57" s="56"/>
      <c r="I57" s="2404" t="s">
        <v>2361</v>
      </c>
      <c r="J57" s="2406" t="str">
        <f ca="1">IF(OR(M47="住宅",J51&lt;L48,J56="是"),"——",J51-L48)</f>
        <v>——</v>
      </c>
      <c r="K57" s="2383" t="s">
        <v>2366</v>
      </c>
      <c r="L57" s="2392" t="str">
        <f ca="1">IF(L48&lt;J51,"——",IF(L55="比较法",L49,IF(L55="基准地价",L50,L51)))</f>
        <v>——</v>
      </c>
      <c r="O57" s="2422" t="s">
        <v>2382</v>
      </c>
      <c r="P57" s="2423" t="s">
        <v>2408</v>
      </c>
      <c r="Q57" s="2424">
        <f ca="1">C40+J29</f>
        <v>217</v>
      </c>
      <c r="R57" s="2423" t="s">
        <v>2383</v>
      </c>
    </row>
    <row r="58" spans="1:18" s="2059" customFormat="1" ht="28.5" customHeight="1" thickBot="1">
      <c r="A58" s="1648" t="s">
        <v>1824</v>
      </c>
      <c r="B58" s="784" t="s">
        <v>656</v>
      </c>
      <c r="C58" s="53">
        <f ca="1">ROUND(IF(项目基本情况!B11="自然人",C47*F58,C59+C60+C61),1)</f>
        <v>0.5</v>
      </c>
      <c r="D58" s="3181" t="s">
        <v>657</v>
      </c>
      <c r="E58" s="3182" t="s">
        <v>690</v>
      </c>
      <c r="F58" s="810" t="str">
        <f ca="1">IF(项目基本情况!B11="企业","",IF(INDIRECT("'数据-取费表'!c"&amp;$G$1)="住宅",5%,IF(F48*F49*F50/12/(1+'数据-取费表'!C42)&gt;20000,12%,7%)))</f>
        <v/>
      </c>
      <c r="I58" s="2404" t="s">
        <v>2362</v>
      </c>
      <c r="J58" s="3126"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7" t="s">
        <v>1831</v>
      </c>
      <c r="B59" s="784" t="s">
        <v>660</v>
      </c>
      <c r="C59" s="53">
        <f ca="1">ROUND(C47*F59/1.05,1)</f>
        <v>0</v>
      </c>
      <c r="D59" s="3182" t="s">
        <v>661</v>
      </c>
      <c r="E59" s="784" t="s">
        <v>649</v>
      </c>
      <c r="F59" s="809">
        <f t="shared" ref="F59:F65" si="0">F32</f>
        <v>5.6000000000000001E-2</v>
      </c>
      <c r="I59" s="2404" t="s">
        <v>2363</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7" t="s">
        <v>1832</v>
      </c>
      <c r="B60" s="784" t="s">
        <v>664</v>
      </c>
      <c r="C60" s="53">
        <f ca="1">IF(D60="按租金收入计税",ROUND(C47*F60,1),IF(D60="按房产原值计税",ROUND(C56*F60*0.7,1),INDIRECT("'数据-取费表'!Aj"&amp;$G$1)))</f>
        <v>0.5</v>
      </c>
      <c r="D60" s="3182" t="str">
        <f>D33</f>
        <v>按房产原值计税</v>
      </c>
      <c r="E60" s="784" t="s">
        <v>649</v>
      </c>
      <c r="F60" s="809">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0" t="s">
        <v>1833</v>
      </c>
      <c r="B61" s="341" t="s">
        <v>668</v>
      </c>
      <c r="C61" s="54">
        <f ca="1">ROUND(F61*F62/10000,1)</f>
        <v>0</v>
      </c>
      <c r="D61" s="814" t="s">
        <v>669</v>
      </c>
      <c r="E61" s="784" t="s">
        <v>670</v>
      </c>
      <c r="F61" s="640">
        <f t="shared" si="0"/>
        <v>3</v>
      </c>
      <c r="K61" s="2086"/>
      <c r="O61" s="2425" t="s">
        <v>2389</v>
      </c>
      <c r="P61" s="2423" t="s">
        <v>2397</v>
      </c>
      <c r="Q61" s="2424" t="e">
        <f ca="1">L58</f>
        <v>#DIV/0!</v>
      </c>
      <c r="R61" s="2427" t="s">
        <v>2398</v>
      </c>
    </row>
    <row r="62" spans="1:18" s="2059" customFormat="1" ht="15.75" thickBot="1">
      <c r="A62" s="815"/>
      <c r="B62" s="793"/>
      <c r="C62" s="69"/>
      <c r="D62" s="816"/>
      <c r="E62" s="784" t="s">
        <v>674</v>
      </c>
      <c r="F62" s="785">
        <f t="shared" ca="1" si="0"/>
        <v>34.57</v>
      </c>
      <c r="I62" s="2409" t="s">
        <v>2370</v>
      </c>
      <c r="J62" s="2410" t="s">
        <v>2371</v>
      </c>
      <c r="K62" s="2410" t="s">
        <v>2372</v>
      </c>
      <c r="L62" s="2410" t="s">
        <v>2353</v>
      </c>
      <c r="M62" s="3127" t="s">
        <v>2947</v>
      </c>
      <c r="O62" s="2425" t="s">
        <v>2391</v>
      </c>
      <c r="P62" s="2423" t="str">
        <f>K59</f>
        <v>建设期及建筑物耐用年限下的土地年期修正系数Kn</v>
      </c>
      <c r="Q62" s="2424" t="e">
        <f ca="1">L59</f>
        <v>#DIV/0!</v>
      </c>
      <c r="R62" s="2427" t="s">
        <v>2400</v>
      </c>
    </row>
    <row r="63" spans="1:18" s="2059" customFormat="1" ht="15.75" thickBot="1">
      <c r="A63" s="1648" t="s">
        <v>1889</v>
      </c>
      <c r="B63" s="784" t="s">
        <v>676</v>
      </c>
      <c r="C63" s="53">
        <f ca="1">ROUND(C56*F63,1)</f>
        <v>0.8</v>
      </c>
      <c r="D63" s="3182" t="s">
        <v>691</v>
      </c>
      <c r="E63" s="784" t="s">
        <v>649</v>
      </c>
      <c r="F63" s="817">
        <f t="shared" ca="1" si="0"/>
        <v>1.4999999999999999E-2</v>
      </c>
      <c r="I63" s="2409" t="s">
        <v>2373</v>
      </c>
      <c r="J63" s="2410">
        <v>70</v>
      </c>
      <c r="K63" s="2410">
        <v>50</v>
      </c>
      <c r="L63" s="2410">
        <v>80</v>
      </c>
      <c r="M63" s="3128">
        <v>0.02</v>
      </c>
      <c r="O63" s="2422" t="s">
        <v>2394</v>
      </c>
      <c r="P63" s="2423" t="s">
        <v>2411</v>
      </c>
      <c r="Q63" s="2424">
        <f ca="1">Q57+Q58</f>
        <v>217</v>
      </c>
      <c r="R63" s="2427" t="s">
        <v>2395</v>
      </c>
    </row>
    <row r="64" spans="1:18" s="2059" customFormat="1" ht="16.5" thickBot="1">
      <c r="A64" s="1648" t="s">
        <v>1890</v>
      </c>
      <c r="B64" s="784" t="s">
        <v>679</v>
      </c>
      <c r="C64" s="53">
        <f ca="1">ROUND(C55*F64,1)</f>
        <v>0.1</v>
      </c>
      <c r="D64" s="3182" t="s">
        <v>680</v>
      </c>
      <c r="E64" s="784" t="s">
        <v>649</v>
      </c>
      <c r="F64" s="818">
        <f t="shared" ca="1" si="0"/>
        <v>1.5E-3</v>
      </c>
      <c r="I64" s="2409" t="s">
        <v>2374</v>
      </c>
      <c r="J64" s="2410">
        <v>50</v>
      </c>
      <c r="K64" s="2410">
        <v>35</v>
      </c>
      <c r="L64" s="2410">
        <v>60</v>
      </c>
      <c r="M64" s="3129">
        <v>0</v>
      </c>
      <c r="O64" s="2428" t="s">
        <v>2418</v>
      </c>
      <c r="P64" s="1591"/>
      <c r="Q64" s="1603"/>
      <c r="R64" s="1591"/>
    </row>
    <row r="65" spans="1:18" s="2059" customFormat="1" ht="15.75" thickBot="1">
      <c r="A65" s="1648" t="s">
        <v>1891</v>
      </c>
      <c r="B65" s="784" t="s">
        <v>666</v>
      </c>
      <c r="C65" s="53">
        <f ca="1">ROUND(C47*F65,1)</f>
        <v>0</v>
      </c>
      <c r="D65" s="3182" t="s">
        <v>683</v>
      </c>
      <c r="E65" s="784" t="s">
        <v>649</v>
      </c>
      <c r="F65" s="794">
        <f t="shared" ca="1" si="0"/>
        <v>0.01</v>
      </c>
      <c r="I65" s="2409" t="s">
        <v>2375</v>
      </c>
      <c r="J65" s="2410">
        <v>40</v>
      </c>
      <c r="K65" s="2410">
        <v>30</v>
      </c>
      <c r="L65" s="2410">
        <v>50</v>
      </c>
      <c r="M65" s="3128">
        <v>0.02</v>
      </c>
      <c r="O65" s="2419" t="s">
        <v>2378</v>
      </c>
      <c r="P65" s="2420" t="s">
        <v>2379</v>
      </c>
      <c r="Q65" s="2421" t="s">
        <v>2380</v>
      </c>
      <c r="R65" s="2420" t="s">
        <v>2381</v>
      </c>
    </row>
    <row r="66" spans="1:18" s="2059" customFormat="1" ht="24.75" thickBot="1">
      <c r="A66" s="797" t="s">
        <v>1776</v>
      </c>
      <c r="B66" s="3035" t="s">
        <v>2824</v>
      </c>
      <c r="C66" s="799">
        <f ca="1">C47-C57</f>
        <v>-1</v>
      </c>
      <c r="D66" s="3181" t="s">
        <v>700</v>
      </c>
      <c r="E66" s="3179"/>
      <c r="F66" s="820"/>
      <c r="K66" s="2086"/>
      <c r="O66" s="2422" t="s">
        <v>2382</v>
      </c>
      <c r="P66" s="2423" t="s">
        <v>2408</v>
      </c>
      <c r="Q66" s="2424">
        <f ca="1">C40+J29</f>
        <v>217</v>
      </c>
      <c r="R66" s="2423" t="s">
        <v>2383</v>
      </c>
    </row>
    <row r="67" spans="1:18" s="2059" customFormat="1" ht="20.25" thickBot="1">
      <c r="A67" s="781" t="s">
        <v>1780</v>
      </c>
      <c r="B67" s="2232" t="s">
        <v>2303</v>
      </c>
      <c r="C67" s="783">
        <f ca="1">ROUND(C66*(1-((1+F69)/(1+F67))^F68)/(F67-F69),0)</f>
        <v>-15</v>
      </c>
      <c r="D67" s="814" t="s">
        <v>704</v>
      </c>
      <c r="E67" s="784" t="s">
        <v>705</v>
      </c>
      <c r="F67" s="794">
        <f ca="1">F40</f>
        <v>0.06</v>
      </c>
      <c r="K67" s="2086"/>
      <c r="O67" s="2422" t="s">
        <v>2384</v>
      </c>
      <c r="P67" s="2423" t="s">
        <v>2415</v>
      </c>
      <c r="Q67" s="2424">
        <f ca="1">L60</f>
        <v>0</v>
      </c>
      <c r="R67" s="2427" t="s">
        <v>2417</v>
      </c>
    </row>
    <row r="68" spans="1:18" ht="21.75" thickBot="1">
      <c r="A68" s="786"/>
      <c r="B68" s="787"/>
      <c r="C68" s="788"/>
      <c r="D68" s="821" t="s">
        <v>1808</v>
      </c>
      <c r="E68" s="784" t="s">
        <v>708</v>
      </c>
      <c r="F68" s="822">
        <f ca="1">F41</f>
        <v>36.630000000000003</v>
      </c>
      <c r="O68" s="2425" t="s">
        <v>2386</v>
      </c>
      <c r="P68" s="2423" t="s">
        <v>2416</v>
      </c>
      <c r="Q68" s="2429">
        <f ca="1">L51</f>
        <v>85</v>
      </c>
      <c r="R68" s="2430" t="s">
        <v>2419</v>
      </c>
    </row>
    <row r="69" spans="1:18" ht="20.25" thickBot="1">
      <c r="A69" s="790"/>
      <c r="B69" s="791"/>
      <c r="C69" s="792"/>
      <c r="D69" s="816"/>
      <c r="E69" s="784" t="s">
        <v>710</v>
      </c>
      <c r="F69" s="2371"/>
      <c r="O69" s="2425" t="s">
        <v>2387</v>
      </c>
      <c r="P69" s="2431" t="s">
        <v>2401</v>
      </c>
      <c r="Q69" s="2424">
        <f ca="1">ROUND(Q70-Q71*Q72,0)</f>
        <v>5</v>
      </c>
      <c r="R69" s="2427"/>
    </row>
    <row r="70" spans="1:18" ht="15.75" thickBot="1">
      <c r="A70" s="823" t="s">
        <v>1787</v>
      </c>
      <c r="B70" s="824" t="s">
        <v>1810</v>
      </c>
      <c r="C70" s="825">
        <f ca="1">ROUND(C67*10000/F70,0)</f>
        <v>-1398</v>
      </c>
      <c r="D70" s="826" t="s">
        <v>1811</v>
      </c>
      <c r="E70" s="827" t="s">
        <v>1812</v>
      </c>
      <c r="F70" s="828">
        <f ca="1">F43</f>
        <v>107.32</v>
      </c>
      <c r="O70" s="2425" t="s">
        <v>2402</v>
      </c>
      <c r="P70" s="2431" t="s">
        <v>2403</v>
      </c>
      <c r="Q70" s="2424">
        <f ca="1">C39</f>
        <v>10</v>
      </c>
      <c r="R70" s="2423" t="s">
        <v>2383</v>
      </c>
    </row>
    <row r="71" spans="1:18" ht="15.75" thickBot="1">
      <c r="O71" s="2425" t="s">
        <v>2404</v>
      </c>
      <c r="P71" s="2431" t="s">
        <v>2405</v>
      </c>
      <c r="Q71" s="2424">
        <f ca="1">C13</f>
        <v>55</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217</v>
      </c>
      <c r="R76" s="2427"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39" sqref="D3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3008</v>
      </c>
      <c r="D1" s="3154" t="s">
        <v>3060</v>
      </c>
      <c r="E1" s="2411" t="s">
        <v>2377</v>
      </c>
      <c r="F1" s="2412">
        <f ca="1">J53</f>
        <v>46.64</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8532</v>
      </c>
      <c r="C2" s="2057"/>
      <c r="D2" s="2055"/>
      <c r="E2" s="2056"/>
      <c r="F2" s="2056"/>
      <c r="G2" s="1589"/>
      <c r="H2" s="2057"/>
      <c r="I2" s="2057"/>
      <c r="J2" s="2057"/>
      <c r="K2" s="2058"/>
      <c r="L2" s="2057"/>
      <c r="M2" s="2057"/>
    </row>
    <row r="3" spans="1:33" ht="18" customHeight="1" thickBot="1">
      <c r="A3" s="833" t="s">
        <v>1727</v>
      </c>
      <c r="B3" s="834">
        <f ca="1">IF(ISERROR(B2*10000/F43),0,ROUND(B2*10000/F43,0))</f>
        <v>5346</v>
      </c>
      <c r="C3" s="2057"/>
      <c r="D3" s="2055"/>
      <c r="E3" s="2056"/>
      <c r="F3" s="2056"/>
      <c r="G3" s="1589"/>
      <c r="H3" s="776" t="s">
        <v>695</v>
      </c>
      <c r="I3" s="1363"/>
      <c r="J3" s="1363"/>
      <c r="K3" s="1590"/>
      <c r="L3" s="1363"/>
      <c r="M3" s="1363"/>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2461</v>
      </c>
      <c r="C5" s="55">
        <f ca="1">C6+C10+C12</f>
        <v>525</v>
      </c>
      <c r="D5" s="2520" t="s">
        <v>2464</v>
      </c>
      <c r="E5" s="2514"/>
      <c r="F5" s="2515"/>
      <c r="G5" s="1591"/>
      <c r="H5" s="781">
        <v>1</v>
      </c>
      <c r="I5" s="782" t="s">
        <v>2461</v>
      </c>
      <c r="J5" s="55">
        <f ca="1">J6+J10+J12</f>
        <v>0</v>
      </c>
      <c r="K5" s="2520" t="s">
        <v>2464</v>
      </c>
      <c r="L5" s="2514"/>
      <c r="M5" s="2515"/>
    </row>
    <row r="6" spans="1:33" ht="18" customHeight="1">
      <c r="A6" s="1830" t="s">
        <v>1824</v>
      </c>
      <c r="B6" s="3427" t="s">
        <v>2466</v>
      </c>
      <c r="C6" s="783">
        <f ca="1">ROUND(F6*F8*F7*(1-F9)/10000,0)</f>
        <v>524</v>
      </c>
      <c r="D6" s="2521" t="s">
        <v>2465</v>
      </c>
      <c r="E6" s="784" t="s">
        <v>1738</v>
      </c>
      <c r="F6" s="785">
        <f ca="1">INDIRECT("'数据-取费表'!u"&amp;$G$1)</f>
        <v>1</v>
      </c>
      <c r="G6" s="1591"/>
      <c r="H6" s="2528" t="s">
        <v>2471</v>
      </c>
      <c r="I6" s="3427" t="s">
        <v>2466</v>
      </c>
      <c r="J6" s="783">
        <f ca="1">ROUND(M6*M8*M7*(1-M9)/10000,0)</f>
        <v>0</v>
      </c>
      <c r="K6" s="341" t="s">
        <v>1737</v>
      </c>
      <c r="L6" s="784" t="s">
        <v>1738</v>
      </c>
      <c r="M6" s="785">
        <f ca="1">INDIRECT("'数据-取费表'!z"&amp;$G$1)</f>
        <v>0</v>
      </c>
    </row>
    <row r="7" spans="1:33" ht="18" customHeight="1">
      <c r="A7" s="2524"/>
      <c r="B7" s="3428"/>
      <c r="C7" s="788"/>
      <c r="D7" s="789"/>
      <c r="E7" s="784" t="s">
        <v>1739</v>
      </c>
      <c r="F7" s="785">
        <f ca="1">IF(INDIRECT("'数据-取费表'!ah"&amp;$G$1)="",INDIRECT("'数据-取费表'!k"&amp;$G$1),INDIRECT("'数据-取费表'!ah"&amp;$G$1))</f>
        <v>15958.279999999999</v>
      </c>
      <c r="G7" s="1591"/>
      <c r="H7" s="2513"/>
      <c r="I7" s="3428"/>
      <c r="J7" s="788"/>
      <c r="K7" s="789"/>
      <c r="L7" s="784" t="s">
        <v>1739</v>
      </c>
      <c r="M7" s="785">
        <f ca="1">F7</f>
        <v>15958.279999999999</v>
      </c>
    </row>
    <row r="8" spans="1:33" ht="18" customHeight="1">
      <c r="A8" s="2517"/>
      <c r="B8" s="3429"/>
      <c r="C8" s="788"/>
      <c r="D8" s="789"/>
      <c r="E8" s="784" t="s">
        <v>1740</v>
      </c>
      <c r="F8" s="785">
        <f ca="1">INDIRECT("'数据-取费表'!ai"&amp;$G$1)</f>
        <v>365</v>
      </c>
      <c r="G8" s="1591"/>
      <c r="H8" s="2513"/>
      <c r="I8" s="3429"/>
      <c r="J8" s="788"/>
      <c r="K8" s="789"/>
      <c r="L8" s="784" t="s">
        <v>1740</v>
      </c>
      <c r="M8" s="785">
        <f ca="1">INDIRECT("'数据-取费表'!ai"&amp;$G$1)</f>
        <v>365</v>
      </c>
    </row>
    <row r="9" spans="1:33" ht="18" customHeight="1">
      <c r="A9" s="786"/>
      <c r="B9" s="3430"/>
      <c r="C9" s="788"/>
      <c r="D9" s="789"/>
      <c r="E9" s="784" t="s">
        <v>1741</v>
      </c>
      <c r="F9" s="794">
        <f ca="1">INDIRECT("'数据-取费表'!w"&amp;$G$1)</f>
        <v>0.1</v>
      </c>
      <c r="G9" s="1591"/>
      <c r="H9" s="2529"/>
      <c r="I9" s="3429"/>
      <c r="J9" s="788"/>
      <c r="K9" s="789"/>
      <c r="L9" s="795" t="s">
        <v>1741</v>
      </c>
      <c r="M9" s="796">
        <f ca="1">INDIRECT("'数据-取费表'!ab"&amp;$G$1)</f>
        <v>0</v>
      </c>
    </row>
    <row r="10" spans="1:33" ht="18" customHeight="1">
      <c r="A10" s="1830" t="s">
        <v>2469</v>
      </c>
      <c r="B10" s="2518" t="s">
        <v>2462</v>
      </c>
      <c r="C10" s="799">
        <f ca="1">ROUND(IF(F10="押一",C6/12*F11,IF(F10="押二",C6/12*2*F11,IF(F10="押三",C6/12*3*F11,C11*F11))),0)</f>
        <v>1</v>
      </c>
      <c r="D10" s="2525" t="s">
        <v>2980</v>
      </c>
      <c r="E10" s="2522" t="s">
        <v>2467</v>
      </c>
      <c r="F10" s="2645" t="s">
        <v>3062</v>
      </c>
      <c r="G10" s="1591"/>
      <c r="H10" s="2585" t="s">
        <v>2472</v>
      </c>
      <c r="I10" s="2590" t="s">
        <v>2462</v>
      </c>
      <c r="J10" s="783">
        <f ca="1">ROUND(IF(M10="押一",J6/12*M11,IF(M10="押二",J6/12*2*M11,IF(M10="押三",J6/12*3*M11,J11*M11))),0)</f>
        <v>0</v>
      </c>
      <c r="K10" s="2525" t="s">
        <v>2980</v>
      </c>
      <c r="L10" s="2522" t="s">
        <v>2467</v>
      </c>
      <c r="M10" s="2645"/>
    </row>
    <row r="11" spans="1:33" ht="18" customHeight="1">
      <c r="A11" s="790"/>
      <c r="B11" s="2519" t="s">
        <v>2576</v>
      </c>
      <c r="C11" s="2523"/>
      <c r="D11" s="789"/>
      <c r="E11" s="2522" t="s">
        <v>2468</v>
      </c>
      <c r="F11" s="796">
        <f ca="1">'数据-取费表'!B39</f>
        <v>1.4999999999999999E-2</v>
      </c>
      <c r="G11" s="1591"/>
      <c r="H11" s="2586"/>
      <c r="I11" s="2519" t="s">
        <v>2576</v>
      </c>
      <c r="J11" s="2523"/>
      <c r="K11" s="2587"/>
      <c r="L11" s="2522" t="s">
        <v>2468</v>
      </c>
      <c r="M11" s="2516">
        <f ca="1">'数据-取费表'!B39</f>
        <v>1.4999999999999999E-2</v>
      </c>
    </row>
    <row r="12" spans="1:33" ht="18" customHeight="1" thickBot="1">
      <c r="A12" s="2561" t="s">
        <v>2470</v>
      </c>
      <c r="B12" s="2562" t="s">
        <v>2463</v>
      </c>
      <c r="C12" s="2563"/>
      <c r="D12" s="2564"/>
      <c r="E12" s="2565"/>
      <c r="F12" s="2566"/>
      <c r="G12" s="1591"/>
      <c r="H12" s="2575" t="s">
        <v>2473</v>
      </c>
      <c r="I12" s="2588" t="s">
        <v>2463</v>
      </c>
      <c r="J12" s="2589"/>
      <c r="K12" s="2564"/>
      <c r="L12" s="2565"/>
      <c r="M12" s="2578"/>
    </row>
    <row r="13" spans="1:33" ht="18" customHeight="1" thickTop="1">
      <c r="A13" s="1829">
        <v>2</v>
      </c>
      <c r="B13" s="1827" t="s">
        <v>1742</v>
      </c>
      <c r="C13" s="792">
        <f ca="1">ROUND(C29*F13,0)</f>
        <v>7009</v>
      </c>
      <c r="D13" s="1834" t="s">
        <v>2299</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4869</v>
      </c>
      <c r="D14" s="1979" t="s">
        <v>1745</v>
      </c>
      <c r="E14" s="1980"/>
      <c r="F14" s="805"/>
      <c r="G14" s="1591"/>
      <c r="H14" s="1648" t="s">
        <v>1830</v>
      </c>
      <c r="I14" s="2231" t="s">
        <v>2828</v>
      </c>
      <c r="J14" s="53">
        <f ca="1">C29</f>
        <v>7009</v>
      </c>
      <c r="K14" s="26"/>
      <c r="L14" s="801"/>
      <c r="M14" s="802"/>
    </row>
    <row r="15" spans="1:33" s="2064" customFormat="1" ht="18" customHeight="1" thickBot="1">
      <c r="A15" s="1647" t="s">
        <v>1885</v>
      </c>
      <c r="B15" s="784" t="s">
        <v>647</v>
      </c>
      <c r="C15" s="53">
        <f ca="1">ROUND(C14*F15,0)</f>
        <v>146</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166</v>
      </c>
      <c r="K16" s="1821" t="s">
        <v>1750</v>
      </c>
      <c r="L16" s="2510"/>
      <c r="M16" s="2515"/>
    </row>
    <row r="17" spans="1:33" s="2064" customFormat="1" ht="18" customHeight="1">
      <c r="A17" s="1647" t="s">
        <v>1887</v>
      </c>
      <c r="B17" s="784" t="s">
        <v>653</v>
      </c>
      <c r="C17" s="53">
        <f ca="1">ROUND(F17*(F43+INDIRECT("'数据-取费表'!S"&amp;$G$1))/10000,0)</f>
        <v>325</v>
      </c>
      <c r="D17" s="784" t="s">
        <v>1751</v>
      </c>
      <c r="E17" s="784" t="s">
        <v>1752</v>
      </c>
      <c r="F17" s="56">
        <f>'数据-取费表'!B35</f>
        <v>200</v>
      </c>
      <c r="G17" s="1592"/>
      <c r="H17" s="1648" t="s">
        <v>1830</v>
      </c>
      <c r="I17" s="784" t="s">
        <v>656</v>
      </c>
      <c r="J17" s="53">
        <f ca="1">ROUND(IF(项目基本情况!B11="自然人",J5*M17,J18+J19+J20),0)</f>
        <v>61</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73</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5413</v>
      </c>
      <c r="D19" s="261" t="s">
        <v>1757</v>
      </c>
      <c r="E19" s="1982"/>
      <c r="F19" s="56"/>
      <c r="G19" s="1591"/>
      <c r="H19" s="1647" t="s">
        <v>1885</v>
      </c>
      <c r="I19" s="784" t="s">
        <v>1758</v>
      </c>
      <c r="J19" s="53">
        <f ca="1">IF(K19="按租金收入计税",ROUND(J5*M19,1),ROUND(C29*F33*0.7,1))</f>
        <v>58.9</v>
      </c>
      <c r="K19" s="811" t="s">
        <v>665</v>
      </c>
      <c r="L19" s="784" t="s">
        <v>1747</v>
      </c>
      <c r="M19" s="809">
        <f>IF(K19="按租金收入计税",'数据-取费表'!B51,'数据-取费表'!B50)</f>
        <v>1.2E-2</v>
      </c>
    </row>
    <row r="20" spans="1:33" s="2064" customFormat="1" ht="18" customHeight="1">
      <c r="A20" s="1648" t="s">
        <v>1889</v>
      </c>
      <c r="B20" s="784" t="s">
        <v>666</v>
      </c>
      <c r="C20" s="53">
        <f ca="1">ROUND(C19*F20,0)</f>
        <v>108</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0.02</v>
      </c>
      <c r="G21" s="1592"/>
      <c r="H21" s="2530"/>
      <c r="I21" s="793"/>
      <c r="J21" s="69"/>
      <c r="K21" s="816"/>
      <c r="L21" s="784" t="s">
        <v>1766</v>
      </c>
      <c r="M21" s="785">
        <f ca="1">INDIRECT("'数据-取费表'!r"&amp;$G$1)</f>
        <v>5141.0099999999993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105</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398</v>
      </c>
      <c r="D23" s="2595" t="str">
        <f>IF(F23&lt;=1,"(建造成本+管理费用)×利率×(建设周期÷2)","(建造成本+管理费用)×((1+利率)^(建设周期÷2)-1)")</f>
        <v>(建造成本+管理费用)×((1+利率)^(建设周期÷2)-1)</v>
      </c>
      <c r="E23" s="784" t="s">
        <v>1770</v>
      </c>
      <c r="F23" s="640">
        <f>'数据-取费表'!B20</f>
        <v>3</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1" t="s">
        <v>1775</v>
      </c>
      <c r="E25" s="1982"/>
      <c r="F25" s="56"/>
      <c r="G25" s="1591"/>
      <c r="H25" s="1829" t="s">
        <v>1776</v>
      </c>
      <c r="I25" s="3034" t="s">
        <v>2824</v>
      </c>
      <c r="J25" s="792">
        <f ca="1">J5-J16</f>
        <v>-166</v>
      </c>
      <c r="K25" s="2572" t="s">
        <v>1777</v>
      </c>
      <c r="L25" s="2573"/>
      <c r="M25" s="2574"/>
    </row>
    <row r="26" spans="1:33" ht="18" customHeight="1">
      <c r="A26" s="1647" t="s">
        <v>1831</v>
      </c>
      <c r="B26" s="784" t="s">
        <v>2441</v>
      </c>
      <c r="C26" s="53">
        <f ca="1">ROUND((C19+C20)*F26,0)</f>
        <v>552</v>
      </c>
      <c r="D26" s="812" t="s">
        <v>1778</v>
      </c>
      <c r="E26" s="795" t="s">
        <v>1779</v>
      </c>
      <c r="F26" s="794">
        <f ca="1">INDIRECT("'数据-取费表'!q"&amp;$G$1)</f>
        <v>0.1</v>
      </c>
      <c r="G26" s="1591"/>
      <c r="H26" s="2526" t="s">
        <v>1780</v>
      </c>
      <c r="I26" s="2232" t="s">
        <v>2829</v>
      </c>
      <c r="J26" s="783">
        <f ca="1">IF(J5&lt;&gt;0,ROUND(J25*(1-((1+M28)/(1+M26))^M27)/(M26-M28),0),0)</f>
        <v>0</v>
      </c>
      <c r="K26" s="814" t="s">
        <v>1781</v>
      </c>
      <c r="L26" s="784" t="s">
        <v>2422</v>
      </c>
      <c r="M26" s="794">
        <f ca="1">INDIRECT("'数据-取费表'!I"&amp;$G$1)</f>
        <v>0.05</v>
      </c>
    </row>
    <row r="27" spans="1:33" ht="18" customHeight="1">
      <c r="A27" s="1647" t="s">
        <v>1832</v>
      </c>
      <c r="B27" s="784" t="s">
        <v>686</v>
      </c>
      <c r="C27" s="53">
        <f ca="1">ROUND(F21*F26,4)</f>
        <v>2E-3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2301</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2302</v>
      </c>
      <c r="C29" s="2568">
        <f ca="1">ROUND((C19+C20+C23+C26)/(1-F21-C24-C27-C28),0)</f>
        <v>7009</v>
      </c>
      <c r="D29" s="2569"/>
      <c r="E29" s="2570"/>
      <c r="F29" s="2571"/>
      <c r="G29" s="1592"/>
      <c r="H29" s="823" t="s">
        <v>1787</v>
      </c>
      <c r="I29" s="824" t="s">
        <v>1788</v>
      </c>
      <c r="J29" s="825">
        <f ca="1">ROUND(J26/(1+F40)^F41,0)</f>
        <v>0</v>
      </c>
      <c r="K29" s="826" t="s">
        <v>1789</v>
      </c>
      <c r="L29" s="827"/>
      <c r="M29" s="828">
        <f ca="1">INDIRECT("'数据-取费表'!k"&amp;$G$1)</f>
        <v>15958.279999999999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209</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88.4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28</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58.9</v>
      </c>
      <c r="D33" s="811" t="s">
        <v>1681</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1.5</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5141.0099999999993</v>
      </c>
      <c r="G35" s="2062"/>
      <c r="H35" s="2065"/>
      <c r="I35" s="837" t="s">
        <v>1814</v>
      </c>
      <c r="J35" s="838">
        <f ca="1">ROUND(C13*J36,0)</f>
        <v>596</v>
      </c>
      <c r="K35" s="2078"/>
      <c r="L35" s="2077"/>
      <c r="M35" s="2077"/>
    </row>
    <row r="36" spans="1:18" ht="18" customHeight="1">
      <c r="A36" s="1648" t="s">
        <v>1889</v>
      </c>
      <c r="B36" s="784" t="s">
        <v>1802</v>
      </c>
      <c r="C36" s="53">
        <f ca="1">ROUND(C29*F36,1)</f>
        <v>105.1</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679</v>
      </c>
      <c r="C37" s="53">
        <f ca="1">ROUND(C13*F37,1)</f>
        <v>10.5</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5.3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2824</v>
      </c>
      <c r="C39" s="792">
        <f ca="1">C5-C30</f>
        <v>316</v>
      </c>
      <c r="D39" s="2572" t="s">
        <v>1806</v>
      </c>
      <c r="E39" s="2573"/>
      <c r="F39" s="2574"/>
      <c r="G39" s="2062"/>
      <c r="H39" s="2077"/>
      <c r="I39" s="837" t="s">
        <v>1818</v>
      </c>
      <c r="J39" s="845">
        <f ca="1">ROUND(J35/C39,3)</f>
        <v>1.8859999999999999</v>
      </c>
      <c r="K39" s="2083"/>
      <c r="L39" s="2077"/>
      <c r="M39" s="2077"/>
    </row>
    <row r="40" spans="1:18" ht="18" customHeight="1">
      <c r="A40" s="781" t="s">
        <v>1895</v>
      </c>
      <c r="B40" s="2232" t="s">
        <v>2303</v>
      </c>
      <c r="C40" s="783">
        <f ca="1">ROUND(C39*(1-((1+F42)/(1+F40))^F41)/(F40-F42),0)</f>
        <v>8532</v>
      </c>
      <c r="D40" s="814" t="s">
        <v>1807</v>
      </c>
      <c r="E40" s="784" t="s">
        <v>2422</v>
      </c>
      <c r="F40" s="794">
        <f ca="1">INDIRECT("'数据-取费表'!I"&amp;$G$1)</f>
        <v>0.05</v>
      </c>
      <c r="G40" s="2062"/>
      <c r="H40" s="2062"/>
      <c r="I40" s="837" t="s">
        <v>1819</v>
      </c>
      <c r="J40" s="845">
        <f ca="1">1-J39</f>
        <v>-0.8859999999999999</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46.64</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0.82099999999999995</v>
      </c>
      <c r="K42" s="2082"/>
      <c r="L42" s="1988"/>
      <c r="M42" s="1988"/>
    </row>
    <row r="43" spans="1:18" ht="18" customHeight="1" thickBot="1">
      <c r="A43" s="823" t="s">
        <v>1787</v>
      </c>
      <c r="B43" s="824" t="s">
        <v>1810</v>
      </c>
      <c r="C43" s="825">
        <f ca="1">ROUND(C40*10000/F43,0)</f>
        <v>5346</v>
      </c>
      <c r="D43" s="826" t="s">
        <v>1811</v>
      </c>
      <c r="E43" s="827" t="s">
        <v>1812</v>
      </c>
      <c r="F43" s="828">
        <f ca="1">INDIRECT("'数据-取费表'!k"&amp;$G$1)</f>
        <v>15958.279999999999</v>
      </c>
      <c r="G43" s="2062"/>
      <c r="H43" s="1988"/>
      <c r="I43" s="847" t="s">
        <v>1822</v>
      </c>
      <c r="J43" s="848">
        <f ca="1">1-J42</f>
        <v>0.17900000000000005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f ca="1">C67-C40</f>
        <v>-11690</v>
      </c>
      <c r="D46" s="2085"/>
      <c r="E46" s="2085"/>
      <c r="F46" s="2085"/>
      <c r="I46" s="2378" t="s">
        <v>2345</v>
      </c>
      <c r="J46" s="2379"/>
      <c r="K46" s="2380"/>
      <c r="L46" s="2381">
        <f>IF(OR(M47="住宅",D1="土地（套用方法）"),0,IF(L48&gt;J51,L60,J60))</f>
        <v>0</v>
      </c>
      <c r="O46" s="2418" t="s">
        <v>2413</v>
      </c>
      <c r="P46" s="1591"/>
      <c r="Q46" s="1603"/>
      <c r="R46" s="1591"/>
    </row>
    <row r="47" spans="1:18" s="2059" customFormat="1" ht="18" customHeight="1" thickBot="1">
      <c r="A47" s="2372">
        <v>1</v>
      </c>
      <c r="B47" s="2373" t="s">
        <v>635</v>
      </c>
      <c r="C47" s="2598">
        <f ca="1">C48+C52+C54</f>
        <v>0</v>
      </c>
      <c r="D47" s="2085"/>
      <c r="E47" s="2085"/>
      <c r="F47" s="2085"/>
      <c r="I47" s="2382" t="s">
        <v>2346</v>
      </c>
      <c r="J47" s="2387" t="s">
        <v>3061</v>
      </c>
      <c r="K47" s="2388" t="s">
        <v>2352</v>
      </c>
      <c r="L47" s="2389">
        <f ca="1">INDIRECT("'数据-取费表'!d"&amp;$G$1)</f>
        <v>50</v>
      </c>
      <c r="M47" s="1603" t="str">
        <f>IF(ISNUMBER(FIND("住宅",C1)),"住宅","非住宅")</f>
        <v>非住宅</v>
      </c>
      <c r="O47" s="2419" t="s">
        <v>2378</v>
      </c>
      <c r="P47" s="2420" t="s">
        <v>2379</v>
      </c>
      <c r="Q47" s="2421" t="s">
        <v>2380</v>
      </c>
      <c r="R47" s="2420" t="s">
        <v>2381</v>
      </c>
    </row>
    <row r="48" spans="1:18" s="2059" customFormat="1" ht="18" customHeight="1" thickBot="1">
      <c r="A48" s="2666" t="s">
        <v>2540</v>
      </c>
      <c r="B48" s="2667" t="s">
        <v>2541</v>
      </c>
      <c r="C48" s="2374">
        <f ca="1">ROUND(F48*F50*F49*(1-F51)/10000,0)</f>
        <v>0</v>
      </c>
      <c r="D48" s="2375" t="s">
        <v>636</v>
      </c>
      <c r="E48" s="2376" t="s">
        <v>2298</v>
      </c>
      <c r="F48" s="2377"/>
      <c r="G48" s="2090"/>
      <c r="I48" s="2383" t="s">
        <v>2347</v>
      </c>
      <c r="J48" s="2390" t="s">
        <v>2353</v>
      </c>
      <c r="K48" s="2391" t="s">
        <v>2354</v>
      </c>
      <c r="L48" s="2392">
        <f ca="1">INDIRECT("'数据-取费表'!f"&amp;$G$1)</f>
        <v>49.64</v>
      </c>
      <c r="O48" s="2422" t="s">
        <v>2382</v>
      </c>
      <c r="P48" s="2423" t="s">
        <v>2408</v>
      </c>
      <c r="Q48" s="2424">
        <f ca="1">C40+J29</f>
        <v>8532</v>
      </c>
      <c r="R48" s="2423" t="s">
        <v>2383</v>
      </c>
    </row>
    <row r="49" spans="1:18" s="2059" customFormat="1" ht="18" customHeight="1" thickBot="1">
      <c r="A49" s="786"/>
      <c r="B49" s="787"/>
      <c r="C49" s="788"/>
      <c r="D49" s="789"/>
      <c r="E49" s="784" t="s">
        <v>1739</v>
      </c>
      <c r="F49" s="785">
        <f ca="1">F7</f>
        <v>15958.279999999999</v>
      </c>
      <c r="G49" s="2090"/>
      <c r="H49" s="2093"/>
      <c r="I49" s="2383" t="s">
        <v>2348</v>
      </c>
      <c r="J49" s="2393">
        <v>2021</v>
      </c>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1740</v>
      </c>
      <c r="F50" s="785">
        <f ca="1">F8</f>
        <v>365</v>
      </c>
      <c r="G50" s="2095"/>
      <c r="H50" s="2093"/>
      <c r="I50" s="2383" t="s">
        <v>2349</v>
      </c>
      <c r="J50" s="2396">
        <f>SUMPRODUCT((I63:I65=J47)*(J62:L62=J48)*(J63:L65))</f>
        <v>60</v>
      </c>
      <c r="K50" s="2394" t="s">
        <v>2356</v>
      </c>
      <c r="L50" s="2395"/>
      <c r="O50" s="2425" t="s">
        <v>2386</v>
      </c>
      <c r="P50" s="2423" t="s">
        <v>2410</v>
      </c>
      <c r="Q50" s="2424">
        <f ca="1">C29</f>
        <v>7009</v>
      </c>
      <c r="R50" s="2423" t="s">
        <v>2383</v>
      </c>
    </row>
    <row r="51" spans="1:18" s="2059" customFormat="1" ht="18" customHeight="1" thickBot="1">
      <c r="A51" s="786"/>
      <c r="B51" s="787"/>
      <c r="C51" s="788"/>
      <c r="D51" s="789"/>
      <c r="E51" s="784" t="s">
        <v>640</v>
      </c>
      <c r="F51" s="2371"/>
      <c r="H51" s="2093"/>
      <c r="I51" s="2384" t="s">
        <v>2350</v>
      </c>
      <c r="J51" s="2397">
        <f>IF(J49="",J50,J49+J50-YEAR('数据-取费表'!B2))</f>
        <v>63</v>
      </c>
      <c r="K51" s="2383" t="s">
        <v>2357</v>
      </c>
      <c r="L51" s="2398">
        <f ca="1">ROUND(-PV(INDIRECT("'数据-取费表'!h"&amp;$G$1),L48,(C39-C13*J36),0),0)</f>
        <v>-5518</v>
      </c>
      <c r="O51" s="2425" t="s">
        <v>2387</v>
      </c>
      <c r="P51" s="2423" t="s">
        <v>2388</v>
      </c>
      <c r="Q51" s="2426" t="e">
        <f ca="1">J58</f>
        <v>#VALUE!</v>
      </c>
      <c r="R51" s="2427"/>
    </row>
    <row r="52" spans="1:18" s="2059" customFormat="1" ht="18" customHeight="1" thickBot="1">
      <c r="A52" s="781" t="s">
        <v>2539</v>
      </c>
      <c r="B52" s="2518" t="s">
        <v>2462</v>
      </c>
      <c r="C52" s="799">
        <f ca="1">ROUND(IF(F52="押一",C48/12*F11,IF(F52="押二",C48/12*2*F11,IF(F52="押三",C48/12*3*F11,C53*F11))),0)</f>
        <v>0</v>
      </c>
      <c r="D52" s="2525" t="s">
        <v>2981</v>
      </c>
      <c r="E52" s="2522" t="s">
        <v>2467</v>
      </c>
      <c r="F52" s="2645"/>
      <c r="I52" s="2385" t="s">
        <v>2424</v>
      </c>
      <c r="J52" s="2399">
        <v>0.09</v>
      </c>
      <c r="K52" s="2385" t="s">
        <v>2423</v>
      </c>
      <c r="L52" s="2399"/>
      <c r="O52" s="2425" t="s">
        <v>2389</v>
      </c>
      <c r="P52" s="2423" t="s">
        <v>2390</v>
      </c>
      <c r="Q52" s="2426">
        <f>J52</f>
        <v>0.09</v>
      </c>
      <c r="R52" s="2427"/>
    </row>
    <row r="53" spans="1:18" s="2059" customFormat="1" ht="39.75" customHeight="1" thickBot="1">
      <c r="A53" s="786"/>
      <c r="B53" s="2519" t="s">
        <v>2576</v>
      </c>
      <c r="C53" s="2523"/>
      <c r="D53" s="2525"/>
      <c r="E53" s="2522"/>
      <c r="F53" s="800"/>
      <c r="I53" s="2386" t="s">
        <v>2351</v>
      </c>
      <c r="J53" s="2400">
        <f ca="1">IF(M47="住宅",J51,IF(D1="——",MIN(J51,L48),IF(D1="土地（套用方法）",MIN(J51,L48-'数据-取费表'!B20))))</f>
        <v>46.64</v>
      </c>
      <c r="K53" s="3443" t="s">
        <v>2972</v>
      </c>
      <c r="L53" s="3444"/>
      <c r="O53" s="2425" t="s">
        <v>2391</v>
      </c>
      <c r="P53" s="2423" t="s">
        <v>2392</v>
      </c>
      <c r="Q53" s="2424">
        <f ca="1">J53</f>
        <v>46.64</v>
      </c>
      <c r="R53" s="2423" t="s">
        <v>2393</v>
      </c>
    </row>
    <row r="54" spans="1:18" s="2059" customFormat="1" ht="18" customHeight="1" thickBot="1">
      <c r="A54" s="2561" t="s">
        <v>2470</v>
      </c>
      <c r="B54" s="2562" t="s">
        <v>2463</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8532</v>
      </c>
      <c r="R54" s="2427" t="s">
        <v>2395</v>
      </c>
    </row>
    <row r="55" spans="1:18" s="2059" customFormat="1" ht="18" customHeight="1" thickTop="1" thickBot="1">
      <c r="A55" s="797">
        <v>2</v>
      </c>
      <c r="B55" s="798" t="s">
        <v>644</v>
      </c>
      <c r="C55" s="799">
        <f ca="1">C13</f>
        <v>7009</v>
      </c>
      <c r="D55" s="795"/>
      <c r="E55" s="795"/>
      <c r="F55" s="800"/>
      <c r="I55" s="3125" t="s">
        <v>2358</v>
      </c>
      <c r="J55" s="3124" t="e">
        <f ca="1">ROUND(IF(J47="钢混",J57/J50,1-(1-2%)*(J50-J57)/J50),3)</f>
        <v>#VALUE!</v>
      </c>
      <c r="K55" s="2401" t="s">
        <v>2359</v>
      </c>
      <c r="L55" s="2402"/>
      <c r="O55" s="2428" t="s">
        <v>2414</v>
      </c>
      <c r="P55" s="1591"/>
      <c r="Q55" s="1603"/>
      <c r="R55" s="1591"/>
    </row>
    <row r="56" spans="1:18" s="2059" customFormat="1" ht="42.75" customHeight="1" thickBot="1">
      <c r="A56" s="1649"/>
      <c r="B56" s="2231" t="s">
        <v>2304</v>
      </c>
      <c r="C56" s="53">
        <f ca="1">C29</f>
        <v>7009</v>
      </c>
      <c r="D56" s="2663"/>
      <c r="E56" s="784"/>
      <c r="F56" s="809"/>
      <c r="I56" s="2403" t="s">
        <v>2360</v>
      </c>
      <c r="J56" s="3148" t="s">
        <v>1679</v>
      </c>
      <c r="K56" s="2383" t="s">
        <v>2365</v>
      </c>
      <c r="L56" s="2392" t="str">
        <f ca="1">IF(L48&lt;J51,"——",L48-J51)</f>
        <v>——</v>
      </c>
      <c r="O56" s="2419" t="s">
        <v>2378</v>
      </c>
      <c r="P56" s="2420" t="s">
        <v>2379</v>
      </c>
      <c r="Q56" s="2421" t="s">
        <v>2380</v>
      </c>
      <c r="R56" s="2420" t="s">
        <v>2381</v>
      </c>
    </row>
    <row r="57" spans="1:18" s="2059" customFormat="1" ht="28.5" customHeight="1" thickBot="1">
      <c r="A57" s="797" t="s">
        <v>1748</v>
      </c>
      <c r="B57" s="798" t="s">
        <v>651</v>
      </c>
      <c r="C57" s="799">
        <f ca="1">ROUND(C58+C63+C64+C65,0)</f>
        <v>176</v>
      </c>
      <c r="D57" s="26" t="s">
        <v>1750</v>
      </c>
      <c r="E57" s="2664"/>
      <c r="F57" s="56"/>
      <c r="I57" s="2404" t="s">
        <v>2361</v>
      </c>
      <c r="J57" s="2406" t="str">
        <f ca="1">IF(OR(M47="住宅",J51&lt;L48,J56="是"),"——",J51-L48)</f>
        <v>——</v>
      </c>
      <c r="K57" s="2383" t="s">
        <v>2366</v>
      </c>
      <c r="L57" s="2392" t="str">
        <f ca="1">IF(L48&lt;J51,"——",IF(L55="比较法",L49,IF(L55="基准地价",L50,L51)))</f>
        <v>——</v>
      </c>
      <c r="O57" s="2422" t="s">
        <v>2382</v>
      </c>
      <c r="P57" s="2423" t="s">
        <v>2412</v>
      </c>
      <c r="Q57" s="2424">
        <f ca="1">C40+J29</f>
        <v>8532</v>
      </c>
      <c r="R57" s="2423" t="s">
        <v>2383</v>
      </c>
    </row>
    <row r="58" spans="1:18" s="2059" customFormat="1" ht="28.5" customHeight="1" thickBot="1">
      <c r="A58" s="1648" t="s">
        <v>1824</v>
      </c>
      <c r="B58" s="784" t="s">
        <v>656</v>
      </c>
      <c r="C58" s="53">
        <f ca="1">ROUND(IF(项目基本情况!B11="自然人",C47*F58,C59+C60+C61),1)</f>
        <v>60.4</v>
      </c>
      <c r="D58" s="2662" t="s">
        <v>657</v>
      </c>
      <c r="E58" s="2663" t="s">
        <v>690</v>
      </c>
      <c r="F58" s="810" t="str">
        <f ca="1">IF(项目基本情况!B11="企业","",IF(INDIRECT("'数据-取费表'!c"&amp;$G$1)="住宅",5%,IF(F48*F49*F50/12/(1+'数据-取费表'!C42)&gt;20000,12%,7%)))</f>
        <v/>
      </c>
      <c r="I58" s="2404" t="s">
        <v>2362</v>
      </c>
      <c r="J58" s="3126"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7" t="s">
        <v>1831</v>
      </c>
      <c r="B59" s="784" t="s">
        <v>660</v>
      </c>
      <c r="C59" s="53">
        <f ca="1">ROUND(C47*F59/1.05,1)</f>
        <v>0</v>
      </c>
      <c r="D59" s="2663" t="s">
        <v>1756</v>
      </c>
      <c r="E59" s="784" t="s">
        <v>1747</v>
      </c>
      <c r="F59" s="809">
        <f t="shared" ref="F59:F65" si="0">F32</f>
        <v>5.6000000000000001E-2</v>
      </c>
      <c r="I59" s="2404" t="s">
        <v>2363</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7" t="s">
        <v>1832</v>
      </c>
      <c r="B60" s="784" t="s">
        <v>1758</v>
      </c>
      <c r="C60" s="53">
        <f ca="1">IF(D60="按租金收入计税",ROUND(C47*F60,1),IF(D60="按房产原值计税",ROUND(C56*F60*0.7,1),INDIRECT("'数据-取费表'!Aj"&amp;$G$1)))</f>
        <v>58.9</v>
      </c>
      <c r="D60" s="2663" t="str">
        <f>D33</f>
        <v>按房产原值计税</v>
      </c>
      <c r="E60" s="784" t="s">
        <v>1747</v>
      </c>
      <c r="F60" s="809">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0" t="s">
        <v>1833</v>
      </c>
      <c r="B61" s="341" t="s">
        <v>668</v>
      </c>
      <c r="C61" s="54">
        <f ca="1">ROUND(F61*F62/10000,1)</f>
        <v>1.5</v>
      </c>
      <c r="D61" s="814" t="s">
        <v>669</v>
      </c>
      <c r="E61" s="784" t="s">
        <v>670</v>
      </c>
      <c r="F61" s="640">
        <f t="shared" si="0"/>
        <v>3</v>
      </c>
      <c r="K61" s="2086"/>
      <c r="O61" s="2425" t="s">
        <v>2389</v>
      </c>
      <c r="P61" s="2423" t="s">
        <v>2397</v>
      </c>
      <c r="Q61" s="2424" t="e">
        <f ca="1">L58</f>
        <v>#DIV/0!</v>
      </c>
      <c r="R61" s="2427" t="s">
        <v>2398</v>
      </c>
    </row>
    <row r="62" spans="1:18" s="2059" customFormat="1" ht="15.75" thickBot="1">
      <c r="A62" s="815"/>
      <c r="B62" s="793"/>
      <c r="C62" s="69"/>
      <c r="D62" s="816"/>
      <c r="E62" s="784" t="s">
        <v>674</v>
      </c>
      <c r="F62" s="785">
        <f t="shared" ca="1" si="0"/>
        <v>5141.0099999999993</v>
      </c>
      <c r="I62" s="2409" t="s">
        <v>2370</v>
      </c>
      <c r="J62" s="2410" t="s">
        <v>2371</v>
      </c>
      <c r="K62" s="2410" t="s">
        <v>2372</v>
      </c>
      <c r="L62" s="2410" t="s">
        <v>2353</v>
      </c>
      <c r="M62" s="3127" t="s">
        <v>2947</v>
      </c>
      <c r="O62" s="2425" t="s">
        <v>2391</v>
      </c>
      <c r="P62" s="2423" t="str">
        <f>K59</f>
        <v>建设期及建筑物耐用年限下的土地年期修正系数Kn</v>
      </c>
      <c r="Q62" s="2424" t="e">
        <f ca="1">L59</f>
        <v>#DIV/0!</v>
      </c>
      <c r="R62" s="2427" t="s">
        <v>2400</v>
      </c>
    </row>
    <row r="63" spans="1:18" s="2059" customFormat="1" ht="15.75" thickBot="1">
      <c r="A63" s="1648" t="s">
        <v>1889</v>
      </c>
      <c r="B63" s="784" t="s">
        <v>676</v>
      </c>
      <c r="C63" s="53">
        <f ca="1">ROUND(C56*F63,1)</f>
        <v>105.1</v>
      </c>
      <c r="D63" s="2663" t="s">
        <v>1803</v>
      </c>
      <c r="E63" s="784" t="s">
        <v>1747</v>
      </c>
      <c r="F63" s="817">
        <f t="shared" ca="1" si="0"/>
        <v>1.4999999999999999E-2</v>
      </c>
      <c r="I63" s="2409" t="s">
        <v>2373</v>
      </c>
      <c r="J63" s="2410">
        <v>70</v>
      </c>
      <c r="K63" s="2410">
        <v>50</v>
      </c>
      <c r="L63" s="2410">
        <v>80</v>
      </c>
      <c r="M63" s="3128">
        <v>0.02</v>
      </c>
      <c r="O63" s="2422" t="s">
        <v>2394</v>
      </c>
      <c r="P63" s="2423" t="s">
        <v>2411</v>
      </c>
      <c r="Q63" s="2424">
        <f ca="1">Q57+Q58</f>
        <v>8532</v>
      </c>
      <c r="R63" s="2427" t="s">
        <v>2395</v>
      </c>
    </row>
    <row r="64" spans="1:18" s="2059" customFormat="1" ht="16.5" thickBot="1">
      <c r="A64" s="1648" t="s">
        <v>1890</v>
      </c>
      <c r="B64" s="784" t="s">
        <v>679</v>
      </c>
      <c r="C64" s="53">
        <f ca="1">ROUND(C55*F64,1)</f>
        <v>10.5</v>
      </c>
      <c r="D64" s="2663" t="s">
        <v>680</v>
      </c>
      <c r="E64" s="784" t="s">
        <v>1747</v>
      </c>
      <c r="F64" s="818">
        <f t="shared" ca="1" si="0"/>
        <v>1.5E-3</v>
      </c>
      <c r="I64" s="2409" t="s">
        <v>2374</v>
      </c>
      <c r="J64" s="2410">
        <v>50</v>
      </c>
      <c r="K64" s="2410">
        <v>35</v>
      </c>
      <c r="L64" s="2410">
        <v>60</v>
      </c>
      <c r="M64" s="3129">
        <v>0</v>
      </c>
      <c r="O64" s="2428" t="s">
        <v>2418</v>
      </c>
      <c r="P64" s="1591"/>
      <c r="Q64" s="1603"/>
      <c r="R64" s="1591"/>
    </row>
    <row r="65" spans="1:18" s="2059" customFormat="1" ht="15.75" thickBot="1">
      <c r="A65" s="1648" t="s">
        <v>1891</v>
      </c>
      <c r="B65" s="784" t="s">
        <v>666</v>
      </c>
      <c r="C65" s="53">
        <f ca="1">ROUND(C47*F65,1)</f>
        <v>0</v>
      </c>
      <c r="D65" s="2663" t="s">
        <v>683</v>
      </c>
      <c r="E65" s="784" t="s">
        <v>1747</v>
      </c>
      <c r="F65" s="794">
        <f t="shared" ca="1" si="0"/>
        <v>0.01</v>
      </c>
      <c r="I65" s="2409" t="s">
        <v>2375</v>
      </c>
      <c r="J65" s="2410">
        <v>40</v>
      </c>
      <c r="K65" s="2410">
        <v>30</v>
      </c>
      <c r="L65" s="2410">
        <v>50</v>
      </c>
      <c r="M65" s="3128">
        <v>0.02</v>
      </c>
      <c r="O65" s="2419" t="s">
        <v>2378</v>
      </c>
      <c r="P65" s="2420" t="s">
        <v>2379</v>
      </c>
      <c r="Q65" s="2421" t="s">
        <v>2380</v>
      </c>
      <c r="R65" s="2420" t="s">
        <v>2381</v>
      </c>
    </row>
    <row r="66" spans="1:18" s="2059" customFormat="1" ht="24.75" thickBot="1">
      <c r="A66" s="797" t="s">
        <v>1776</v>
      </c>
      <c r="B66" s="3035" t="s">
        <v>2824</v>
      </c>
      <c r="C66" s="799">
        <f ca="1">C47-C57</f>
        <v>-176</v>
      </c>
      <c r="D66" s="2662" t="s">
        <v>700</v>
      </c>
      <c r="E66" s="2661"/>
      <c r="F66" s="820"/>
      <c r="K66" s="2086"/>
      <c r="O66" s="2422" t="s">
        <v>2382</v>
      </c>
      <c r="P66" s="2423" t="s">
        <v>2412</v>
      </c>
      <c r="Q66" s="2424">
        <f ca="1">C40+J29</f>
        <v>8532</v>
      </c>
      <c r="R66" s="2423" t="s">
        <v>2383</v>
      </c>
    </row>
    <row r="67" spans="1:18" s="2059" customFormat="1" ht="20.25" thickBot="1">
      <c r="A67" s="781" t="s">
        <v>1780</v>
      </c>
      <c r="B67" s="2232" t="s">
        <v>2303</v>
      </c>
      <c r="C67" s="783">
        <f ca="1">ROUND(C66*(1-((1+F69)/(1+F67))^F68)/(F67-F69),0)</f>
        <v>-3158</v>
      </c>
      <c r="D67" s="814" t="s">
        <v>704</v>
      </c>
      <c r="E67" s="784" t="s">
        <v>705</v>
      </c>
      <c r="F67" s="794">
        <f ca="1">F40</f>
        <v>0.05</v>
      </c>
      <c r="K67" s="2086"/>
      <c r="O67" s="2422" t="s">
        <v>2384</v>
      </c>
      <c r="P67" s="2423" t="s">
        <v>2415</v>
      </c>
      <c r="Q67" s="2424">
        <f ca="1">L60</f>
        <v>0</v>
      </c>
      <c r="R67" s="2427" t="s">
        <v>2417</v>
      </c>
    </row>
    <row r="68" spans="1:18" ht="21.75" thickBot="1">
      <c r="A68" s="786"/>
      <c r="B68" s="787"/>
      <c r="C68" s="788"/>
      <c r="D68" s="821" t="s">
        <v>1808</v>
      </c>
      <c r="E68" s="784" t="s">
        <v>1784</v>
      </c>
      <c r="F68" s="822">
        <f ca="1">F41</f>
        <v>46.64</v>
      </c>
      <c r="O68" s="2425" t="s">
        <v>2386</v>
      </c>
      <c r="P68" s="2423" t="s">
        <v>2416</v>
      </c>
      <c r="Q68" s="2429">
        <f ca="1">L51</f>
        <v>-5518</v>
      </c>
      <c r="R68" s="2430" t="s">
        <v>2419</v>
      </c>
    </row>
    <row r="69" spans="1:18" ht="20.25" thickBot="1">
      <c r="A69" s="790"/>
      <c r="B69" s="791"/>
      <c r="C69" s="792"/>
      <c r="D69" s="816"/>
      <c r="E69" s="784" t="s">
        <v>710</v>
      </c>
      <c r="F69" s="2371"/>
      <c r="O69" s="2425" t="s">
        <v>2387</v>
      </c>
      <c r="P69" s="2431" t="s">
        <v>2401</v>
      </c>
      <c r="Q69" s="2424">
        <f ca="1">ROUND(Q70-Q71*Q72,0)</f>
        <v>-280</v>
      </c>
      <c r="R69" s="2427"/>
    </row>
    <row r="70" spans="1:18" ht="15.75" thickBot="1">
      <c r="A70" s="823" t="s">
        <v>1787</v>
      </c>
      <c r="B70" s="824" t="s">
        <v>1810</v>
      </c>
      <c r="C70" s="825">
        <f ca="1">ROUND(C67*10000/F70,0)</f>
        <v>-1979</v>
      </c>
      <c r="D70" s="826" t="s">
        <v>1811</v>
      </c>
      <c r="E70" s="827" t="s">
        <v>1812</v>
      </c>
      <c r="F70" s="828">
        <f ca="1">F43</f>
        <v>15958.279999999999</v>
      </c>
      <c r="O70" s="2425" t="s">
        <v>2402</v>
      </c>
      <c r="P70" s="2431" t="s">
        <v>2403</v>
      </c>
      <c r="Q70" s="2424">
        <f ca="1">C39</f>
        <v>316</v>
      </c>
      <c r="R70" s="2423" t="s">
        <v>2383</v>
      </c>
    </row>
    <row r="71" spans="1:18" ht="15.75" thickBot="1">
      <c r="O71" s="2425" t="s">
        <v>2404</v>
      </c>
      <c r="P71" s="2431" t="s">
        <v>2405</v>
      </c>
      <c r="Q71" s="2424">
        <f ca="1">C13</f>
        <v>7009</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8532</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2474</v>
      </c>
      <c r="B1" s="3462"/>
      <c r="C1" s="3463"/>
      <c r="D1" s="3464">
        <f>SUM(I10,I15,I20,I21,I23)</f>
        <v>0</v>
      </c>
      <c r="E1" s="3464"/>
      <c r="F1" s="3464"/>
      <c r="G1" s="3464"/>
      <c r="H1" s="3464"/>
      <c r="I1" s="3465"/>
    </row>
    <row r="2" spans="1:9">
      <c r="A2" s="3451" t="s">
        <v>2475</v>
      </c>
      <c r="B2" s="3452" t="s">
        <v>2476</v>
      </c>
      <c r="C2" s="3452"/>
      <c r="D2" s="2531" t="s">
        <v>2477</v>
      </c>
      <c r="E2" s="2531" t="s">
        <v>2478</v>
      </c>
      <c r="F2" s="2531" t="s">
        <v>2479</v>
      </c>
      <c r="G2" s="2531" t="s">
        <v>2480</v>
      </c>
      <c r="H2" s="2531" t="s">
        <v>2481</v>
      </c>
      <c r="I2" s="2532" t="s">
        <v>2482</v>
      </c>
    </row>
    <row r="3" spans="1:9">
      <c r="A3" s="3451"/>
      <c r="B3" s="3452" t="s">
        <v>2483</v>
      </c>
      <c r="C3" s="3452"/>
      <c r="D3" s="2533"/>
      <c r="E3" s="2531"/>
      <c r="F3" s="2534"/>
      <c r="G3" s="2534"/>
      <c r="H3" s="2535"/>
      <c r="I3" s="2536">
        <f>ROUND(D3*E3*F3*G3*H3/10000,0)</f>
        <v>0</v>
      </c>
    </row>
    <row r="4" spans="1:9">
      <c r="A4" s="3451"/>
      <c r="B4" s="3452" t="s">
        <v>2484</v>
      </c>
      <c r="C4" s="3452"/>
      <c r="D4" s="2533"/>
      <c r="E4" s="2531"/>
      <c r="F4" s="2534"/>
      <c r="G4" s="2534"/>
      <c r="H4" s="2535"/>
      <c r="I4" s="2536">
        <f t="shared" ref="I4:I9" si="0">ROUND(D4*E4*F4*G4*H4/10000,0)</f>
        <v>0</v>
      </c>
    </row>
    <row r="5" spans="1:9">
      <c r="A5" s="3451"/>
      <c r="B5" s="3452" t="s">
        <v>2485</v>
      </c>
      <c r="C5" s="3452"/>
      <c r="D5" s="2533"/>
      <c r="E5" s="2531"/>
      <c r="F5" s="2534"/>
      <c r="G5" s="2534"/>
      <c r="H5" s="2535"/>
      <c r="I5" s="2536">
        <f t="shared" si="0"/>
        <v>0</v>
      </c>
    </row>
    <row r="6" spans="1:9">
      <c r="A6" s="3451"/>
      <c r="B6" s="3452" t="s">
        <v>2486</v>
      </c>
      <c r="C6" s="3452"/>
      <c r="D6" s="2533"/>
      <c r="E6" s="2531"/>
      <c r="F6" s="2534"/>
      <c r="G6" s="2534"/>
      <c r="H6" s="2535"/>
      <c r="I6" s="2536">
        <f t="shared" si="0"/>
        <v>0</v>
      </c>
    </row>
    <row r="7" spans="1:9">
      <c r="A7" s="3451"/>
      <c r="B7" s="3452" t="s">
        <v>2487</v>
      </c>
      <c r="C7" s="3452"/>
      <c r="D7" s="2533"/>
      <c r="E7" s="2531"/>
      <c r="F7" s="2534"/>
      <c r="G7" s="2534"/>
      <c r="H7" s="2535"/>
      <c r="I7" s="2536">
        <f t="shared" si="0"/>
        <v>0</v>
      </c>
    </row>
    <row r="8" spans="1:9">
      <c r="A8" s="3451"/>
      <c r="B8" s="3452" t="s">
        <v>2488</v>
      </c>
      <c r="C8" s="3452"/>
      <c r="D8" s="2533"/>
      <c r="E8" s="2531"/>
      <c r="F8" s="2534"/>
      <c r="G8" s="2534"/>
      <c r="H8" s="2535"/>
      <c r="I8" s="2536">
        <f t="shared" si="0"/>
        <v>0</v>
      </c>
    </row>
    <row r="9" spans="1:9">
      <c r="A9" s="3451"/>
      <c r="B9" s="3452" t="s">
        <v>2489</v>
      </c>
      <c r="C9" s="3452"/>
      <c r="D9" s="2533"/>
      <c r="E9" s="2531"/>
      <c r="F9" s="2534"/>
      <c r="G9" s="2534"/>
      <c r="H9" s="2535"/>
      <c r="I9" s="2536">
        <f t="shared" si="0"/>
        <v>0</v>
      </c>
    </row>
    <row r="10" spans="1:9">
      <c r="A10" s="3451"/>
      <c r="B10" s="3453" t="s">
        <v>2490</v>
      </c>
      <c r="C10" s="3453"/>
      <c r="D10" s="2537">
        <v>527</v>
      </c>
      <c r="E10" s="2537" t="e">
        <f>ROUND(D1*10000/D10/H9,0)</f>
        <v>#DIV/0!</v>
      </c>
      <c r="F10" s="2538"/>
      <c r="G10" s="2538"/>
      <c r="H10" s="2539"/>
      <c r="I10" s="2540">
        <f>SUM(I3:I9)</f>
        <v>0</v>
      </c>
    </row>
    <row r="11" spans="1:9" ht="14.25">
      <c r="A11" s="3451" t="s">
        <v>2491</v>
      </c>
      <c r="B11" s="3452" t="s">
        <v>2492</v>
      </c>
      <c r="C11" s="3452"/>
      <c r="D11" s="2533" t="s">
        <v>2493</v>
      </c>
      <c r="E11" s="2533" t="s">
        <v>2494</v>
      </c>
      <c r="F11" s="2534" t="s">
        <v>2495</v>
      </c>
      <c r="G11" s="2534" t="s">
        <v>2496</v>
      </c>
      <c r="H11" s="2541" t="s">
        <v>2497</v>
      </c>
      <c r="I11" s="2532" t="s">
        <v>2498</v>
      </c>
    </row>
    <row r="12" spans="1:9">
      <c r="A12" s="3451"/>
      <c r="B12" s="3452" t="s">
        <v>2499</v>
      </c>
      <c r="C12" s="3452"/>
      <c r="D12" s="2533"/>
      <c r="E12" s="2533"/>
      <c r="F12" s="2534"/>
      <c r="G12" s="2535"/>
      <c r="H12" s="2542"/>
      <c r="I12" s="2532">
        <f>ROUND(D12*E12*F12*G12/10000,0)</f>
        <v>0</v>
      </c>
    </row>
    <row r="13" spans="1:9">
      <c r="A13" s="3451"/>
      <c r="B13" s="3452" t="s">
        <v>2500</v>
      </c>
      <c r="C13" s="3452"/>
      <c r="D13" s="2533"/>
      <c r="E13" s="2533"/>
      <c r="F13" s="2534"/>
      <c r="G13" s="2535"/>
      <c r="H13" s="2542"/>
      <c r="I13" s="2532">
        <f>ROUND(D13*E13*F13*G13/10000,0)</f>
        <v>0</v>
      </c>
    </row>
    <row r="14" spans="1:9">
      <c r="A14" s="3451"/>
      <c r="B14" s="3452" t="s">
        <v>2501</v>
      </c>
      <c r="C14" s="3452"/>
      <c r="D14" s="2533"/>
      <c r="E14" s="2533"/>
      <c r="F14" s="2534"/>
      <c r="G14" s="2535"/>
      <c r="H14" s="2542"/>
      <c r="I14" s="2532">
        <f>ROUND(D14*E14*F14*G14/10000,0)</f>
        <v>0</v>
      </c>
    </row>
    <row r="15" spans="1:9">
      <c r="A15" s="3451"/>
      <c r="B15" s="3453" t="s">
        <v>2490</v>
      </c>
      <c r="C15" s="3453"/>
      <c r="D15" s="2537"/>
      <c r="E15" s="2537">
        <f>SUM(E12:E14)</f>
        <v>0</v>
      </c>
      <c r="F15" s="2538"/>
      <c r="G15" s="2535"/>
      <c r="H15" s="2542"/>
      <c r="I15" s="2543">
        <f>SUM(I12:I14)</f>
        <v>0</v>
      </c>
    </row>
    <row r="16" spans="1:9" ht="24">
      <c r="A16" s="3451" t="s">
        <v>2502</v>
      </c>
      <c r="B16" s="3452" t="s">
        <v>2503</v>
      </c>
      <c r="C16" s="3452"/>
      <c r="D16" s="2533" t="s">
        <v>2504</v>
      </c>
      <c r="E16" s="2544" t="s">
        <v>2505</v>
      </c>
      <c r="F16" s="2534" t="s">
        <v>2506</v>
      </c>
      <c r="G16" s="2535" t="s">
        <v>2496</v>
      </c>
      <c r="H16" s="2541" t="s">
        <v>2497</v>
      </c>
      <c r="I16" s="2532" t="s">
        <v>2498</v>
      </c>
    </row>
    <row r="17" spans="1:9" ht="14.25">
      <c r="A17" s="3451"/>
      <c r="B17" s="3452" t="s">
        <v>2507</v>
      </c>
      <c r="C17" s="3452"/>
      <c r="D17" s="2533"/>
      <c r="E17" s="2533"/>
      <c r="F17" s="2534"/>
      <c r="G17" s="2535"/>
      <c r="H17" s="2545"/>
      <c r="I17" s="2546">
        <f>ROUND(D17*E17*F17*G17/10000,0)</f>
        <v>0</v>
      </c>
    </row>
    <row r="18" spans="1:9" ht="14.25">
      <c r="A18" s="3451"/>
      <c r="B18" s="3452" t="s">
        <v>2508</v>
      </c>
      <c r="C18" s="3452"/>
      <c r="D18" s="2533"/>
      <c r="E18" s="2533"/>
      <c r="F18" s="2534"/>
      <c r="G18" s="2535"/>
      <c r="H18" s="2545"/>
      <c r="I18" s="2546">
        <f>ROUND(D18*E18*F18*G18/10000,0)</f>
        <v>0</v>
      </c>
    </row>
    <row r="19" spans="1:9" ht="14.25">
      <c r="A19" s="3451"/>
      <c r="B19" s="3452" t="s">
        <v>2509</v>
      </c>
      <c r="C19" s="3452"/>
      <c r="D19" s="2533"/>
      <c r="E19" s="2533"/>
      <c r="F19" s="2534"/>
      <c r="G19" s="2535"/>
      <c r="H19" s="2545"/>
      <c r="I19" s="2546">
        <f>ROUND(D19*E19*F19*G19/10000,0)</f>
        <v>0</v>
      </c>
    </row>
    <row r="20" spans="1:9">
      <c r="A20" s="3451"/>
      <c r="B20" s="3453" t="s">
        <v>2490</v>
      </c>
      <c r="C20" s="3453"/>
      <c r="D20" s="2537">
        <f>SUM(D17:D19)</f>
        <v>0</v>
      </c>
      <c r="E20" s="2537"/>
      <c r="F20" s="2538"/>
      <c r="G20" s="2535"/>
      <c r="H20" s="2542"/>
      <c r="I20" s="2543">
        <f>SUM(I17:I19)</f>
        <v>0</v>
      </c>
    </row>
    <row r="21" spans="1:9">
      <c r="A21" s="3451" t="s">
        <v>2510</v>
      </c>
      <c r="B21" s="3454"/>
      <c r="C21" s="3454"/>
      <c r="D21" s="3454"/>
      <c r="E21" s="3454"/>
      <c r="F21" s="3454"/>
      <c r="G21" s="3454"/>
      <c r="H21" s="2547">
        <v>0.1</v>
      </c>
      <c r="I21" s="2540">
        <f>ROUND(I10*H21,0)</f>
        <v>0</v>
      </c>
    </row>
    <row r="22" spans="1:9" ht="14.25">
      <c r="A22" s="3455" t="s">
        <v>2511</v>
      </c>
      <c r="B22" s="3456"/>
      <c r="C22" s="3457"/>
      <c r="D22" s="2548" t="s">
        <v>2512</v>
      </c>
      <c r="E22" s="2548" t="s">
        <v>2513</v>
      </c>
      <c r="F22" s="2549" t="s">
        <v>2514</v>
      </c>
      <c r="G22" s="2549" t="s">
        <v>2515</v>
      </c>
      <c r="H22" s="2541" t="s">
        <v>2516</v>
      </c>
      <c r="I22" s="2532" t="s">
        <v>2517</v>
      </c>
    </row>
    <row r="23" spans="1:9" ht="14.25" thickBot="1">
      <c r="A23" s="3458"/>
      <c r="B23" s="3459"/>
      <c r="C23" s="3460"/>
      <c r="D23" s="2550"/>
      <c r="E23" s="2550"/>
      <c r="F23" s="2550"/>
      <c r="G23" s="2551"/>
      <c r="H23" s="2552"/>
      <c r="I23" s="2553">
        <f>ROUND(E23*D23*F23*(1-G23)/10000,0)</f>
        <v>0</v>
      </c>
    </row>
    <row r="26" spans="1:9">
      <c r="A26" s="2554" t="s">
        <v>2518</v>
      </c>
      <c r="B26" s="2554"/>
      <c r="C26" s="2554"/>
      <c r="D26" s="2554"/>
      <c r="E26" s="3448">
        <f>C27-C30-C31-C32</f>
        <v>0</v>
      </c>
      <c r="F26" s="3448"/>
      <c r="G26" s="3448"/>
      <c r="H26" s="3066" t="s">
        <v>2845</v>
      </c>
    </row>
    <row r="27" spans="1:9">
      <c r="A27" s="2555">
        <v>1</v>
      </c>
      <c r="B27" s="2556" t="s">
        <v>2519</v>
      </c>
      <c r="C27" s="2556"/>
      <c r="D27" s="2556"/>
      <c r="E27" s="3449"/>
      <c r="F27" s="3449"/>
      <c r="G27" s="3449"/>
    </row>
    <row r="28" spans="1:9">
      <c r="A28" s="2557" t="s">
        <v>2520</v>
      </c>
      <c r="B28" s="2556" t="s">
        <v>2521</v>
      </c>
      <c r="C28" s="2556"/>
      <c r="D28" s="2556"/>
      <c r="E28" s="3449"/>
      <c r="F28" s="3449"/>
      <c r="G28" s="3449"/>
    </row>
    <row r="29" spans="1:9">
      <c r="A29" s="2557" t="s">
        <v>2522</v>
      </c>
      <c r="B29" s="2556" t="s">
        <v>2463</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50"/>
      <c r="F32" s="3450"/>
      <c r="G32" s="3450"/>
    </row>
    <row r="33" spans="1:7" hidden="1">
      <c r="A33" s="3445" t="s">
        <v>2529</v>
      </c>
      <c r="B33" s="3446"/>
      <c r="C33" s="3446"/>
      <c r="D33" s="3447"/>
      <c r="E33" s="3448"/>
      <c r="F33" s="3448"/>
      <c r="G33" s="3448"/>
    </row>
    <row r="34" spans="1:7" hidden="1">
      <c r="A34" s="2559">
        <v>1</v>
      </c>
      <c r="B34" s="2556" t="s">
        <v>2530</v>
      </c>
      <c r="C34" s="2556"/>
      <c r="D34" s="2556"/>
      <c r="E34" s="3449"/>
      <c r="F34" s="3449"/>
      <c r="G34" s="3449"/>
    </row>
    <row r="35" spans="1:7" hidden="1">
      <c r="A35" s="2559">
        <v>2</v>
      </c>
      <c r="B35" s="2556" t="s">
        <v>2531</v>
      </c>
      <c r="C35" s="2556"/>
      <c r="D35" s="2556"/>
      <c r="E35" s="3449"/>
      <c r="F35" s="3449"/>
      <c r="G35" s="3449"/>
    </row>
    <row r="36" spans="1:7" hidden="1">
      <c r="A36" s="2559">
        <v>3</v>
      </c>
      <c r="B36" s="2556" t="s">
        <v>2532</v>
      </c>
      <c r="C36" s="2556"/>
      <c r="D36" s="2556"/>
      <c r="E36" s="3449"/>
      <c r="F36" s="3449"/>
      <c r="G36" s="3449"/>
    </row>
    <row r="37" spans="1:7" hidden="1">
      <c r="A37" s="2559">
        <v>4</v>
      </c>
      <c r="B37" s="2556" t="s">
        <v>2533</v>
      </c>
      <c r="C37" s="2556"/>
      <c r="D37" s="2556"/>
      <c r="E37" s="3449"/>
      <c r="F37" s="3449"/>
      <c r="G37" s="3449"/>
    </row>
    <row r="38" spans="1:7" hidden="1">
      <c r="A38" s="3445" t="s">
        <v>2534</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2443</v>
      </c>
      <c r="B8" s="2496" t="s">
        <v>2445</v>
      </c>
      <c r="C8" s="2497"/>
      <c r="D8" s="749"/>
      <c r="E8" s="750"/>
      <c r="F8" s="750"/>
      <c r="G8" s="751"/>
    </row>
    <row r="9" spans="1:25" s="2183" customFormat="1" ht="13.5" customHeight="1">
      <c r="A9" s="2493" t="s">
        <v>2444</v>
      </c>
      <c r="B9" s="2496" t="s">
        <v>2446</v>
      </c>
      <c r="C9" s="2497"/>
      <c r="D9" s="749"/>
      <c r="E9" s="750"/>
      <c r="F9" s="750"/>
      <c r="G9" s="751"/>
    </row>
    <row r="10" spans="1:25" s="2183" customFormat="1" ht="36">
      <c r="A10" s="2493">
        <v>2</v>
      </c>
      <c r="B10" s="748" t="s">
        <v>613</v>
      </c>
      <c r="C10" s="749">
        <f>C11+C14+C15</f>
        <v>0</v>
      </c>
      <c r="D10" s="760">
        <f>'数据-汇总表'!E3</f>
        <v>279349.84999999998</v>
      </c>
      <c r="E10" s="749">
        <f>'数据-取费表'!B31</f>
        <v>150</v>
      </c>
      <c r="F10" s="761"/>
      <c r="G10" s="759" t="s">
        <v>614</v>
      </c>
    </row>
    <row r="11" spans="1:25" s="2183" customFormat="1" ht="13.5" customHeight="1">
      <c r="A11" s="2493" t="s">
        <v>2443</v>
      </c>
      <c r="B11" s="752" t="s">
        <v>610</v>
      </c>
      <c r="C11" s="753">
        <f>'数据-取费表'!B29</f>
        <v>0</v>
      </c>
      <c r="D11" s="754"/>
      <c r="E11" s="753"/>
      <c r="F11" s="755"/>
      <c r="G11" s="2502" t="s">
        <v>2454</v>
      </c>
    </row>
    <row r="12" spans="1:25" s="2183" customFormat="1" ht="13.5" customHeight="1">
      <c r="A12" s="2500" t="s">
        <v>2451</v>
      </c>
      <c r="B12" s="756" t="s">
        <v>611</v>
      </c>
      <c r="C12" s="757">
        <f>ROUND(D12*E12/10000,0)</f>
        <v>3350</v>
      </c>
      <c r="D12" s="758">
        <f>'数据-汇总表'!E5</f>
        <v>209359.93</v>
      </c>
      <c r="E12" s="757">
        <f>'数据-取费表'!B27</f>
        <v>160</v>
      </c>
      <c r="F12" s="755"/>
      <c r="G12" s="759"/>
    </row>
    <row r="13" spans="1:25" s="2183" customFormat="1" ht="13.5" customHeight="1">
      <c r="A13" s="2500" t="s">
        <v>2450</v>
      </c>
      <c r="B13" s="756" t="s">
        <v>612</v>
      </c>
      <c r="C13" s="757">
        <f>ROUND(D13*E13/10000,0)</f>
        <v>1400</v>
      </c>
      <c r="D13" s="758">
        <f>'数据-汇总表'!E6</f>
        <v>69989.919999999984</v>
      </c>
      <c r="E13" s="757">
        <f>'数据-取费表'!B28</f>
        <v>200</v>
      </c>
      <c r="F13" s="755"/>
      <c r="G13" s="759"/>
    </row>
    <row r="14" spans="1:25" s="2183" customFormat="1" ht="13.5" customHeight="1">
      <c r="A14" s="2493" t="s">
        <v>2444</v>
      </c>
      <c r="B14" s="2499" t="s">
        <v>2447</v>
      </c>
      <c r="C14" s="2497"/>
      <c r="D14" s="758"/>
      <c r="E14" s="757"/>
      <c r="F14" s="2498"/>
      <c r="G14" s="2501" t="s">
        <v>2452</v>
      </c>
    </row>
    <row r="15" spans="1:25" s="2183" customFormat="1" ht="13.5" customHeight="1">
      <c r="A15" s="2493" t="s">
        <v>2449</v>
      </c>
      <c r="B15" s="2499" t="s">
        <v>2448</v>
      </c>
      <c r="C15" s="2497"/>
      <c r="D15" s="758"/>
      <c r="E15" s="757"/>
      <c r="F15" s="2498"/>
      <c r="G15" s="2501" t="s">
        <v>2453</v>
      </c>
    </row>
    <row r="16" spans="1:25" s="2184" customFormat="1" ht="48">
      <c r="A16" s="2493">
        <v>3</v>
      </c>
      <c r="B16" s="748" t="s">
        <v>615</v>
      </c>
      <c r="C16" s="2497"/>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0.14000000000000001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0.92500000000000004</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c r="E1" s="2650"/>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73" t="s">
        <v>522</v>
      </c>
      <c r="D4" s="3374"/>
      <c r="E4" s="3397" t="s">
        <v>523</v>
      </c>
      <c r="F4" s="3398"/>
      <c r="G4" s="3373" t="s">
        <v>524</v>
      </c>
      <c r="H4" s="3374"/>
      <c r="I4" s="3373" t="s">
        <v>525</v>
      </c>
      <c r="J4" s="3374"/>
      <c r="K4" s="853" t="s">
        <v>526</v>
      </c>
      <c r="L4" s="2133"/>
      <c r="M4" s="2134"/>
      <c r="N4" s="2134"/>
      <c r="O4" s="2134"/>
      <c r="P4" s="3375" t="s">
        <v>527</v>
      </c>
      <c r="Q4" s="3376"/>
      <c r="R4" s="3361" t="s">
        <v>523</v>
      </c>
      <c r="S4" s="3362"/>
      <c r="T4" s="3361" t="s">
        <v>524</v>
      </c>
      <c r="U4" s="3362"/>
      <c r="V4" s="3381" t="s">
        <v>525</v>
      </c>
      <c r="W4" s="3381"/>
      <c r="X4" s="1566"/>
      <c r="Y4" s="3361" t="s">
        <v>527</v>
      </c>
      <c r="Z4" s="3362"/>
      <c r="AA4" s="3356" t="s">
        <v>523</v>
      </c>
      <c r="AB4" s="3356" t="s">
        <v>524</v>
      </c>
      <c r="AC4" s="3356" t="s">
        <v>525</v>
      </c>
    </row>
    <row r="5" spans="1:29" ht="15">
      <c r="A5" s="515"/>
      <c r="B5" s="516"/>
      <c r="C5" s="3384" t="s">
        <v>2932</v>
      </c>
      <c r="D5" s="3385"/>
      <c r="E5" s="3399" t="s">
        <v>2933</v>
      </c>
      <c r="F5" s="3400"/>
      <c r="G5" s="3384" t="s">
        <v>2934</v>
      </c>
      <c r="H5" s="3385"/>
      <c r="I5" s="3384" t="s">
        <v>2935</v>
      </c>
      <c r="J5" s="3385"/>
      <c r="K5" s="854"/>
      <c r="L5" s="2133"/>
      <c r="M5" s="2134"/>
      <c r="N5" s="2134"/>
      <c r="O5" s="2134"/>
      <c r="P5" s="3377"/>
      <c r="Q5" s="3378"/>
      <c r="R5" s="3363"/>
      <c r="S5" s="3364"/>
      <c r="T5" s="3363"/>
      <c r="U5" s="3364"/>
      <c r="V5" s="3381"/>
      <c r="W5" s="3381"/>
      <c r="X5" s="1566"/>
      <c r="Y5" s="3363"/>
      <c r="Z5" s="3364"/>
      <c r="AA5" s="3357"/>
      <c r="AB5" s="3357"/>
      <c r="AC5" s="3357"/>
    </row>
    <row r="6" spans="1:29" ht="15.75" thickBot="1">
      <c r="A6" s="517"/>
      <c r="B6" s="518"/>
      <c r="C6" s="3382" t="s">
        <v>2936</v>
      </c>
      <c r="D6" s="3383"/>
      <c r="E6" s="3401" t="s">
        <v>2936</v>
      </c>
      <c r="F6" s="3402"/>
      <c r="G6" s="3382" t="s">
        <v>2936</v>
      </c>
      <c r="H6" s="3383"/>
      <c r="I6" s="3382" t="s">
        <v>2936</v>
      </c>
      <c r="J6" s="3383"/>
      <c r="K6" s="854" t="s">
        <v>528</v>
      </c>
      <c r="L6" s="2133"/>
      <c r="M6" s="2134"/>
      <c r="N6" s="2134"/>
      <c r="O6" s="2134"/>
      <c r="P6" s="3379"/>
      <c r="Q6" s="3380"/>
      <c r="R6" s="3363"/>
      <c r="S6" s="3364"/>
      <c r="T6" s="3365"/>
      <c r="U6" s="3366"/>
      <c r="V6" s="3381"/>
      <c r="W6" s="3381"/>
      <c r="X6" s="1566"/>
      <c r="Y6" s="3365"/>
      <c r="Z6" s="3366"/>
      <c r="AA6" s="3358"/>
      <c r="AB6" s="3358"/>
      <c r="AC6" s="3358"/>
    </row>
    <row r="7" spans="1:29" s="1220" customFormat="1" ht="15.75" thickBot="1">
      <c r="A7" s="2936"/>
      <c r="B7" s="2943" t="s">
        <v>529</v>
      </c>
      <c r="C7" s="519">
        <f>'数据-取费表'!B2</f>
        <v>43228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59" t="s">
        <v>530</v>
      </c>
      <c r="Q7" s="3368"/>
      <c r="R7" s="1567" t="s">
        <v>13</v>
      </c>
      <c r="S7" s="1568">
        <f t="shared" ref="S7:S15" si="0">F7</f>
        <v>0</v>
      </c>
      <c r="T7" s="1567" t="s">
        <v>13</v>
      </c>
      <c r="U7" s="1568">
        <f t="shared" ref="U7:U15" si="1">H7</f>
        <v>0</v>
      </c>
      <c r="V7" s="1567" t="s">
        <v>13</v>
      </c>
      <c r="W7" s="1568">
        <f t="shared" ref="W7:W15" si="2">J7</f>
        <v>0</v>
      </c>
      <c r="X7" s="1569"/>
      <c r="Y7" s="3359" t="s">
        <v>530</v>
      </c>
      <c r="Z7" s="3360"/>
      <c r="AA7" s="1570" t="e">
        <f>D7/F7</f>
        <v>#DIV/0!</v>
      </c>
      <c r="AB7" s="1570" t="e">
        <f>D7/H7</f>
        <v>#DIV/0!</v>
      </c>
      <c r="AC7" s="1570" t="e">
        <f>D7/J7</f>
        <v>#DIV/0!</v>
      </c>
    </row>
    <row r="8" spans="1:29" s="1220"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59" t="s">
        <v>533</v>
      </c>
      <c r="Q8" s="3360"/>
      <c r="R8" s="1567" t="s">
        <v>13</v>
      </c>
      <c r="S8" s="1568">
        <f t="shared" si="0"/>
        <v>0</v>
      </c>
      <c r="T8" s="1567" t="s">
        <v>13</v>
      </c>
      <c r="U8" s="1568">
        <f t="shared" si="1"/>
        <v>0</v>
      </c>
      <c r="V8" s="1567" t="s">
        <v>13</v>
      </c>
      <c r="W8" s="1568">
        <f t="shared" si="2"/>
        <v>0</v>
      </c>
      <c r="X8" s="1569"/>
      <c r="Y8" s="3359" t="s">
        <v>533</v>
      </c>
      <c r="Z8" s="3360"/>
      <c r="AA8" s="1570" t="e">
        <f t="shared" ref="AA8:AA46" si="3">D8/F8</f>
        <v>#DIV/0!</v>
      </c>
      <c r="AB8" s="1570" t="e">
        <f t="shared" ref="AB8:AB46" si="4">D8/H8</f>
        <v>#DIV/0!</v>
      </c>
      <c r="AC8" s="1570" t="e">
        <f t="shared" ref="AC8:AC46" si="5">D8/J8</f>
        <v>#DIV/0!</v>
      </c>
    </row>
    <row r="9" spans="1:29" s="1220" customFormat="1" ht="15">
      <c r="A9" s="2938"/>
      <c r="B9" s="2945" t="s">
        <v>2758</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7" t="s">
        <v>535</v>
      </c>
      <c r="Q9" s="1151" t="str">
        <f t="shared" ref="Q9:Q15" si="6">B9</f>
        <v>用途</v>
      </c>
      <c r="R9" s="1567" t="s">
        <v>8</v>
      </c>
      <c r="S9" s="1568">
        <f t="shared" si="0"/>
        <v>100</v>
      </c>
      <c r="T9" s="1567" t="s">
        <v>8</v>
      </c>
      <c r="U9" s="1568">
        <f t="shared" si="1"/>
        <v>100</v>
      </c>
      <c r="V9" s="1567" t="s">
        <v>8</v>
      </c>
      <c r="W9" s="1568">
        <f t="shared" si="2"/>
        <v>100</v>
      </c>
      <c r="X9" s="1569"/>
      <c r="Y9" s="3324" t="s">
        <v>536</v>
      </c>
      <c r="Z9" s="1150" t="str">
        <f t="shared" ref="Z9:Z15" si="7">Q9</f>
        <v>用途</v>
      </c>
      <c r="AA9" s="1570">
        <f t="shared" si="3"/>
        <v>1</v>
      </c>
      <c r="AB9" s="1570">
        <f t="shared" si="4"/>
        <v>1</v>
      </c>
      <c r="AC9" s="1570">
        <f t="shared" si="5"/>
        <v>1</v>
      </c>
    </row>
    <row r="10" spans="1:29" s="1338" customFormat="1" ht="27">
      <c r="A10" s="2939"/>
      <c r="B10" s="2944"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7"/>
      <c r="Q10" s="1151" t="str">
        <f t="shared" si="6"/>
        <v>土地使用年限（年）</v>
      </c>
      <c r="R10" s="1567" t="s">
        <v>8</v>
      </c>
      <c r="S10" s="1568">
        <f t="shared" si="0"/>
        <v>100</v>
      </c>
      <c r="T10" s="1567" t="s">
        <v>8</v>
      </c>
      <c r="U10" s="1568">
        <f t="shared" si="1"/>
        <v>100</v>
      </c>
      <c r="V10" s="1567" t="s">
        <v>8</v>
      </c>
      <c r="W10" s="1568">
        <f t="shared" si="2"/>
        <v>100</v>
      </c>
      <c r="X10" s="1569"/>
      <c r="Y10" s="3324"/>
      <c r="Z10" s="1150" t="str">
        <f t="shared" si="7"/>
        <v>土地使用年限（年）</v>
      </c>
      <c r="AA10" s="1570">
        <f t="shared" si="3"/>
        <v>1</v>
      </c>
      <c r="AB10" s="1570">
        <f t="shared" si="4"/>
        <v>1</v>
      </c>
      <c r="AC10" s="1570">
        <f t="shared" si="5"/>
        <v>1</v>
      </c>
    </row>
    <row r="11" spans="1:29" ht="15">
      <c r="A11" s="2940"/>
      <c r="B11" s="2944"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7"/>
      <c r="Q11" s="1151" t="str">
        <f t="shared" si="6"/>
        <v>容积率</v>
      </c>
      <c r="R11" s="1567" t="s">
        <v>11</v>
      </c>
      <c r="S11" s="1568" t="e">
        <f t="shared" si="0"/>
        <v>#N/A</v>
      </c>
      <c r="T11" s="1567" t="s">
        <v>11</v>
      </c>
      <c r="U11" s="1568" t="e">
        <f t="shared" si="1"/>
        <v>#N/A</v>
      </c>
      <c r="V11" s="1567" t="s">
        <v>11</v>
      </c>
      <c r="W11" s="1568" t="e">
        <f t="shared" si="2"/>
        <v>#N/A</v>
      </c>
      <c r="X11" s="1569"/>
      <c r="Y11" s="3324"/>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7"/>
      <c r="Q12" s="1151">
        <f t="shared" si="6"/>
        <v>111</v>
      </c>
      <c r="R12" s="1567" t="s">
        <v>11</v>
      </c>
      <c r="S12" s="1568">
        <f t="shared" si="0"/>
        <v>100</v>
      </c>
      <c r="T12" s="1567" t="s">
        <v>11</v>
      </c>
      <c r="U12" s="1568">
        <f t="shared" si="1"/>
        <v>100</v>
      </c>
      <c r="V12" s="1567" t="s">
        <v>11</v>
      </c>
      <c r="W12" s="1568">
        <f t="shared" si="2"/>
        <v>100</v>
      </c>
      <c r="X12" s="1569"/>
      <c r="Y12" s="3324"/>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7"/>
      <c r="Q13" s="1151">
        <f t="shared" si="6"/>
        <v>111</v>
      </c>
      <c r="R13" s="1567" t="s">
        <v>11</v>
      </c>
      <c r="S13" s="1568">
        <f t="shared" si="0"/>
        <v>100</v>
      </c>
      <c r="T13" s="1567" t="s">
        <v>11</v>
      </c>
      <c r="U13" s="1568">
        <f t="shared" si="1"/>
        <v>100</v>
      </c>
      <c r="V13" s="1567" t="s">
        <v>11</v>
      </c>
      <c r="W13" s="1568">
        <f t="shared" si="2"/>
        <v>100</v>
      </c>
      <c r="X13" s="1569"/>
      <c r="Y13" s="3324"/>
      <c r="Z13" s="1150">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7"/>
      <c r="Q14" s="1151">
        <f t="shared" si="6"/>
        <v>111</v>
      </c>
      <c r="R14" s="1567" t="s">
        <v>11</v>
      </c>
      <c r="S14" s="1568">
        <f t="shared" si="0"/>
        <v>100</v>
      </c>
      <c r="T14" s="1567" t="s">
        <v>11</v>
      </c>
      <c r="U14" s="1568">
        <f t="shared" si="1"/>
        <v>100</v>
      </c>
      <c r="V14" s="1567" t="s">
        <v>11</v>
      </c>
      <c r="W14" s="1568">
        <f t="shared" si="2"/>
        <v>100</v>
      </c>
      <c r="X14" s="1569"/>
      <c r="Y14" s="3324"/>
      <c r="Z14" s="1150">
        <f t="shared" si="7"/>
        <v>111</v>
      </c>
      <c r="AA14" s="1570">
        <f t="shared" si="3"/>
        <v>1</v>
      </c>
      <c r="AB14" s="1570">
        <f t="shared" si="4"/>
        <v>1</v>
      </c>
      <c r="AC14" s="1570">
        <f t="shared" si="5"/>
        <v>1</v>
      </c>
    </row>
    <row r="15" spans="1:29" ht="99.75">
      <c r="A15" s="2934"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69" t="s">
        <v>540</v>
      </c>
      <c r="Q15" s="1571" t="str">
        <f t="shared" si="6"/>
        <v>居住社区成熟度</v>
      </c>
      <c r="R15" s="1572" t="s">
        <v>11</v>
      </c>
      <c r="S15" s="1573">
        <f t="shared" si="0"/>
        <v>100</v>
      </c>
      <c r="T15" s="1572" t="s">
        <v>11</v>
      </c>
      <c r="U15" s="1573">
        <f t="shared" si="1"/>
        <v>100</v>
      </c>
      <c r="V15" s="1572" t="s">
        <v>11</v>
      </c>
      <c r="W15" s="1573">
        <f t="shared" si="2"/>
        <v>100</v>
      </c>
      <c r="X15" s="1566"/>
      <c r="Y15" s="3369" t="s">
        <v>540</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370"/>
      <c r="Q16" s="1571"/>
      <c r="R16" s="1572"/>
      <c r="S16" s="1573"/>
      <c r="T16" s="1572"/>
      <c r="U16" s="1573"/>
      <c r="V16" s="1572"/>
      <c r="W16" s="1573"/>
      <c r="X16" s="1566"/>
      <c r="Y16" s="337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70"/>
      <c r="Q17" s="1571" t="str">
        <f>B17</f>
        <v>交通便捷度</v>
      </c>
      <c r="R17" s="1572" t="s">
        <v>11</v>
      </c>
      <c r="S17" s="1573">
        <f>F17</f>
        <v>100</v>
      </c>
      <c r="T17" s="1572" t="s">
        <v>11</v>
      </c>
      <c r="U17" s="1573">
        <f>H17</f>
        <v>100</v>
      </c>
      <c r="V17" s="1572" t="s">
        <v>11</v>
      </c>
      <c r="W17" s="1573">
        <f>J17</f>
        <v>100</v>
      </c>
      <c r="X17" s="1566"/>
      <c r="Y17" s="337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370"/>
      <c r="Q18" s="1571"/>
      <c r="R18" s="1572"/>
      <c r="S18" s="1573"/>
      <c r="T18" s="1572"/>
      <c r="U18" s="1573"/>
      <c r="V18" s="1572"/>
      <c r="W18" s="1573"/>
      <c r="X18" s="1566"/>
      <c r="Y18" s="3370"/>
      <c r="Z18" s="1574"/>
      <c r="AA18" s="1575">
        <v>1</v>
      </c>
      <c r="AB18" s="1575">
        <v>1</v>
      </c>
      <c r="AC18" s="1575">
        <v>1</v>
      </c>
    </row>
    <row r="19" spans="1:29" ht="42.75">
      <c r="A19" s="532"/>
      <c r="B19" s="2624"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70"/>
      <c r="Q19" s="1571" t="str">
        <f>B19</f>
        <v>公共配套设施</v>
      </c>
      <c r="R19" s="1572" t="s">
        <v>11</v>
      </c>
      <c r="S19" s="1573">
        <f>F19</f>
        <v>100</v>
      </c>
      <c r="T19" s="1572" t="s">
        <v>11</v>
      </c>
      <c r="U19" s="1573">
        <f>H19</f>
        <v>100</v>
      </c>
      <c r="V19" s="1572" t="s">
        <v>11</v>
      </c>
      <c r="W19" s="1573">
        <f>J19</f>
        <v>100</v>
      </c>
      <c r="X19" s="1566"/>
      <c r="Y19" s="337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370"/>
      <c r="Q20" s="1571"/>
      <c r="R20" s="1572"/>
      <c r="S20" s="1573"/>
      <c r="T20" s="1572"/>
      <c r="U20" s="1573"/>
      <c r="V20" s="1572"/>
      <c r="W20" s="1573"/>
      <c r="X20" s="1566"/>
      <c r="Y20" s="3370"/>
      <c r="Z20" s="1574"/>
      <c r="AA20" s="1575">
        <v>1</v>
      </c>
      <c r="AB20" s="1575">
        <v>1</v>
      </c>
      <c r="AC20" s="1575">
        <v>1</v>
      </c>
    </row>
    <row r="21" spans="1:29" ht="28.5">
      <c r="A21" s="532"/>
      <c r="B21" s="2617"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70"/>
      <c r="Q21" s="2603" t="str">
        <f>B21</f>
        <v>基础设施水平</v>
      </c>
      <c r="R21" s="1572" t="s">
        <v>11</v>
      </c>
      <c r="S21" s="1573">
        <f>F21</f>
        <v>100</v>
      </c>
      <c r="T21" s="1572" t="s">
        <v>11</v>
      </c>
      <c r="U21" s="1573">
        <f>H21</f>
        <v>100</v>
      </c>
      <c r="V21" s="1572" t="s">
        <v>11</v>
      </c>
      <c r="W21" s="1573">
        <f>J21</f>
        <v>100</v>
      </c>
      <c r="X21" s="2605"/>
      <c r="Y21" s="3370"/>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370"/>
      <c r="Q22" s="2603"/>
      <c r="R22" s="1572"/>
      <c r="S22" s="1573"/>
      <c r="T22" s="1572"/>
      <c r="U22" s="1573"/>
      <c r="V22" s="1572"/>
      <c r="W22" s="1573"/>
      <c r="X22" s="2605"/>
      <c r="Y22" s="3370"/>
      <c r="Z22" s="2604"/>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70"/>
      <c r="Q23" s="1571" t="str">
        <f>B23</f>
        <v>自然及人文环境</v>
      </c>
      <c r="R23" s="1572" t="s">
        <v>11</v>
      </c>
      <c r="S23" s="1573">
        <f>F23</f>
        <v>100</v>
      </c>
      <c r="T23" s="1572" t="s">
        <v>11</v>
      </c>
      <c r="U23" s="1573">
        <f>H23</f>
        <v>100</v>
      </c>
      <c r="V23" s="1572" t="s">
        <v>11</v>
      </c>
      <c r="W23" s="1573">
        <f>J23</f>
        <v>100</v>
      </c>
      <c r="X23" s="1566"/>
      <c r="Y23" s="337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370"/>
      <c r="Q24" s="1571"/>
      <c r="R24" s="1572"/>
      <c r="S24" s="1573"/>
      <c r="T24" s="1572"/>
      <c r="U24" s="1573"/>
      <c r="V24" s="1572"/>
      <c r="W24" s="1573"/>
      <c r="X24" s="1566"/>
      <c r="Y24" s="3370"/>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0"/>
      <c r="Q25" s="1571" t="str">
        <f t="shared" ref="Q25:Q46" si="11">B25</f>
        <v>楼层-1</v>
      </c>
      <c r="R25" s="1572" t="s">
        <v>11</v>
      </c>
      <c r="S25" s="1573">
        <f>F25</f>
        <v>100</v>
      </c>
      <c r="T25" s="1572" t="s">
        <v>11</v>
      </c>
      <c r="U25" s="1573">
        <f>H25</f>
        <v>100</v>
      </c>
      <c r="V25" s="1572" t="s">
        <v>11</v>
      </c>
      <c r="W25" s="1573">
        <f>J25</f>
        <v>100</v>
      </c>
      <c r="X25" s="1566"/>
      <c r="Y25" s="3370"/>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0"/>
      <c r="Q26" s="1571" t="str">
        <f t="shared" si="11"/>
        <v>朝向</v>
      </c>
      <c r="R26" s="1572" t="s">
        <v>11</v>
      </c>
      <c r="S26" s="1573">
        <f>F26</f>
        <v>100</v>
      </c>
      <c r="T26" s="1572" t="s">
        <v>11</v>
      </c>
      <c r="U26" s="1573">
        <f>H26</f>
        <v>100</v>
      </c>
      <c r="V26" s="1572" t="s">
        <v>11</v>
      </c>
      <c r="W26" s="1573">
        <f>J26</f>
        <v>100</v>
      </c>
      <c r="X26" s="1566"/>
      <c r="Y26" s="3370"/>
      <c r="Z26" s="1574" t="str">
        <f>Q26</f>
        <v>朝向</v>
      </c>
      <c r="AA26" s="1575">
        <f t="shared" si="3"/>
        <v>1</v>
      </c>
      <c r="AB26" s="1575">
        <f t="shared" si="4"/>
        <v>1</v>
      </c>
      <c r="AC26" s="1575">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70"/>
      <c r="Q27" s="1151" t="str">
        <f t="shared" si="11"/>
        <v>道路级别</v>
      </c>
      <c r="R27" s="1567" t="s">
        <v>11</v>
      </c>
      <c r="S27" s="1568">
        <f>F27</f>
        <v>100</v>
      </c>
      <c r="T27" s="1567" t="s">
        <v>11</v>
      </c>
      <c r="U27" s="1568">
        <f>H27</f>
        <v>100</v>
      </c>
      <c r="V27" s="1567" t="s">
        <v>11</v>
      </c>
      <c r="W27" s="1568">
        <f>J27</f>
        <v>100</v>
      </c>
      <c r="X27" s="1569"/>
      <c r="Y27" s="3370"/>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0"/>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0"/>
      <c r="Q29" s="1571">
        <f t="shared" si="11"/>
        <v>111</v>
      </c>
      <c r="R29" s="1572" t="s">
        <v>11</v>
      </c>
      <c r="S29" s="1573">
        <f t="shared" si="12"/>
        <v>100</v>
      </c>
      <c r="T29" s="1572" t="s">
        <v>11</v>
      </c>
      <c r="U29" s="1573">
        <f t="shared" si="13"/>
        <v>100</v>
      </c>
      <c r="V29" s="1572" t="s">
        <v>11</v>
      </c>
      <c r="W29" s="1573">
        <f t="shared" si="14"/>
        <v>100</v>
      </c>
      <c r="X29" s="1566"/>
      <c r="Y29" s="337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0"/>
      <c r="Q30" s="1571">
        <f t="shared" si="11"/>
        <v>111</v>
      </c>
      <c r="R30" s="1572" t="s">
        <v>11</v>
      </c>
      <c r="S30" s="1573">
        <f t="shared" si="12"/>
        <v>100</v>
      </c>
      <c r="T30" s="1572" t="s">
        <v>11</v>
      </c>
      <c r="U30" s="1573">
        <f t="shared" si="13"/>
        <v>100</v>
      </c>
      <c r="V30" s="1572" t="s">
        <v>11</v>
      </c>
      <c r="W30" s="1573">
        <f t="shared" si="14"/>
        <v>100</v>
      </c>
      <c r="X30" s="1566"/>
      <c r="Y30" s="3370"/>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0"/>
      <c r="Q31" s="1571">
        <f t="shared" si="11"/>
        <v>111</v>
      </c>
      <c r="R31" s="1572" t="s">
        <v>11</v>
      </c>
      <c r="S31" s="1573">
        <f t="shared" si="12"/>
        <v>100</v>
      </c>
      <c r="T31" s="1572" t="s">
        <v>11</v>
      </c>
      <c r="U31" s="1573">
        <f t="shared" si="13"/>
        <v>100</v>
      </c>
      <c r="V31" s="1572" t="s">
        <v>11</v>
      </c>
      <c r="W31" s="1573">
        <f t="shared" si="14"/>
        <v>100</v>
      </c>
      <c r="X31" s="1566"/>
      <c r="Y31" s="3370"/>
      <c r="Z31" s="1574">
        <f t="shared" si="15"/>
        <v>111</v>
      </c>
      <c r="AA31" s="1575">
        <f t="shared" si="3"/>
        <v>1</v>
      </c>
      <c r="AB31" s="1575">
        <f t="shared" si="4"/>
        <v>1</v>
      </c>
      <c r="AC31" s="1575">
        <f t="shared" si="5"/>
        <v>1</v>
      </c>
    </row>
    <row r="32" spans="1:29" ht="15">
      <c r="A32" s="2931"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71" t="s">
        <v>550</v>
      </c>
      <c r="Q32" s="1571" t="str">
        <f t="shared" si="11"/>
        <v>建筑类型</v>
      </c>
      <c r="R32" s="1572" t="s">
        <v>11</v>
      </c>
      <c r="S32" s="1573">
        <f t="shared" si="12"/>
        <v>100</v>
      </c>
      <c r="T32" s="1572" t="s">
        <v>11</v>
      </c>
      <c r="U32" s="1573">
        <f t="shared" si="13"/>
        <v>100</v>
      </c>
      <c r="V32" s="1572" t="s">
        <v>11</v>
      </c>
      <c r="W32" s="1573">
        <f t="shared" si="14"/>
        <v>100</v>
      </c>
      <c r="X32" s="1566"/>
      <c r="Y32" s="3372" t="s">
        <v>550</v>
      </c>
      <c r="Z32" s="1574" t="str">
        <f t="shared" si="15"/>
        <v>建筑类型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72"/>
      <c r="Q33" s="1604" t="str">
        <f t="shared" si="11"/>
        <v>项目建筑规模</v>
      </c>
      <c r="R33" s="1576" t="s">
        <v>11</v>
      </c>
      <c r="S33" s="1577" t="e">
        <f t="shared" si="12"/>
        <v>#N/A</v>
      </c>
      <c r="T33" s="1576" t="s">
        <v>11</v>
      </c>
      <c r="U33" s="1577" t="e">
        <f t="shared" si="13"/>
        <v>#N/A</v>
      </c>
      <c r="V33" s="1576" t="s">
        <v>11</v>
      </c>
      <c r="W33" s="1577" t="e">
        <f t="shared" si="14"/>
        <v>#N/A</v>
      </c>
      <c r="X33" s="1578"/>
      <c r="Y33" s="3372"/>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72"/>
      <c r="Q34" s="1571" t="str">
        <f t="shared" si="11"/>
        <v>建筑结构</v>
      </c>
      <c r="R34" s="1572" t="s">
        <v>11</v>
      </c>
      <c r="S34" s="1573">
        <f t="shared" si="12"/>
        <v>100</v>
      </c>
      <c r="T34" s="1572" t="s">
        <v>11</v>
      </c>
      <c r="U34" s="1573">
        <f t="shared" si="13"/>
        <v>100</v>
      </c>
      <c r="V34" s="1572" t="s">
        <v>11</v>
      </c>
      <c r="W34" s="1573">
        <f t="shared" si="14"/>
        <v>100</v>
      </c>
      <c r="X34" s="1566"/>
      <c r="Y34" s="3372"/>
      <c r="Z34" s="1574" t="str">
        <f t="shared" si="15"/>
        <v>建筑结构</v>
      </c>
      <c r="AA34" s="1575">
        <f t="shared" si="3"/>
        <v>1</v>
      </c>
      <c r="AB34" s="1575">
        <f t="shared" si="4"/>
        <v>1</v>
      </c>
      <c r="AC34" s="157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72"/>
      <c r="Q35" s="1571" t="str">
        <f t="shared" si="11"/>
        <v>建筑品质</v>
      </c>
      <c r="R35" s="1572" t="s">
        <v>11</v>
      </c>
      <c r="S35" s="1573">
        <f t="shared" si="12"/>
        <v>100</v>
      </c>
      <c r="T35" s="1572" t="s">
        <v>11</v>
      </c>
      <c r="U35" s="1573">
        <f t="shared" si="13"/>
        <v>100</v>
      </c>
      <c r="V35" s="1572" t="s">
        <v>11</v>
      </c>
      <c r="W35" s="1573">
        <f t="shared" si="14"/>
        <v>100</v>
      </c>
      <c r="X35" s="1566"/>
      <c r="Y35" s="3372"/>
      <c r="Z35" s="1574" t="str">
        <f t="shared" si="15"/>
        <v>建筑品质</v>
      </c>
      <c r="AA35" s="1575">
        <f t="shared" si="3"/>
        <v>1</v>
      </c>
      <c r="AB35" s="1575">
        <f t="shared" si="4"/>
        <v>1</v>
      </c>
      <c r="AC35" s="1575">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72"/>
      <c r="Q36" s="1571" t="str">
        <f t="shared" si="11"/>
        <v>公共部分装修</v>
      </c>
      <c r="R36" s="1572" t="s">
        <v>11</v>
      </c>
      <c r="S36" s="1573">
        <f t="shared" si="12"/>
        <v>100</v>
      </c>
      <c r="T36" s="1572" t="s">
        <v>11</v>
      </c>
      <c r="U36" s="1573">
        <f t="shared" si="13"/>
        <v>100</v>
      </c>
      <c r="V36" s="1572" t="s">
        <v>11</v>
      </c>
      <c r="W36" s="1573">
        <f t="shared" si="14"/>
        <v>100</v>
      </c>
      <c r="X36" s="1566"/>
      <c r="Y36" s="3372"/>
      <c r="Z36" s="1574" t="str">
        <f t="shared" si="15"/>
        <v>公共部分装修</v>
      </c>
      <c r="AA36" s="1575">
        <f t="shared" si="3"/>
        <v>1</v>
      </c>
      <c r="AB36" s="1575">
        <f t="shared" si="4"/>
        <v>1</v>
      </c>
      <c r="AC36" s="1575">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72"/>
      <c r="Q37" s="1151" t="str">
        <f t="shared" si="11"/>
        <v>成新度</v>
      </c>
      <c r="R37" s="1567" t="s">
        <v>11</v>
      </c>
      <c r="S37" s="1568" t="e">
        <f t="shared" si="12"/>
        <v>#N/A</v>
      </c>
      <c r="T37" s="1567" t="s">
        <v>11</v>
      </c>
      <c r="U37" s="1568" t="e">
        <f t="shared" si="13"/>
        <v>#N/A</v>
      </c>
      <c r="V37" s="1567" t="s">
        <v>11</v>
      </c>
      <c r="W37" s="1568" t="e">
        <f t="shared" si="14"/>
        <v>#N/A</v>
      </c>
      <c r="X37" s="1569"/>
      <c r="Y37" s="3372"/>
      <c r="Z37" s="1150" t="str">
        <f t="shared" si="15"/>
        <v>成新度</v>
      </c>
      <c r="AA37" s="1570" t="e">
        <f t="shared" si="3"/>
        <v>#N/A</v>
      </c>
      <c r="AB37" s="1570" t="e">
        <f t="shared" si="4"/>
        <v>#N/A</v>
      </c>
      <c r="AC37" s="1570"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72" t="s">
        <v>550</v>
      </c>
      <c r="Q38" s="1571" t="str">
        <f t="shared" si="11"/>
        <v>物业管理</v>
      </c>
      <c r="R38" s="1572" t="s">
        <v>11</v>
      </c>
      <c r="S38" s="1573">
        <f t="shared" si="12"/>
        <v>100</v>
      </c>
      <c r="T38" s="1572" t="s">
        <v>11</v>
      </c>
      <c r="U38" s="1573">
        <f t="shared" si="13"/>
        <v>100</v>
      </c>
      <c r="V38" s="1572" t="s">
        <v>11</v>
      </c>
      <c r="W38" s="1573">
        <f t="shared" si="14"/>
        <v>100</v>
      </c>
      <c r="X38" s="1566"/>
      <c r="Y38" s="3372" t="s">
        <v>550</v>
      </c>
      <c r="Z38" s="1574" t="str">
        <f t="shared" si="15"/>
        <v>物业管理</v>
      </c>
      <c r="AA38" s="1575">
        <f t="shared" si="3"/>
        <v>1</v>
      </c>
      <c r="AB38" s="1575">
        <f t="shared" si="4"/>
        <v>1</v>
      </c>
      <c r="AC38" s="1575">
        <f t="shared" si="5"/>
        <v>1</v>
      </c>
    </row>
    <row r="39" spans="1:29" ht="15">
      <c r="A39" s="594"/>
      <c r="B39" s="1895"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72"/>
      <c r="Q39" s="1571" t="str">
        <f t="shared" si="11"/>
        <v>市政基础设施</v>
      </c>
      <c r="R39" s="1572" t="s">
        <v>11</v>
      </c>
      <c r="S39" s="1573">
        <f t="shared" si="12"/>
        <v>100</v>
      </c>
      <c r="T39" s="1572" t="s">
        <v>11</v>
      </c>
      <c r="U39" s="1573">
        <f t="shared" si="13"/>
        <v>100</v>
      </c>
      <c r="V39" s="1572" t="s">
        <v>11</v>
      </c>
      <c r="W39" s="1573">
        <f t="shared" si="14"/>
        <v>100</v>
      </c>
      <c r="X39" s="1566"/>
      <c r="Y39" s="3372"/>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72"/>
      <c r="Q40" s="1571" t="str">
        <f t="shared" si="11"/>
        <v>房型</v>
      </c>
      <c r="R40" s="1572" t="s">
        <v>11</v>
      </c>
      <c r="S40" s="1573">
        <f t="shared" si="12"/>
        <v>100</v>
      </c>
      <c r="T40" s="1572" t="s">
        <v>11</v>
      </c>
      <c r="U40" s="1573">
        <f t="shared" si="13"/>
        <v>100</v>
      </c>
      <c r="V40" s="1572" t="s">
        <v>11</v>
      </c>
      <c r="W40" s="1573">
        <f t="shared" si="14"/>
        <v>100</v>
      </c>
      <c r="X40" s="1566"/>
      <c r="Y40" s="3372"/>
      <c r="Z40" s="1574" t="str">
        <f t="shared" si="15"/>
        <v>房型</v>
      </c>
      <c r="AA40" s="1575">
        <f t="shared" si="3"/>
        <v>1</v>
      </c>
      <c r="AB40" s="1575">
        <f t="shared" si="4"/>
        <v>1</v>
      </c>
      <c r="AC40" s="1575">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72"/>
      <c r="Q41" s="1604" t="str">
        <f t="shared" si="11"/>
        <v>单套/主力户型建筑面积</v>
      </c>
      <c r="R41" s="1576" t="s">
        <v>11</v>
      </c>
      <c r="S41" s="1577">
        <f t="shared" si="12"/>
        <v>100</v>
      </c>
      <c r="T41" s="1576" t="s">
        <v>11</v>
      </c>
      <c r="U41" s="1577">
        <f t="shared" si="13"/>
        <v>100</v>
      </c>
      <c r="V41" s="1576" t="s">
        <v>11</v>
      </c>
      <c r="W41" s="1577">
        <f t="shared" si="14"/>
        <v>100</v>
      </c>
      <c r="X41" s="1578"/>
      <c r="Y41" s="3372"/>
      <c r="Z41" s="1579" t="str">
        <f t="shared" si="15"/>
        <v>单套/主力户型建筑面积</v>
      </c>
      <c r="AA41" s="1575">
        <f t="shared" si="3"/>
        <v>1</v>
      </c>
      <c r="AB41" s="1575">
        <f t="shared" si="4"/>
        <v>1</v>
      </c>
      <c r="AC41" s="1575">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72"/>
      <c r="Q42" s="1571" t="str">
        <f t="shared" si="11"/>
        <v>内部装修</v>
      </c>
      <c r="R42" s="1572" t="s">
        <v>11</v>
      </c>
      <c r="S42" s="1573">
        <f t="shared" si="12"/>
        <v>100</v>
      </c>
      <c r="T42" s="1572" t="s">
        <v>11</v>
      </c>
      <c r="U42" s="1573">
        <f t="shared" si="13"/>
        <v>100</v>
      </c>
      <c r="V42" s="1572" t="s">
        <v>11</v>
      </c>
      <c r="W42" s="1573">
        <f t="shared" si="14"/>
        <v>100</v>
      </c>
      <c r="X42" s="1566"/>
      <c r="Y42" s="3372"/>
      <c r="Z42" s="1574" t="str">
        <f t="shared" si="15"/>
        <v>内部装修</v>
      </c>
      <c r="AA42" s="1575">
        <f t="shared" si="3"/>
        <v>1</v>
      </c>
      <c r="AB42" s="1575">
        <f t="shared" si="4"/>
        <v>1</v>
      </c>
      <c r="AC42" s="157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72"/>
      <c r="Q43" s="1571" t="str">
        <f t="shared" si="11"/>
        <v>内部装修维护情况</v>
      </c>
      <c r="R43" s="1572" t="s">
        <v>11</v>
      </c>
      <c r="S43" s="1573">
        <f t="shared" si="12"/>
        <v>100</v>
      </c>
      <c r="T43" s="1572" t="s">
        <v>11</v>
      </c>
      <c r="U43" s="1573">
        <f t="shared" si="13"/>
        <v>100</v>
      </c>
      <c r="V43" s="1572" t="s">
        <v>11</v>
      </c>
      <c r="W43" s="1573">
        <f t="shared" si="14"/>
        <v>100</v>
      </c>
      <c r="X43" s="1566"/>
      <c r="Y43" s="3372"/>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72"/>
      <c r="Q44" s="1151">
        <f t="shared" si="11"/>
        <v>111</v>
      </c>
      <c r="R44" s="1567" t="s">
        <v>11</v>
      </c>
      <c r="S44" s="1568">
        <f t="shared" si="12"/>
        <v>100</v>
      </c>
      <c r="T44" s="1567" t="s">
        <v>11</v>
      </c>
      <c r="U44" s="1568">
        <f t="shared" si="13"/>
        <v>100</v>
      </c>
      <c r="V44" s="1567" t="s">
        <v>11</v>
      </c>
      <c r="W44" s="1568">
        <f t="shared" si="14"/>
        <v>100</v>
      </c>
      <c r="X44" s="1569"/>
      <c r="Y44" s="3372"/>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2"/>
      <c r="Q45" s="1571">
        <f t="shared" si="11"/>
        <v>111</v>
      </c>
      <c r="R45" s="1572" t="s">
        <v>11</v>
      </c>
      <c r="S45" s="1573">
        <f t="shared" si="12"/>
        <v>100</v>
      </c>
      <c r="T45" s="1572" t="s">
        <v>11</v>
      </c>
      <c r="U45" s="1573">
        <f t="shared" si="13"/>
        <v>100</v>
      </c>
      <c r="V45" s="1572" t="s">
        <v>11</v>
      </c>
      <c r="W45" s="1573">
        <f t="shared" si="14"/>
        <v>100</v>
      </c>
      <c r="X45" s="1566"/>
      <c r="Y45" s="3372"/>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8"/>
      <c r="Q46" s="1571">
        <f t="shared" si="11"/>
        <v>111</v>
      </c>
      <c r="R46" s="1572" t="s">
        <v>10</v>
      </c>
      <c r="S46" s="1573">
        <f t="shared" si="12"/>
        <v>100</v>
      </c>
      <c r="T46" s="1572" t="s">
        <v>10</v>
      </c>
      <c r="U46" s="1573">
        <f t="shared" si="13"/>
        <v>100</v>
      </c>
      <c r="V46" s="1572" t="s">
        <v>10</v>
      </c>
      <c r="W46" s="1573">
        <f t="shared" si="14"/>
        <v>100</v>
      </c>
      <c r="X46" s="1566"/>
      <c r="Y46" s="3468"/>
      <c r="Z46" s="1574">
        <f t="shared" si="15"/>
        <v>111</v>
      </c>
      <c r="AA46" s="1575">
        <f t="shared" si="3"/>
        <v>1</v>
      </c>
      <c r="AB46" s="1575">
        <f t="shared" si="4"/>
        <v>1</v>
      </c>
      <c r="AC46" s="1575">
        <f t="shared" si="5"/>
        <v>1</v>
      </c>
    </row>
    <row r="47" spans="1:29" ht="15">
      <c r="A47" s="607" t="s">
        <v>736</v>
      </c>
      <c r="B47" s="887"/>
      <c r="C47" s="2651" t="s">
        <v>9</v>
      </c>
      <c r="D47" s="2652"/>
      <c r="E47" s="2653"/>
      <c r="F47" s="2654"/>
      <c r="G47" s="2655"/>
      <c r="H47" s="2656"/>
      <c r="I47" s="2653"/>
      <c r="J47" s="2656"/>
      <c r="K47" s="1605"/>
      <c r="L47" s="2144"/>
      <c r="M47" s="2145"/>
      <c r="N47" s="2134"/>
      <c r="O47" s="2145"/>
      <c r="P47" s="3367" t="str">
        <f>A47</f>
        <v>成交单价（元/平方米）</v>
      </c>
      <c r="Q47" s="3367"/>
      <c r="R47" s="3467">
        <f>E47</f>
        <v>0</v>
      </c>
      <c r="S47" s="3467"/>
      <c r="T47" s="3467">
        <f>G47</f>
        <v>0</v>
      </c>
      <c r="U47" s="3467"/>
      <c r="V47" s="3467">
        <f>I47</f>
        <v>0</v>
      </c>
      <c r="W47" s="3467"/>
      <c r="X47" s="1558"/>
      <c r="Y47" s="1580"/>
      <c r="Z47" s="1558"/>
      <c r="AA47" s="1558"/>
      <c r="AB47" s="1558"/>
      <c r="AC47" s="1558"/>
    </row>
    <row r="48" spans="1:29" ht="15.75" thickBot="1">
      <c r="A48" s="615" t="s">
        <v>2762</v>
      </c>
      <c r="B48" s="888"/>
      <c r="C48" s="2657" t="e">
        <f>R49</f>
        <v>#DIV/0!</v>
      </c>
      <c r="D48" s="2658"/>
      <c r="E48" s="2659" t="e">
        <f>R48</f>
        <v>#DIV/0!</v>
      </c>
      <c r="F48" s="2659"/>
      <c r="G48" s="2657" t="e">
        <f>T48</f>
        <v>#DIV/0!</v>
      </c>
      <c r="H48" s="2658"/>
      <c r="I48" s="2659" t="e">
        <f>V48</f>
        <v>#DIV/0!</v>
      </c>
      <c r="J48" s="2658"/>
      <c r="K48" s="1606"/>
      <c r="L48" s="2144"/>
      <c r="M48" s="2145"/>
      <c r="N48" s="2145"/>
      <c r="O48" s="2145"/>
      <c r="P48" s="3367" t="str">
        <f>A48</f>
        <v>比较价格（元/平方米）</v>
      </c>
      <c r="Q48" s="336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8"/>
      <c r="Y48" s="1558"/>
      <c r="Z48" s="1558"/>
      <c r="AA48" s="1558"/>
      <c r="AB48" s="1558"/>
      <c r="AC48" s="1558"/>
    </row>
    <row r="49" spans="1:29" ht="15.75" thickBot="1">
      <c r="A49" s="621" t="s">
        <v>2938</v>
      </c>
      <c r="B49" s="622"/>
      <c r="C49" s="2660" t="e">
        <f>R49</f>
        <v>#DIV/0!</v>
      </c>
      <c r="D49" s="2660"/>
      <c r="E49" s="2660"/>
      <c r="F49" s="2660"/>
      <c r="G49" s="2660"/>
      <c r="H49" s="2660"/>
      <c r="I49" s="2660"/>
      <c r="J49" s="2660"/>
      <c r="K49" s="1607"/>
      <c r="L49" s="2144"/>
      <c r="M49" s="2145"/>
      <c r="N49" s="2145"/>
      <c r="O49" s="2145"/>
      <c r="P49" s="3388" t="str">
        <f>A49</f>
        <v>估价对象XX用房的比较价格（楼面单价，元/平方米）</v>
      </c>
      <c r="Q49" s="3389"/>
      <c r="R49" s="3466" t="e">
        <f>IF(F1="售价",ROUND(AVERAGE(R48:V48),0),ROUND(AVERAGE(R48:V48),1))</f>
        <v>#DIV/0!</v>
      </c>
      <c r="S49" s="3466"/>
      <c r="T49" s="3466"/>
      <c r="U49" s="3466"/>
      <c r="V49" s="3466"/>
      <c r="W49" s="346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73" t="s">
        <v>522</v>
      </c>
      <c r="D4" s="3374"/>
      <c r="E4" s="3397" t="s">
        <v>523</v>
      </c>
      <c r="F4" s="3398"/>
      <c r="G4" s="3373" t="s">
        <v>524</v>
      </c>
      <c r="H4" s="3374"/>
      <c r="I4" s="3373" t="s">
        <v>525</v>
      </c>
      <c r="J4" s="3374"/>
      <c r="K4" s="514" t="s">
        <v>526</v>
      </c>
      <c r="L4" s="2133"/>
      <c r="M4" s="2134"/>
      <c r="N4" s="2134"/>
      <c r="O4" s="2134"/>
      <c r="P4" s="3375" t="s">
        <v>527</v>
      </c>
      <c r="Q4" s="3376"/>
      <c r="R4" s="3361" t="s">
        <v>523</v>
      </c>
      <c r="S4" s="3362"/>
      <c r="T4" s="3361" t="s">
        <v>524</v>
      </c>
      <c r="U4" s="3362"/>
      <c r="V4" s="3381" t="s">
        <v>525</v>
      </c>
      <c r="W4" s="3381"/>
      <c r="X4" s="1566"/>
      <c r="Y4" s="3361" t="s">
        <v>527</v>
      </c>
      <c r="Z4" s="3362"/>
      <c r="AA4" s="3356" t="s">
        <v>523</v>
      </c>
      <c r="AB4" s="3381" t="s">
        <v>524</v>
      </c>
      <c r="AC4" s="3356" t="s">
        <v>525</v>
      </c>
    </row>
    <row r="5" spans="1:29" ht="15">
      <c r="A5" s="515"/>
      <c r="B5" s="516"/>
      <c r="C5" s="3384" t="s">
        <v>2932</v>
      </c>
      <c r="D5" s="3385"/>
      <c r="E5" s="3399" t="s">
        <v>2933</v>
      </c>
      <c r="F5" s="3400"/>
      <c r="G5" s="3384" t="s">
        <v>2934</v>
      </c>
      <c r="H5" s="3385"/>
      <c r="I5" s="3384" t="s">
        <v>2935</v>
      </c>
      <c r="J5" s="3385"/>
      <c r="K5" s="514"/>
      <c r="L5" s="2133"/>
      <c r="M5" s="2134"/>
      <c r="N5" s="2134"/>
      <c r="O5" s="2134"/>
      <c r="P5" s="3377"/>
      <c r="Q5" s="3378"/>
      <c r="R5" s="3363"/>
      <c r="S5" s="3364"/>
      <c r="T5" s="3363"/>
      <c r="U5" s="3364"/>
      <c r="V5" s="3381"/>
      <c r="W5" s="3381"/>
      <c r="X5" s="1566"/>
      <c r="Y5" s="3363"/>
      <c r="Z5" s="3364"/>
      <c r="AA5" s="3357"/>
      <c r="AB5" s="3381"/>
      <c r="AC5" s="3357"/>
    </row>
    <row r="6" spans="1:29" ht="15.75" thickBot="1">
      <c r="A6" s="517"/>
      <c r="B6" s="518"/>
      <c r="C6" s="3382" t="s">
        <v>2936</v>
      </c>
      <c r="D6" s="3383"/>
      <c r="E6" s="3401" t="s">
        <v>2936</v>
      </c>
      <c r="F6" s="3402"/>
      <c r="G6" s="3382" t="s">
        <v>2936</v>
      </c>
      <c r="H6" s="3383"/>
      <c r="I6" s="3382" t="s">
        <v>2936</v>
      </c>
      <c r="J6" s="3383"/>
      <c r="K6" s="514" t="s">
        <v>528</v>
      </c>
      <c r="L6" s="2133"/>
      <c r="M6" s="2134"/>
      <c r="N6" s="2134"/>
      <c r="O6" s="2134"/>
      <c r="P6" s="3379"/>
      <c r="Q6" s="3380"/>
      <c r="R6" s="3363"/>
      <c r="S6" s="3364"/>
      <c r="T6" s="3365"/>
      <c r="U6" s="3366"/>
      <c r="V6" s="3381"/>
      <c r="W6" s="3381"/>
      <c r="X6" s="1566"/>
      <c r="Y6" s="3365"/>
      <c r="Z6" s="3366"/>
      <c r="AA6" s="3358"/>
      <c r="AB6" s="3381"/>
      <c r="AC6" s="3358"/>
    </row>
    <row r="7" spans="1:29" s="1220" customFormat="1" ht="15.75" thickBot="1">
      <c r="A7" s="2936"/>
      <c r="B7" s="2943" t="s">
        <v>529</v>
      </c>
      <c r="C7" s="519">
        <f>'数据-取费表'!B2</f>
        <v>43228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59" t="s">
        <v>530</v>
      </c>
      <c r="Q7" s="3368"/>
      <c r="R7" s="1567" t="s">
        <v>8</v>
      </c>
      <c r="S7" s="1568">
        <f t="shared" ref="S7:S15" si="0">F7</f>
        <v>0</v>
      </c>
      <c r="T7" s="1567" t="s">
        <v>8</v>
      </c>
      <c r="U7" s="1568">
        <f t="shared" ref="U7:U15" si="1">H7</f>
        <v>0</v>
      </c>
      <c r="V7" s="1567" t="s">
        <v>8</v>
      </c>
      <c r="W7" s="1568">
        <f t="shared" ref="W7:W15" si="2">J7</f>
        <v>0</v>
      </c>
      <c r="X7" s="1569"/>
      <c r="Y7" s="3359" t="s">
        <v>530</v>
      </c>
      <c r="Z7" s="3360"/>
      <c r="AA7" s="1570" t="e">
        <f>D7/F7</f>
        <v>#DIV/0!</v>
      </c>
      <c r="AB7" s="1570" t="e">
        <f>D7/H7</f>
        <v>#DIV/0!</v>
      </c>
      <c r="AC7" s="1570" t="e">
        <f>D7/J7</f>
        <v>#DIV/0!</v>
      </c>
    </row>
    <row r="8" spans="1:29" s="1220" customFormat="1" ht="15.75" thickBot="1">
      <c r="A8" s="2937"/>
      <c r="B8" s="2944"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59" t="s">
        <v>533</v>
      </c>
      <c r="Q8" s="3360"/>
      <c r="R8" s="1567" t="s">
        <v>8</v>
      </c>
      <c r="S8" s="1568">
        <f t="shared" si="0"/>
        <v>0</v>
      </c>
      <c r="T8" s="1567" t="s">
        <v>8</v>
      </c>
      <c r="U8" s="1568">
        <f t="shared" si="1"/>
        <v>0</v>
      </c>
      <c r="V8" s="1567" t="s">
        <v>8</v>
      </c>
      <c r="W8" s="1568">
        <f t="shared" si="2"/>
        <v>0</v>
      </c>
      <c r="X8" s="1569"/>
      <c r="Y8" s="3359" t="s">
        <v>533</v>
      </c>
      <c r="Z8" s="3360"/>
      <c r="AA8" s="1570" t="e">
        <f t="shared" ref="AA8:AA46" si="3">D8/F8</f>
        <v>#DIV/0!</v>
      </c>
      <c r="AB8" s="1570" t="e">
        <f t="shared" ref="AB8:AB46" si="4">D8/H8</f>
        <v>#DIV/0!</v>
      </c>
      <c r="AC8" s="1570" t="e">
        <f t="shared" ref="AC8:AC46" si="5">D8/J8</f>
        <v>#DIV/0!</v>
      </c>
    </row>
    <row r="9" spans="1:29" s="1220" customFormat="1" ht="15">
      <c r="A9" s="2938"/>
      <c r="B9" s="2945"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7" t="s">
        <v>535</v>
      </c>
      <c r="Q9" s="1151" t="str">
        <f t="shared" ref="Q9:Q15" si="6">B9</f>
        <v>用途</v>
      </c>
      <c r="R9" s="1567" t="s">
        <v>8</v>
      </c>
      <c r="S9" s="1568">
        <f t="shared" si="0"/>
        <v>100</v>
      </c>
      <c r="T9" s="1567" t="s">
        <v>8</v>
      </c>
      <c r="U9" s="1568">
        <f t="shared" si="1"/>
        <v>100</v>
      </c>
      <c r="V9" s="1567" t="s">
        <v>8</v>
      </c>
      <c r="W9" s="1568">
        <f t="shared" si="2"/>
        <v>100</v>
      </c>
      <c r="X9" s="1569"/>
      <c r="Y9" s="3324" t="s">
        <v>536</v>
      </c>
      <c r="Z9" s="1150" t="str">
        <f t="shared" ref="Z9:Z15" si="7">Q9</f>
        <v>用途</v>
      </c>
      <c r="AA9" s="1570">
        <f t="shared" si="3"/>
        <v>1</v>
      </c>
      <c r="AB9" s="1570">
        <f t="shared" si="4"/>
        <v>1</v>
      </c>
      <c r="AC9" s="1570">
        <f t="shared" si="5"/>
        <v>1</v>
      </c>
    </row>
    <row r="10" spans="1:29" s="1338" customFormat="1" ht="27">
      <c r="A10" s="2939"/>
      <c r="B10" s="2944"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7"/>
      <c r="Q10" s="1151" t="str">
        <f t="shared" si="6"/>
        <v>土地使用年限（年）</v>
      </c>
      <c r="R10" s="1567" t="s">
        <v>8</v>
      </c>
      <c r="S10" s="1568">
        <f t="shared" si="0"/>
        <v>100</v>
      </c>
      <c r="T10" s="1567" t="s">
        <v>8</v>
      </c>
      <c r="U10" s="1568">
        <f t="shared" si="1"/>
        <v>100</v>
      </c>
      <c r="V10" s="1567" t="s">
        <v>8</v>
      </c>
      <c r="W10" s="1568">
        <f t="shared" si="2"/>
        <v>100</v>
      </c>
      <c r="X10" s="1569"/>
      <c r="Y10" s="3324"/>
      <c r="Z10" s="1150"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7"/>
      <c r="Q11" s="1151" t="str">
        <f t="shared" si="6"/>
        <v>容积率</v>
      </c>
      <c r="R11" s="1567" t="s">
        <v>8</v>
      </c>
      <c r="S11" s="1568" t="e">
        <f t="shared" si="0"/>
        <v>#N/A</v>
      </c>
      <c r="T11" s="1567" t="s">
        <v>8</v>
      </c>
      <c r="U11" s="1568" t="e">
        <f t="shared" si="1"/>
        <v>#N/A</v>
      </c>
      <c r="V11" s="1567" t="s">
        <v>8</v>
      </c>
      <c r="W11" s="1568" t="e">
        <f t="shared" si="2"/>
        <v>#N/A</v>
      </c>
      <c r="X11" s="1569"/>
      <c r="Y11" s="3324"/>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7"/>
      <c r="Q12" s="1151">
        <f t="shared" si="6"/>
        <v>111</v>
      </c>
      <c r="R12" s="1567" t="s">
        <v>8</v>
      </c>
      <c r="S12" s="1568">
        <f t="shared" si="0"/>
        <v>100</v>
      </c>
      <c r="T12" s="1567" t="s">
        <v>8</v>
      </c>
      <c r="U12" s="1568">
        <f t="shared" si="1"/>
        <v>100</v>
      </c>
      <c r="V12" s="1567" t="s">
        <v>8</v>
      </c>
      <c r="W12" s="1568">
        <f t="shared" si="2"/>
        <v>100</v>
      </c>
      <c r="X12" s="1569"/>
      <c r="Y12" s="3324"/>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7"/>
      <c r="Q13" s="1151">
        <f t="shared" si="6"/>
        <v>111</v>
      </c>
      <c r="R13" s="1567" t="s">
        <v>8</v>
      </c>
      <c r="S13" s="1568">
        <f t="shared" si="0"/>
        <v>100</v>
      </c>
      <c r="T13" s="1567" t="s">
        <v>8</v>
      </c>
      <c r="U13" s="1568">
        <f t="shared" si="1"/>
        <v>100</v>
      </c>
      <c r="V13" s="1567" t="s">
        <v>8</v>
      </c>
      <c r="W13" s="1568">
        <f t="shared" si="2"/>
        <v>100</v>
      </c>
      <c r="X13" s="1569"/>
      <c r="Y13" s="3324"/>
      <c r="Z13" s="1150">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7"/>
      <c r="Q14" s="1151">
        <f t="shared" si="6"/>
        <v>111</v>
      </c>
      <c r="R14" s="1567" t="s">
        <v>8</v>
      </c>
      <c r="S14" s="1568">
        <f t="shared" si="0"/>
        <v>100</v>
      </c>
      <c r="T14" s="1567" t="s">
        <v>8</v>
      </c>
      <c r="U14" s="1568">
        <f t="shared" si="1"/>
        <v>100</v>
      </c>
      <c r="V14" s="1567" t="s">
        <v>8</v>
      </c>
      <c r="W14" s="1568">
        <f t="shared" si="2"/>
        <v>100</v>
      </c>
      <c r="X14" s="1569"/>
      <c r="Y14" s="3324"/>
      <c r="Z14" s="1150">
        <f t="shared" si="7"/>
        <v>111</v>
      </c>
      <c r="AA14" s="1570">
        <f t="shared" si="3"/>
        <v>1</v>
      </c>
      <c r="AB14" s="1570">
        <f t="shared" si="4"/>
        <v>1</v>
      </c>
      <c r="AC14" s="1570">
        <f t="shared" si="5"/>
        <v>1</v>
      </c>
    </row>
    <row r="15" spans="1:29" ht="71.25">
      <c r="A15" s="2934"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69" t="s">
        <v>540</v>
      </c>
      <c r="Q15" s="1571" t="str">
        <f t="shared" si="6"/>
        <v>商业繁华度</v>
      </c>
      <c r="R15" s="1572" t="s">
        <v>8</v>
      </c>
      <c r="S15" s="1573">
        <f t="shared" si="0"/>
        <v>100</v>
      </c>
      <c r="T15" s="1572" t="s">
        <v>8</v>
      </c>
      <c r="U15" s="1573">
        <f t="shared" si="1"/>
        <v>100</v>
      </c>
      <c r="V15" s="1572" t="s">
        <v>8</v>
      </c>
      <c r="W15" s="1573">
        <f t="shared" si="2"/>
        <v>100</v>
      </c>
      <c r="X15" s="1566"/>
      <c r="Y15" s="3369"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70"/>
      <c r="Q16" s="1571"/>
      <c r="R16" s="1572"/>
      <c r="S16" s="1573"/>
      <c r="T16" s="1572"/>
      <c r="U16" s="1573"/>
      <c r="V16" s="1572"/>
      <c r="W16" s="1573"/>
      <c r="X16" s="1566"/>
      <c r="Y16" s="3370"/>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0"/>
      <c r="Q17" s="1571" t="str">
        <f>B17</f>
        <v>交通便捷度</v>
      </c>
      <c r="R17" s="1572" t="s">
        <v>8</v>
      </c>
      <c r="S17" s="1573">
        <f>F17</f>
        <v>100</v>
      </c>
      <c r="T17" s="1572" t="s">
        <v>8</v>
      </c>
      <c r="U17" s="1573">
        <f>H17</f>
        <v>100</v>
      </c>
      <c r="V17" s="1572" t="s">
        <v>8</v>
      </c>
      <c r="W17" s="1573">
        <f>J17</f>
        <v>100</v>
      </c>
      <c r="X17" s="1566"/>
      <c r="Y17" s="337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70"/>
      <c r="Q18" s="1571"/>
      <c r="R18" s="1572"/>
      <c r="S18" s="1573"/>
      <c r="T18" s="1572"/>
      <c r="U18" s="1573"/>
      <c r="V18" s="1572"/>
      <c r="W18" s="1573"/>
      <c r="X18" s="1566"/>
      <c r="Y18" s="3370"/>
      <c r="Z18" s="1574"/>
      <c r="AA18" s="1575">
        <v>1</v>
      </c>
      <c r="AB18" s="1575">
        <v>1</v>
      </c>
      <c r="AC18" s="1575">
        <v>1</v>
      </c>
    </row>
    <row r="19" spans="1:29" ht="42.75">
      <c r="A19" s="532"/>
      <c r="B19" s="2624"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0"/>
      <c r="Q19" s="1571" t="str">
        <f>B19</f>
        <v>公共配套设施</v>
      </c>
      <c r="R19" s="1572" t="s">
        <v>8</v>
      </c>
      <c r="S19" s="1573">
        <f>F19</f>
        <v>100</v>
      </c>
      <c r="T19" s="1572" t="s">
        <v>8</v>
      </c>
      <c r="U19" s="1573">
        <f>H19</f>
        <v>100</v>
      </c>
      <c r="V19" s="1572" t="s">
        <v>8</v>
      </c>
      <c r="W19" s="1573">
        <f>J19</f>
        <v>100</v>
      </c>
      <c r="X19" s="1566"/>
      <c r="Y19" s="337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70"/>
      <c r="Q20" s="1571"/>
      <c r="R20" s="1572"/>
      <c r="S20" s="1573"/>
      <c r="T20" s="1572"/>
      <c r="U20" s="1573"/>
      <c r="V20" s="1572"/>
      <c r="W20" s="1573"/>
      <c r="X20" s="1566"/>
      <c r="Y20" s="3370"/>
      <c r="Z20" s="1574"/>
      <c r="AA20" s="1575">
        <v>1</v>
      </c>
      <c r="AB20" s="1575">
        <v>1</v>
      </c>
      <c r="AC20" s="1575">
        <v>1</v>
      </c>
    </row>
    <row r="21" spans="1:29" ht="28.5">
      <c r="A21" s="532"/>
      <c r="B21" s="2617"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0"/>
      <c r="Q21" s="2603" t="str">
        <f>B21</f>
        <v>基础设施水平</v>
      </c>
      <c r="R21" s="1572" t="s">
        <v>8</v>
      </c>
      <c r="S21" s="1573">
        <f>F21</f>
        <v>100</v>
      </c>
      <c r="T21" s="1572" t="s">
        <v>8</v>
      </c>
      <c r="U21" s="1573">
        <f>H21</f>
        <v>100</v>
      </c>
      <c r="V21" s="1572" t="s">
        <v>8</v>
      </c>
      <c r="W21" s="1573">
        <f>J21</f>
        <v>100</v>
      </c>
      <c r="X21" s="2605"/>
      <c r="Y21" s="3370"/>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370"/>
      <c r="Q22" s="2603"/>
      <c r="R22" s="1572"/>
      <c r="S22" s="1573"/>
      <c r="T22" s="1572"/>
      <c r="U22" s="1573"/>
      <c r="V22" s="1572"/>
      <c r="W22" s="1573"/>
      <c r="X22" s="2605"/>
      <c r="Y22" s="3370"/>
      <c r="Z22" s="2604"/>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0"/>
      <c r="Q23" s="1571" t="str">
        <f>B23</f>
        <v>自然及人文环境</v>
      </c>
      <c r="R23" s="1572" t="s">
        <v>8</v>
      </c>
      <c r="S23" s="1573">
        <f>F23</f>
        <v>100</v>
      </c>
      <c r="T23" s="1572" t="s">
        <v>8</v>
      </c>
      <c r="U23" s="1573">
        <f>H23</f>
        <v>100</v>
      </c>
      <c r="V23" s="1572" t="s">
        <v>8</v>
      </c>
      <c r="W23" s="1573">
        <f>J23</f>
        <v>100</v>
      </c>
      <c r="X23" s="1566"/>
      <c r="Y23" s="337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70"/>
      <c r="Q24" s="1571"/>
      <c r="R24" s="1572"/>
      <c r="S24" s="1573"/>
      <c r="T24" s="1572"/>
      <c r="U24" s="1573"/>
      <c r="V24" s="1572"/>
      <c r="W24" s="1573"/>
      <c r="X24" s="1566"/>
      <c r="Y24" s="3370"/>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0"/>
      <c r="Q25" s="1571" t="str">
        <f t="shared" ref="Q25:Q46" si="11">B25</f>
        <v>临街状况</v>
      </c>
      <c r="R25" s="1572" t="s">
        <v>8</v>
      </c>
      <c r="S25" s="1573">
        <f>F25</f>
        <v>100</v>
      </c>
      <c r="T25" s="1572" t="s">
        <v>8</v>
      </c>
      <c r="U25" s="1573">
        <f>H25</f>
        <v>100</v>
      </c>
      <c r="V25" s="1572" t="s">
        <v>8</v>
      </c>
      <c r="W25" s="1573">
        <f>J25</f>
        <v>100</v>
      </c>
      <c r="X25" s="1566"/>
      <c r="Y25" s="3370"/>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0"/>
      <c r="Q26" s="1571" t="str">
        <f t="shared" si="11"/>
        <v>平面位置/可视性</v>
      </c>
      <c r="R26" s="1572" t="s">
        <v>8</v>
      </c>
      <c r="S26" s="1573">
        <f>F26</f>
        <v>100</v>
      </c>
      <c r="T26" s="1572" t="s">
        <v>8</v>
      </c>
      <c r="U26" s="1573">
        <f>H26</f>
        <v>100</v>
      </c>
      <c r="V26" s="1572" t="s">
        <v>8</v>
      </c>
      <c r="W26" s="1573">
        <f>J26</f>
        <v>100</v>
      </c>
      <c r="X26" s="1566"/>
      <c r="Y26" s="3370"/>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0"/>
      <c r="Q27" s="1151" t="str">
        <f t="shared" si="11"/>
        <v>人流量</v>
      </c>
      <c r="R27" s="1567" t="s">
        <v>8</v>
      </c>
      <c r="S27" s="1568">
        <f>F27</f>
        <v>100</v>
      </c>
      <c r="T27" s="1567" t="s">
        <v>8</v>
      </c>
      <c r="U27" s="1568">
        <f>H27</f>
        <v>100</v>
      </c>
      <c r="V27" s="1567" t="s">
        <v>8</v>
      </c>
      <c r="W27" s="1568">
        <f>J27</f>
        <v>100</v>
      </c>
      <c r="X27" s="1569"/>
      <c r="Y27" s="3370"/>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0"/>
      <c r="Q29" s="1571">
        <f t="shared" si="11"/>
        <v>111</v>
      </c>
      <c r="R29" s="1572" t="s">
        <v>8</v>
      </c>
      <c r="S29" s="1573">
        <f t="shared" si="12"/>
        <v>100</v>
      </c>
      <c r="T29" s="1572" t="s">
        <v>8</v>
      </c>
      <c r="U29" s="1573">
        <f t="shared" si="13"/>
        <v>100</v>
      </c>
      <c r="V29" s="1572" t="s">
        <v>8</v>
      </c>
      <c r="W29" s="1573">
        <f t="shared" si="14"/>
        <v>100</v>
      </c>
      <c r="X29" s="1566"/>
      <c r="Y29" s="337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0"/>
      <c r="Q30" s="1571">
        <f t="shared" si="11"/>
        <v>111</v>
      </c>
      <c r="R30" s="1572" t="s">
        <v>8</v>
      </c>
      <c r="S30" s="1573">
        <f t="shared" si="12"/>
        <v>100</v>
      </c>
      <c r="T30" s="1572" t="s">
        <v>8</v>
      </c>
      <c r="U30" s="1573">
        <f t="shared" si="13"/>
        <v>100</v>
      </c>
      <c r="V30" s="1572" t="s">
        <v>8</v>
      </c>
      <c r="W30" s="1573">
        <f t="shared" si="14"/>
        <v>100</v>
      </c>
      <c r="X30" s="1566"/>
      <c r="Y30" s="337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0"/>
      <c r="Q31" s="1571">
        <f t="shared" si="11"/>
        <v>111</v>
      </c>
      <c r="R31" s="1572" t="s">
        <v>8</v>
      </c>
      <c r="S31" s="1573">
        <f t="shared" si="12"/>
        <v>100</v>
      </c>
      <c r="T31" s="1572" t="s">
        <v>8</v>
      </c>
      <c r="U31" s="1573">
        <f t="shared" si="13"/>
        <v>100</v>
      </c>
      <c r="V31" s="1572" t="s">
        <v>8</v>
      </c>
      <c r="W31" s="1573">
        <f t="shared" si="14"/>
        <v>100</v>
      </c>
      <c r="X31" s="1566"/>
      <c r="Y31" s="3370"/>
      <c r="Z31" s="1574">
        <f t="shared" si="15"/>
        <v>111</v>
      </c>
      <c r="AA31" s="1575">
        <f t="shared" si="3"/>
        <v>1</v>
      </c>
      <c r="AB31" s="1575">
        <f t="shared" si="4"/>
        <v>1</v>
      </c>
      <c r="AC31" s="1575">
        <f t="shared" si="5"/>
        <v>1</v>
      </c>
    </row>
    <row r="32" spans="1:29" ht="15">
      <c r="A32" s="2931"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1" t="s">
        <v>550</v>
      </c>
      <c r="Q32" s="1571" t="str">
        <f t="shared" si="11"/>
        <v>商业类型</v>
      </c>
      <c r="R32" s="1572" t="s">
        <v>8</v>
      </c>
      <c r="S32" s="1573">
        <f t="shared" si="12"/>
        <v>100</v>
      </c>
      <c r="T32" s="1572" t="s">
        <v>8</v>
      </c>
      <c r="U32" s="1573">
        <f t="shared" si="13"/>
        <v>100</v>
      </c>
      <c r="V32" s="1572" t="s">
        <v>8</v>
      </c>
      <c r="W32" s="1573">
        <f t="shared" si="14"/>
        <v>100</v>
      </c>
      <c r="X32" s="1566"/>
      <c r="Y32" s="3372"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72"/>
      <c r="Q33" s="1604" t="str">
        <f t="shared" si="11"/>
        <v>项目建筑规模</v>
      </c>
      <c r="R33" s="1576" t="s">
        <v>8</v>
      </c>
      <c r="S33" s="1577" t="e">
        <f t="shared" si="12"/>
        <v>#N/A</v>
      </c>
      <c r="T33" s="1576" t="s">
        <v>8</v>
      </c>
      <c r="U33" s="1577" t="e">
        <f t="shared" si="13"/>
        <v>#N/A</v>
      </c>
      <c r="V33" s="1576" t="s">
        <v>8</v>
      </c>
      <c r="W33" s="1577" t="e">
        <f t="shared" si="14"/>
        <v>#N/A</v>
      </c>
      <c r="X33" s="1578"/>
      <c r="Y33" s="3372"/>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72"/>
      <c r="Q34" s="1571" t="str">
        <f t="shared" si="11"/>
        <v>建筑结构</v>
      </c>
      <c r="R34" s="1572" t="s">
        <v>8</v>
      </c>
      <c r="S34" s="1573">
        <f t="shared" si="12"/>
        <v>100</v>
      </c>
      <c r="T34" s="1572" t="s">
        <v>8</v>
      </c>
      <c r="U34" s="1573">
        <f t="shared" si="13"/>
        <v>100</v>
      </c>
      <c r="V34" s="1572" t="s">
        <v>8</v>
      </c>
      <c r="W34" s="1573">
        <f t="shared" si="14"/>
        <v>100</v>
      </c>
      <c r="X34" s="1566"/>
      <c r="Y34" s="3372"/>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2"/>
      <c r="Q35" s="1571" t="str">
        <f t="shared" si="11"/>
        <v>公共部分装修</v>
      </c>
      <c r="R35" s="1572" t="s">
        <v>8</v>
      </c>
      <c r="S35" s="1573">
        <f t="shared" si="12"/>
        <v>100</v>
      </c>
      <c r="T35" s="1572" t="s">
        <v>8</v>
      </c>
      <c r="U35" s="1573">
        <f t="shared" si="13"/>
        <v>100</v>
      </c>
      <c r="V35" s="1572" t="s">
        <v>8</v>
      </c>
      <c r="W35" s="1573">
        <f t="shared" si="14"/>
        <v>100</v>
      </c>
      <c r="X35" s="1566"/>
      <c r="Y35" s="3372"/>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72"/>
      <c r="Q36" s="1571" t="str">
        <f t="shared" si="11"/>
        <v>成新度</v>
      </c>
      <c r="R36" s="1572" t="s">
        <v>8</v>
      </c>
      <c r="S36" s="1573" t="e">
        <f t="shared" si="12"/>
        <v>#N/A</v>
      </c>
      <c r="T36" s="1572" t="s">
        <v>8</v>
      </c>
      <c r="U36" s="1573" t="e">
        <f t="shared" si="13"/>
        <v>#N/A</v>
      </c>
      <c r="V36" s="1572" t="s">
        <v>8</v>
      </c>
      <c r="W36" s="1573" t="e">
        <f t="shared" si="14"/>
        <v>#N/A</v>
      </c>
      <c r="X36" s="1566"/>
      <c r="Y36" s="3372"/>
      <c r="Z36" s="1574" t="str">
        <f t="shared" si="15"/>
        <v>成新度</v>
      </c>
      <c r="AA36" s="1575" t="e">
        <f t="shared" si="3"/>
        <v>#N/A</v>
      </c>
      <c r="AB36" s="1575" t="e">
        <f t="shared" si="4"/>
        <v>#N/A</v>
      </c>
      <c r="AC36" s="1575" t="e">
        <f t="shared" si="5"/>
        <v>#N/A</v>
      </c>
    </row>
    <row r="37" spans="1:29" s="1220" customFormat="1" ht="15">
      <c r="A37" s="600"/>
      <c r="B37" s="1895"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2"/>
      <c r="Q37" s="1151" t="str">
        <f t="shared" si="11"/>
        <v>市政基础设施</v>
      </c>
      <c r="R37" s="1567" t="s">
        <v>8</v>
      </c>
      <c r="S37" s="1568">
        <f t="shared" si="12"/>
        <v>100</v>
      </c>
      <c r="T37" s="1567" t="s">
        <v>8</v>
      </c>
      <c r="U37" s="1568">
        <f t="shared" si="13"/>
        <v>100</v>
      </c>
      <c r="V37" s="1567" t="s">
        <v>8</v>
      </c>
      <c r="W37" s="1568">
        <f t="shared" si="14"/>
        <v>100</v>
      </c>
      <c r="X37" s="1569"/>
      <c r="Y37" s="3372"/>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2" t="s">
        <v>766</v>
      </c>
      <c r="Q38" s="1571" t="str">
        <f t="shared" si="11"/>
        <v>业态</v>
      </c>
      <c r="R38" s="1572" t="s">
        <v>8</v>
      </c>
      <c r="S38" s="1573">
        <f t="shared" si="12"/>
        <v>100</v>
      </c>
      <c r="T38" s="1572" t="s">
        <v>8</v>
      </c>
      <c r="U38" s="1573">
        <f t="shared" si="13"/>
        <v>100</v>
      </c>
      <c r="V38" s="1572" t="s">
        <v>8</v>
      </c>
      <c r="W38" s="1573">
        <f t="shared" si="14"/>
        <v>100</v>
      </c>
      <c r="X38" s="1566"/>
      <c r="Y38" s="3372"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2"/>
      <c r="Q39" s="1571" t="str">
        <f t="shared" si="11"/>
        <v>层高</v>
      </c>
      <c r="R39" s="1572" t="s">
        <v>8</v>
      </c>
      <c r="S39" s="1573">
        <f t="shared" si="12"/>
        <v>100</v>
      </c>
      <c r="T39" s="1572" t="s">
        <v>8</v>
      </c>
      <c r="U39" s="1573">
        <f t="shared" si="13"/>
        <v>100</v>
      </c>
      <c r="V39" s="1572" t="s">
        <v>8</v>
      </c>
      <c r="W39" s="1573">
        <f t="shared" si="14"/>
        <v>100</v>
      </c>
      <c r="X39" s="1566"/>
      <c r="Y39" s="3372"/>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72"/>
      <c r="Q40" s="1571" t="str">
        <f t="shared" si="11"/>
        <v>单套建筑面积</v>
      </c>
      <c r="R40" s="1572" t="s">
        <v>8</v>
      </c>
      <c r="S40" s="1573">
        <f t="shared" si="12"/>
        <v>100</v>
      </c>
      <c r="T40" s="1572" t="s">
        <v>8</v>
      </c>
      <c r="U40" s="1573">
        <f t="shared" si="13"/>
        <v>100</v>
      </c>
      <c r="V40" s="1572" t="s">
        <v>8</v>
      </c>
      <c r="W40" s="1573">
        <f t="shared" si="14"/>
        <v>100</v>
      </c>
      <c r="X40" s="1566"/>
      <c r="Y40" s="3372"/>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2"/>
      <c r="Q41" s="1604" t="str">
        <f t="shared" si="11"/>
        <v>进深比</v>
      </c>
      <c r="R41" s="1576" t="s">
        <v>8</v>
      </c>
      <c r="S41" s="1577">
        <f t="shared" si="12"/>
        <v>100</v>
      </c>
      <c r="T41" s="1576" t="s">
        <v>8</v>
      </c>
      <c r="U41" s="1577">
        <f t="shared" si="13"/>
        <v>100</v>
      </c>
      <c r="V41" s="1576" t="s">
        <v>8</v>
      </c>
      <c r="W41" s="1577">
        <f t="shared" si="14"/>
        <v>100</v>
      </c>
      <c r="X41" s="1578"/>
      <c r="Y41" s="3372"/>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2"/>
      <c r="Q42" s="1571" t="str">
        <f t="shared" si="11"/>
        <v>内部装修</v>
      </c>
      <c r="R42" s="1572" t="s">
        <v>8</v>
      </c>
      <c r="S42" s="1573">
        <f t="shared" si="12"/>
        <v>100</v>
      </c>
      <c r="T42" s="1572" t="s">
        <v>8</v>
      </c>
      <c r="U42" s="1573">
        <f t="shared" si="13"/>
        <v>100</v>
      </c>
      <c r="V42" s="1572" t="s">
        <v>8</v>
      </c>
      <c r="W42" s="1573">
        <f t="shared" si="14"/>
        <v>100</v>
      </c>
      <c r="X42" s="1566"/>
      <c r="Y42" s="3372"/>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2"/>
      <c r="Q43" s="1571" t="str">
        <f t="shared" si="11"/>
        <v>内部装修维护情况</v>
      </c>
      <c r="R43" s="1572" t="s">
        <v>8</v>
      </c>
      <c r="S43" s="1573">
        <f t="shared" si="12"/>
        <v>100</v>
      </c>
      <c r="T43" s="1572" t="s">
        <v>8</v>
      </c>
      <c r="U43" s="1573">
        <f t="shared" si="13"/>
        <v>100</v>
      </c>
      <c r="V43" s="1572" t="s">
        <v>8</v>
      </c>
      <c r="W43" s="1573">
        <f t="shared" si="14"/>
        <v>100</v>
      </c>
      <c r="X43" s="1566"/>
      <c r="Y43" s="3372"/>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72"/>
      <c r="Q44" s="1151">
        <f t="shared" si="11"/>
        <v>111</v>
      </c>
      <c r="R44" s="1567" t="s">
        <v>8</v>
      </c>
      <c r="S44" s="1568">
        <f t="shared" si="12"/>
        <v>100</v>
      </c>
      <c r="T44" s="1567" t="s">
        <v>8</v>
      </c>
      <c r="U44" s="1568">
        <f t="shared" si="13"/>
        <v>100</v>
      </c>
      <c r="V44" s="1567" t="s">
        <v>8</v>
      </c>
      <c r="W44" s="1568">
        <f t="shared" si="14"/>
        <v>100</v>
      </c>
      <c r="X44" s="1569"/>
      <c r="Y44" s="3372"/>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2"/>
      <c r="Q45" s="1571">
        <f t="shared" si="11"/>
        <v>111</v>
      </c>
      <c r="R45" s="1572" t="s">
        <v>8</v>
      </c>
      <c r="S45" s="1573">
        <f t="shared" si="12"/>
        <v>100</v>
      </c>
      <c r="T45" s="1572" t="s">
        <v>8</v>
      </c>
      <c r="U45" s="1573">
        <f t="shared" si="13"/>
        <v>100</v>
      </c>
      <c r="V45" s="1572" t="s">
        <v>8</v>
      </c>
      <c r="W45" s="1573">
        <f t="shared" si="14"/>
        <v>100</v>
      </c>
      <c r="X45" s="1566"/>
      <c r="Y45" s="3372"/>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8"/>
      <c r="Q46" s="1571">
        <f t="shared" si="11"/>
        <v>111</v>
      </c>
      <c r="R46" s="1572" t="s">
        <v>8</v>
      </c>
      <c r="S46" s="1573">
        <f t="shared" si="12"/>
        <v>100</v>
      </c>
      <c r="T46" s="1572" t="s">
        <v>8</v>
      </c>
      <c r="U46" s="1573">
        <f t="shared" si="13"/>
        <v>100</v>
      </c>
      <c r="V46" s="1572" t="s">
        <v>8</v>
      </c>
      <c r="W46" s="1573">
        <f t="shared" si="14"/>
        <v>100</v>
      </c>
      <c r="X46" s="1566"/>
      <c r="Y46" s="3468"/>
      <c r="Z46" s="1574">
        <f t="shared" si="15"/>
        <v>111</v>
      </c>
      <c r="AA46" s="1575">
        <f t="shared" si="3"/>
        <v>1</v>
      </c>
      <c r="AB46" s="1575">
        <f t="shared" si="4"/>
        <v>1</v>
      </c>
      <c r="AC46" s="1575">
        <f t="shared" si="5"/>
        <v>1</v>
      </c>
    </row>
    <row r="47" spans="1:29" ht="15">
      <c r="A47" s="607" t="s">
        <v>736</v>
      </c>
      <c r="B47" s="887"/>
      <c r="C47" s="2651" t="s">
        <v>1</v>
      </c>
      <c r="D47" s="2652"/>
      <c r="E47" s="2653"/>
      <c r="F47" s="2654"/>
      <c r="G47" s="2655"/>
      <c r="H47" s="2656"/>
      <c r="I47" s="2653"/>
      <c r="J47" s="2656"/>
      <c r="K47" s="1610"/>
      <c r="L47" s="2144"/>
      <c r="M47" s="2145"/>
      <c r="N47" s="2134"/>
      <c r="O47" s="2145"/>
      <c r="P47" s="3367" t="str">
        <f>A47</f>
        <v>成交单价（元/平方米）</v>
      </c>
      <c r="Q47" s="3367"/>
      <c r="R47" s="3467">
        <f>E47</f>
        <v>0</v>
      </c>
      <c r="S47" s="3467"/>
      <c r="T47" s="3467">
        <f>G47</f>
        <v>0</v>
      </c>
      <c r="U47" s="3467"/>
      <c r="V47" s="3467">
        <f>I47</f>
        <v>0</v>
      </c>
      <c r="W47" s="3467"/>
      <c r="X47" s="1558"/>
      <c r="Y47" s="1580"/>
      <c r="Z47" s="1558"/>
      <c r="AA47" s="1558"/>
      <c r="AB47" s="1558"/>
      <c r="AC47" s="1558"/>
    </row>
    <row r="48" spans="1:29" ht="15.75" thickBot="1">
      <c r="A48" s="615" t="s">
        <v>2762</v>
      </c>
      <c r="B48" s="888"/>
      <c r="C48" s="2657" t="e">
        <f>R49</f>
        <v>#DIV/0!</v>
      </c>
      <c r="D48" s="2658"/>
      <c r="E48" s="2659" t="e">
        <f>R48</f>
        <v>#DIV/0!</v>
      </c>
      <c r="F48" s="2659"/>
      <c r="G48" s="2657" t="e">
        <f>T48</f>
        <v>#DIV/0!</v>
      </c>
      <c r="H48" s="2658"/>
      <c r="I48" s="2659" t="e">
        <f>V48</f>
        <v>#DIV/0!</v>
      </c>
      <c r="J48" s="2658"/>
      <c r="K48" s="1611"/>
      <c r="L48" s="2144"/>
      <c r="M48" s="2145"/>
      <c r="N48" s="2134"/>
      <c r="O48" s="2145"/>
      <c r="P48" s="3367" t="str">
        <f>A48</f>
        <v>比较价格（元/平方米）</v>
      </c>
      <c r="Q48" s="336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8"/>
      <c r="Y48" s="1558"/>
      <c r="Z48" s="1558"/>
      <c r="AA48" s="1558"/>
      <c r="AB48" s="1558"/>
      <c r="AC48" s="1558"/>
    </row>
    <row r="49" spans="1:29" ht="15.75" thickBot="1">
      <c r="A49" s="621" t="s">
        <v>2938</v>
      </c>
      <c r="B49" s="622"/>
      <c r="C49" s="2660" t="e">
        <f>R49</f>
        <v>#DIV/0!</v>
      </c>
      <c r="D49" s="2660"/>
      <c r="E49" s="2660"/>
      <c r="F49" s="2660"/>
      <c r="G49" s="2660"/>
      <c r="H49" s="2660"/>
      <c r="I49" s="2660"/>
      <c r="J49" s="2660"/>
      <c r="K49" s="1612"/>
      <c r="L49" s="2144"/>
      <c r="M49" s="2145"/>
      <c r="N49" s="2134"/>
      <c r="O49" s="2145"/>
      <c r="P49" s="3388" t="str">
        <f>A49</f>
        <v>估价对象XX用房的比较价格（楼面单价，元/平方米）</v>
      </c>
      <c r="Q49" s="3389"/>
      <c r="R49" s="3466" t="e">
        <f>IF(F1="售价",ROUND(AVERAGE(R48:V48),0),ROUND(AVERAGE(R48:V48),1))</f>
        <v>#DIV/0!</v>
      </c>
      <c r="S49" s="3466"/>
      <c r="T49" s="3466"/>
      <c r="U49" s="3466"/>
      <c r="V49" s="3466"/>
      <c r="W49" s="346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529</v>
      </c>
      <c r="B58" s="646"/>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1"/>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73" t="s">
        <v>522</v>
      </c>
      <c r="D4" s="3374"/>
      <c r="E4" s="3397" t="s">
        <v>523</v>
      </c>
      <c r="F4" s="3398"/>
      <c r="G4" s="3373" t="s">
        <v>524</v>
      </c>
      <c r="H4" s="3374"/>
      <c r="I4" s="3373" t="s">
        <v>525</v>
      </c>
      <c r="J4" s="3374"/>
      <c r="K4" s="514" t="s">
        <v>526</v>
      </c>
      <c r="L4" s="2133"/>
      <c r="M4" s="2134"/>
      <c r="N4" s="2134"/>
      <c r="O4" s="2134"/>
      <c r="P4" s="3469" t="s">
        <v>527</v>
      </c>
      <c r="Q4" s="3376"/>
      <c r="R4" s="3361" t="s">
        <v>523</v>
      </c>
      <c r="S4" s="3362"/>
      <c r="T4" s="3361" t="s">
        <v>524</v>
      </c>
      <c r="U4" s="3362"/>
      <c r="V4" s="3381" t="s">
        <v>525</v>
      </c>
      <c r="W4" s="3381"/>
      <c r="X4" s="1566"/>
      <c r="Y4" s="3361" t="s">
        <v>527</v>
      </c>
      <c r="Z4" s="3362"/>
      <c r="AA4" s="3356" t="s">
        <v>523</v>
      </c>
      <c r="AB4" s="3356" t="s">
        <v>524</v>
      </c>
      <c r="AC4" s="3356" t="s">
        <v>525</v>
      </c>
    </row>
    <row r="5" spans="1:29" ht="15">
      <c r="A5" s="515"/>
      <c r="B5" s="516"/>
      <c r="C5" s="3384" t="s">
        <v>2932</v>
      </c>
      <c r="D5" s="3385"/>
      <c r="E5" s="3399" t="s">
        <v>2933</v>
      </c>
      <c r="F5" s="3400"/>
      <c r="G5" s="3384" t="s">
        <v>2934</v>
      </c>
      <c r="H5" s="3385"/>
      <c r="I5" s="3384" t="s">
        <v>2935</v>
      </c>
      <c r="J5" s="3385"/>
      <c r="K5" s="514"/>
      <c r="L5" s="2133"/>
      <c r="M5" s="2134"/>
      <c r="N5" s="2134"/>
      <c r="O5" s="2134"/>
      <c r="P5" s="3470"/>
      <c r="Q5" s="3378"/>
      <c r="R5" s="3363"/>
      <c r="S5" s="3364"/>
      <c r="T5" s="3363"/>
      <c r="U5" s="3364"/>
      <c r="V5" s="3381"/>
      <c r="W5" s="3381"/>
      <c r="X5" s="1566"/>
      <c r="Y5" s="3363"/>
      <c r="Z5" s="3364"/>
      <c r="AA5" s="3357"/>
      <c r="AB5" s="3357"/>
      <c r="AC5" s="3357"/>
    </row>
    <row r="6" spans="1:29" ht="15.75" thickBot="1">
      <c r="A6" s="517"/>
      <c r="B6" s="518"/>
      <c r="C6" s="3382" t="s">
        <v>2936</v>
      </c>
      <c r="D6" s="3383"/>
      <c r="E6" s="3401" t="s">
        <v>2936</v>
      </c>
      <c r="F6" s="3402"/>
      <c r="G6" s="3382" t="s">
        <v>2936</v>
      </c>
      <c r="H6" s="3383"/>
      <c r="I6" s="3382" t="s">
        <v>2936</v>
      </c>
      <c r="J6" s="3383"/>
      <c r="K6" s="514" t="s">
        <v>528</v>
      </c>
      <c r="L6" s="2133"/>
      <c r="M6" s="2134"/>
      <c r="N6" s="2134"/>
      <c r="O6" s="2134"/>
      <c r="P6" s="3471"/>
      <c r="Q6" s="3380"/>
      <c r="R6" s="3363"/>
      <c r="S6" s="3364"/>
      <c r="T6" s="3365"/>
      <c r="U6" s="3366"/>
      <c r="V6" s="3381"/>
      <c r="W6" s="3381"/>
      <c r="X6" s="1566"/>
      <c r="Y6" s="3365"/>
      <c r="Z6" s="3366"/>
      <c r="AA6" s="3358"/>
      <c r="AB6" s="3358"/>
      <c r="AC6" s="3358"/>
    </row>
    <row r="7" spans="1:29" s="1220" customFormat="1" ht="15.75" thickBot="1">
      <c r="A7" s="2936"/>
      <c r="B7" s="2943" t="s">
        <v>529</v>
      </c>
      <c r="C7" s="519">
        <f>'数据-取费表'!B2</f>
        <v>43228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68" t="s">
        <v>530</v>
      </c>
      <c r="Q7" s="3368"/>
      <c r="R7" s="1567" t="s">
        <v>8</v>
      </c>
      <c r="S7" s="1568">
        <f t="shared" ref="S7:S15" si="0">F7</f>
        <v>0</v>
      </c>
      <c r="T7" s="1567" t="s">
        <v>8</v>
      </c>
      <c r="U7" s="1568">
        <f t="shared" ref="U7:U15" si="1">H7</f>
        <v>0</v>
      </c>
      <c r="V7" s="1567" t="s">
        <v>8</v>
      </c>
      <c r="W7" s="1568">
        <f t="shared" ref="W7:W15" si="2">J7</f>
        <v>0</v>
      </c>
      <c r="X7" s="1569"/>
      <c r="Y7" s="3359" t="s">
        <v>530</v>
      </c>
      <c r="Z7" s="3360"/>
      <c r="AA7" s="1570" t="e">
        <f>D7/F7</f>
        <v>#DIV/0!</v>
      </c>
      <c r="AB7" s="1570" t="e">
        <f>D7/H7</f>
        <v>#DIV/0!</v>
      </c>
      <c r="AC7" s="1570" t="e">
        <f>D7/J7</f>
        <v>#DIV/0!</v>
      </c>
    </row>
    <row r="8" spans="1:29" s="1220"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68" t="s">
        <v>533</v>
      </c>
      <c r="Q8" s="3360"/>
      <c r="R8" s="1567" t="s">
        <v>8</v>
      </c>
      <c r="S8" s="1568">
        <f t="shared" si="0"/>
        <v>0</v>
      </c>
      <c r="T8" s="1567" t="s">
        <v>8</v>
      </c>
      <c r="U8" s="1568">
        <f t="shared" si="1"/>
        <v>0</v>
      </c>
      <c r="V8" s="1567" t="s">
        <v>8</v>
      </c>
      <c r="W8" s="1568">
        <f t="shared" si="2"/>
        <v>0</v>
      </c>
      <c r="X8" s="1569"/>
      <c r="Y8" s="3359" t="s">
        <v>533</v>
      </c>
      <c r="Z8" s="3360"/>
      <c r="AA8" s="1570" t="e">
        <f t="shared" ref="AA8:AA47" si="3">D8/F8</f>
        <v>#DIV/0!</v>
      </c>
      <c r="AB8" s="1570" t="e">
        <f t="shared" ref="AB8:AB47" si="4">D8/H8</f>
        <v>#DIV/0!</v>
      </c>
      <c r="AC8" s="1570" t="e">
        <f t="shared" ref="AC8:AC47" si="5">D8/J8</f>
        <v>#DIV/0!</v>
      </c>
    </row>
    <row r="9" spans="1:29" s="1220" customFormat="1" ht="15">
      <c r="A9" s="2938"/>
      <c r="B9" s="2945"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7" t="s">
        <v>535</v>
      </c>
      <c r="Q9" s="1151" t="str">
        <f t="shared" ref="Q9:Q15" si="6">B9</f>
        <v>用途</v>
      </c>
      <c r="R9" s="1567" t="s">
        <v>8</v>
      </c>
      <c r="S9" s="1568">
        <f t="shared" si="0"/>
        <v>100</v>
      </c>
      <c r="T9" s="1567" t="s">
        <v>8</v>
      </c>
      <c r="U9" s="1568">
        <f t="shared" si="1"/>
        <v>100</v>
      </c>
      <c r="V9" s="1567" t="s">
        <v>8</v>
      </c>
      <c r="W9" s="1568">
        <f t="shared" si="2"/>
        <v>100</v>
      </c>
      <c r="X9" s="1569"/>
      <c r="Y9" s="3324" t="s">
        <v>536</v>
      </c>
      <c r="Z9" s="1150" t="str">
        <f t="shared" ref="Z9:Z15" si="7">Q9</f>
        <v>用途</v>
      </c>
      <c r="AA9" s="1570">
        <f t="shared" si="3"/>
        <v>1</v>
      </c>
      <c r="AB9" s="1570">
        <f t="shared" si="4"/>
        <v>1</v>
      </c>
      <c r="AC9" s="1570">
        <f t="shared" si="5"/>
        <v>1</v>
      </c>
    </row>
    <row r="10" spans="1:29" s="1338" customFormat="1" ht="27">
      <c r="A10" s="2939"/>
      <c r="B10" s="2944"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7"/>
      <c r="Q10" s="1151" t="str">
        <f t="shared" si="6"/>
        <v>土地使用年限（年）</v>
      </c>
      <c r="R10" s="1567" t="s">
        <v>8</v>
      </c>
      <c r="S10" s="1568">
        <f t="shared" si="0"/>
        <v>100</v>
      </c>
      <c r="T10" s="1567" t="s">
        <v>8</v>
      </c>
      <c r="U10" s="1568">
        <f t="shared" si="1"/>
        <v>100</v>
      </c>
      <c r="V10" s="1567" t="s">
        <v>8</v>
      </c>
      <c r="W10" s="1568">
        <f t="shared" si="2"/>
        <v>100</v>
      </c>
      <c r="X10" s="1569"/>
      <c r="Y10" s="3324"/>
      <c r="Z10" s="1150"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7"/>
      <c r="Q11" s="1151" t="str">
        <f t="shared" si="6"/>
        <v>容积率</v>
      </c>
      <c r="R11" s="1567" t="s">
        <v>8</v>
      </c>
      <c r="S11" s="1568" t="e">
        <f t="shared" si="0"/>
        <v>#N/A</v>
      </c>
      <c r="T11" s="1567" t="s">
        <v>8</v>
      </c>
      <c r="U11" s="1568" t="e">
        <f t="shared" si="1"/>
        <v>#N/A</v>
      </c>
      <c r="V11" s="1567" t="s">
        <v>8</v>
      </c>
      <c r="W11" s="1568" t="e">
        <f t="shared" si="2"/>
        <v>#N/A</v>
      </c>
      <c r="X11" s="1569"/>
      <c r="Y11" s="3324"/>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7"/>
      <c r="Q12" s="1151">
        <f t="shared" si="6"/>
        <v>111</v>
      </c>
      <c r="R12" s="1567" t="s">
        <v>8</v>
      </c>
      <c r="S12" s="1568">
        <f t="shared" si="0"/>
        <v>100</v>
      </c>
      <c r="T12" s="1567" t="s">
        <v>8</v>
      </c>
      <c r="U12" s="1568">
        <f t="shared" si="1"/>
        <v>100</v>
      </c>
      <c r="V12" s="1567" t="s">
        <v>8</v>
      </c>
      <c r="W12" s="1568">
        <f t="shared" si="2"/>
        <v>100</v>
      </c>
      <c r="X12" s="1569"/>
      <c r="Y12" s="3324"/>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7"/>
      <c r="Q13" s="1151">
        <f t="shared" si="6"/>
        <v>111</v>
      </c>
      <c r="R13" s="1567" t="s">
        <v>8</v>
      </c>
      <c r="S13" s="1568">
        <f t="shared" si="0"/>
        <v>100</v>
      </c>
      <c r="T13" s="1567" t="s">
        <v>8</v>
      </c>
      <c r="U13" s="1568">
        <f t="shared" si="1"/>
        <v>100</v>
      </c>
      <c r="V13" s="1567" t="s">
        <v>8</v>
      </c>
      <c r="W13" s="1568">
        <f t="shared" si="2"/>
        <v>100</v>
      </c>
      <c r="X13" s="1569"/>
      <c r="Y13" s="3324"/>
      <c r="Z13" s="1150">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7"/>
      <c r="Q14" s="1151">
        <f t="shared" si="6"/>
        <v>111</v>
      </c>
      <c r="R14" s="1567" t="s">
        <v>8</v>
      </c>
      <c r="S14" s="1568">
        <f t="shared" si="0"/>
        <v>100</v>
      </c>
      <c r="T14" s="1567" t="s">
        <v>8</v>
      </c>
      <c r="U14" s="1568">
        <f t="shared" si="1"/>
        <v>100</v>
      </c>
      <c r="V14" s="1567" t="s">
        <v>8</v>
      </c>
      <c r="W14" s="1568">
        <f t="shared" si="2"/>
        <v>100</v>
      </c>
      <c r="X14" s="1569"/>
      <c r="Y14" s="3324"/>
      <c r="Z14" s="1150">
        <f t="shared" si="7"/>
        <v>111</v>
      </c>
      <c r="AA14" s="1570">
        <f t="shared" si="3"/>
        <v>1</v>
      </c>
      <c r="AB14" s="1570">
        <f t="shared" si="4"/>
        <v>1</v>
      </c>
      <c r="AC14" s="1570">
        <f t="shared" si="5"/>
        <v>1</v>
      </c>
    </row>
    <row r="15" spans="1:29" ht="71.25">
      <c r="A15" s="2934"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69" t="s">
        <v>540</v>
      </c>
      <c r="Q15" s="1571" t="str">
        <f t="shared" si="6"/>
        <v>办公集聚程度</v>
      </c>
      <c r="R15" s="1572" t="s">
        <v>8</v>
      </c>
      <c r="S15" s="1573">
        <f t="shared" si="0"/>
        <v>100</v>
      </c>
      <c r="T15" s="1572" t="s">
        <v>8</v>
      </c>
      <c r="U15" s="1573">
        <f t="shared" si="1"/>
        <v>100</v>
      </c>
      <c r="V15" s="1572" t="s">
        <v>8</v>
      </c>
      <c r="W15" s="1573">
        <f t="shared" si="2"/>
        <v>100</v>
      </c>
      <c r="X15" s="1566"/>
      <c r="Y15" s="3369"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70"/>
      <c r="Q16" s="1571"/>
      <c r="R16" s="1572"/>
      <c r="S16" s="1573"/>
      <c r="T16" s="1572"/>
      <c r="U16" s="1573"/>
      <c r="V16" s="1572"/>
      <c r="W16" s="1573"/>
      <c r="X16" s="1566"/>
      <c r="Y16" s="3370"/>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0"/>
      <c r="Q17" s="1571" t="str">
        <f>B17</f>
        <v>交通便捷度</v>
      </c>
      <c r="R17" s="1572" t="s">
        <v>8</v>
      </c>
      <c r="S17" s="1573">
        <f>F17</f>
        <v>100</v>
      </c>
      <c r="T17" s="1572" t="s">
        <v>8</v>
      </c>
      <c r="U17" s="1573">
        <f>H17</f>
        <v>100</v>
      </c>
      <c r="V17" s="1572" t="s">
        <v>8</v>
      </c>
      <c r="W17" s="1573">
        <f>J17</f>
        <v>100</v>
      </c>
      <c r="X17" s="1566"/>
      <c r="Y17" s="337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70"/>
      <c r="Q18" s="1571"/>
      <c r="R18" s="1572"/>
      <c r="S18" s="1573"/>
      <c r="T18" s="1572"/>
      <c r="U18" s="1573"/>
      <c r="V18" s="1572"/>
      <c r="W18" s="1573"/>
      <c r="X18" s="1566"/>
      <c r="Y18" s="3370"/>
      <c r="Z18" s="1574"/>
      <c r="AA18" s="1575">
        <v>1</v>
      </c>
      <c r="AB18" s="1575">
        <v>1</v>
      </c>
      <c r="AC18" s="1575">
        <v>1</v>
      </c>
    </row>
    <row r="19" spans="1:29" ht="42.75">
      <c r="A19" s="532"/>
      <c r="B19" s="2627"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0"/>
      <c r="Q19" s="1571" t="str">
        <f>B19</f>
        <v>公共配套设施</v>
      </c>
      <c r="R19" s="1572" t="s">
        <v>8</v>
      </c>
      <c r="S19" s="1573">
        <f>F19</f>
        <v>100</v>
      </c>
      <c r="T19" s="1572" t="s">
        <v>8</v>
      </c>
      <c r="U19" s="1573">
        <f>H19</f>
        <v>100</v>
      </c>
      <c r="V19" s="1572" t="s">
        <v>8</v>
      </c>
      <c r="W19" s="1573">
        <f>J19</f>
        <v>100</v>
      </c>
      <c r="X19" s="1566"/>
      <c r="Y19" s="337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70"/>
      <c r="Q20" s="1571"/>
      <c r="R20" s="1572"/>
      <c r="S20" s="1573"/>
      <c r="T20" s="1572"/>
      <c r="U20" s="1573"/>
      <c r="V20" s="1572"/>
      <c r="W20" s="1573"/>
      <c r="X20" s="1566"/>
      <c r="Y20" s="3370"/>
      <c r="Z20" s="1574"/>
      <c r="AA20" s="1575">
        <v>1</v>
      </c>
      <c r="AB20" s="1575">
        <v>1</v>
      </c>
      <c r="AC20" s="1575">
        <v>1</v>
      </c>
    </row>
    <row r="21" spans="1:29" ht="28.5">
      <c r="A21" s="532"/>
      <c r="B21" s="2615"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0"/>
      <c r="Q21" s="2603" t="str">
        <f>B21</f>
        <v>基础设施水平</v>
      </c>
      <c r="R21" s="1572" t="s">
        <v>8</v>
      </c>
      <c r="S21" s="1573">
        <f>F21</f>
        <v>100</v>
      </c>
      <c r="T21" s="1572" t="s">
        <v>8</v>
      </c>
      <c r="U21" s="1573">
        <f>H21</f>
        <v>100</v>
      </c>
      <c r="V21" s="1572" t="s">
        <v>8</v>
      </c>
      <c r="W21" s="1573">
        <f>J21</f>
        <v>100</v>
      </c>
      <c r="X21" s="2605"/>
      <c r="Y21" s="3370"/>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70"/>
      <c r="Q22" s="2603"/>
      <c r="R22" s="1572"/>
      <c r="S22" s="1573"/>
      <c r="T22" s="1572"/>
      <c r="U22" s="1573"/>
      <c r="V22" s="1572"/>
      <c r="W22" s="1573"/>
      <c r="X22" s="2605"/>
      <c r="Y22" s="3370"/>
      <c r="Z22" s="2604"/>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0"/>
      <c r="Q23" s="1571" t="str">
        <f>B23</f>
        <v>环境质量</v>
      </c>
      <c r="R23" s="1572" t="s">
        <v>8</v>
      </c>
      <c r="S23" s="1573">
        <f>F23</f>
        <v>100</v>
      </c>
      <c r="T23" s="1572" t="s">
        <v>8</v>
      </c>
      <c r="U23" s="1573">
        <f>H23</f>
        <v>100</v>
      </c>
      <c r="V23" s="1572" t="s">
        <v>8</v>
      </c>
      <c r="W23" s="1573">
        <f>J23</f>
        <v>100</v>
      </c>
      <c r="X23" s="1566"/>
      <c r="Y23" s="337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70"/>
      <c r="Q24" s="1571"/>
      <c r="R24" s="1572"/>
      <c r="S24" s="1573"/>
      <c r="T24" s="1572"/>
      <c r="U24" s="1573"/>
      <c r="V24" s="1572"/>
      <c r="W24" s="1573"/>
      <c r="X24" s="1566"/>
      <c r="Y24" s="3370"/>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0"/>
      <c r="Q25" s="1571" t="str">
        <f>B25</f>
        <v>毗邻道路的类型与等级</v>
      </c>
      <c r="R25" s="1572" t="s">
        <v>8</v>
      </c>
      <c r="S25" s="1573">
        <f>F25</f>
        <v>100</v>
      </c>
      <c r="T25" s="1572" t="s">
        <v>8</v>
      </c>
      <c r="U25" s="1573">
        <f>H25</f>
        <v>100</v>
      </c>
      <c r="V25" s="1572" t="s">
        <v>8</v>
      </c>
      <c r="W25" s="1573">
        <f>J25</f>
        <v>100</v>
      </c>
      <c r="X25" s="1566"/>
      <c r="Y25" s="337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70"/>
      <c r="Q26" s="1571"/>
      <c r="R26" s="1572"/>
      <c r="S26" s="1573"/>
      <c r="T26" s="1572"/>
      <c r="U26" s="1573"/>
      <c r="V26" s="1572"/>
      <c r="W26" s="1573"/>
      <c r="X26" s="1566"/>
      <c r="Y26" s="3370"/>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0"/>
      <c r="Q27" s="1571" t="str">
        <f t="shared" ref="Q27:Q47" si="11">B27</f>
        <v>楼层</v>
      </c>
      <c r="R27" s="1572" t="s">
        <v>8</v>
      </c>
      <c r="S27" s="1573">
        <f>F27</f>
        <v>100</v>
      </c>
      <c r="T27" s="1572" t="s">
        <v>8</v>
      </c>
      <c r="U27" s="1573">
        <f>H27</f>
        <v>100</v>
      </c>
      <c r="V27" s="1572" t="s">
        <v>8</v>
      </c>
      <c r="W27" s="1573">
        <f>J27</f>
        <v>100</v>
      </c>
      <c r="X27" s="1566"/>
      <c r="Y27" s="3370"/>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0"/>
      <c r="Q28" s="1151" t="str">
        <f t="shared" si="11"/>
        <v>朝向</v>
      </c>
      <c r="R28" s="1567" t="s">
        <v>8</v>
      </c>
      <c r="S28" s="1568">
        <f>F28</f>
        <v>100</v>
      </c>
      <c r="T28" s="1567" t="s">
        <v>8</v>
      </c>
      <c r="U28" s="1568">
        <f>H28</f>
        <v>100</v>
      </c>
      <c r="V28" s="1567" t="s">
        <v>8</v>
      </c>
      <c r="W28" s="1568">
        <f>J28</f>
        <v>100</v>
      </c>
      <c r="X28" s="1569"/>
      <c r="Y28" s="3370"/>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0"/>
      <c r="Q29" s="1571">
        <f t="shared" si="11"/>
        <v>111</v>
      </c>
      <c r="R29" s="1572" t="s">
        <v>8</v>
      </c>
      <c r="S29" s="1573">
        <f t="shared" ref="S29:S47" si="12">F29</f>
        <v>100</v>
      </c>
      <c r="T29" s="1572" t="s">
        <v>8</v>
      </c>
      <c r="U29" s="1573">
        <f t="shared" ref="U29:U47" si="13">H29</f>
        <v>100</v>
      </c>
      <c r="V29" s="1572" t="s">
        <v>8</v>
      </c>
      <c r="W29" s="1573">
        <f t="shared" ref="W29:W47" si="14">J29</f>
        <v>100</v>
      </c>
      <c r="X29" s="1566"/>
      <c r="Y29" s="337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0"/>
      <c r="Q30" s="1571">
        <f t="shared" si="11"/>
        <v>111</v>
      </c>
      <c r="R30" s="1572" t="s">
        <v>8</v>
      </c>
      <c r="S30" s="1573">
        <f t="shared" si="12"/>
        <v>100</v>
      </c>
      <c r="T30" s="1572" t="s">
        <v>8</v>
      </c>
      <c r="U30" s="1573">
        <f t="shared" si="13"/>
        <v>100</v>
      </c>
      <c r="V30" s="1572" t="s">
        <v>8</v>
      </c>
      <c r="W30" s="1573">
        <f t="shared" si="14"/>
        <v>100</v>
      </c>
      <c r="X30" s="1566"/>
      <c r="Y30" s="337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0"/>
      <c r="Q31" s="1571">
        <f t="shared" si="11"/>
        <v>111</v>
      </c>
      <c r="R31" s="1572" t="s">
        <v>8</v>
      </c>
      <c r="S31" s="1573">
        <f t="shared" si="12"/>
        <v>100</v>
      </c>
      <c r="T31" s="1572" t="s">
        <v>8</v>
      </c>
      <c r="U31" s="1573">
        <f t="shared" si="13"/>
        <v>100</v>
      </c>
      <c r="V31" s="1572" t="s">
        <v>8</v>
      </c>
      <c r="W31" s="1573">
        <f t="shared" si="14"/>
        <v>100</v>
      </c>
      <c r="X31" s="1566"/>
      <c r="Y31" s="3370"/>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0"/>
      <c r="Q32" s="1571">
        <f t="shared" si="11"/>
        <v>111</v>
      </c>
      <c r="R32" s="1572" t="s">
        <v>8</v>
      </c>
      <c r="S32" s="1573">
        <f t="shared" si="12"/>
        <v>100</v>
      </c>
      <c r="T32" s="1572" t="s">
        <v>8</v>
      </c>
      <c r="U32" s="1573">
        <f t="shared" si="13"/>
        <v>100</v>
      </c>
      <c r="V32" s="1572" t="s">
        <v>8</v>
      </c>
      <c r="W32" s="1573">
        <f t="shared" si="14"/>
        <v>100</v>
      </c>
      <c r="X32" s="1566"/>
      <c r="Y32" s="3370"/>
      <c r="Z32" s="1574">
        <f t="shared" si="15"/>
        <v>111</v>
      </c>
      <c r="AA32" s="1575">
        <f t="shared" si="3"/>
        <v>1</v>
      </c>
      <c r="AB32" s="1575">
        <f t="shared" si="4"/>
        <v>1</v>
      </c>
      <c r="AC32" s="1575">
        <f t="shared" si="5"/>
        <v>1</v>
      </c>
    </row>
    <row r="33" spans="1:29" ht="15">
      <c r="A33" s="2931"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1" t="s">
        <v>550</v>
      </c>
      <c r="Q33" s="1571" t="str">
        <f t="shared" si="11"/>
        <v>建筑类型</v>
      </c>
      <c r="R33" s="1572" t="s">
        <v>8</v>
      </c>
      <c r="S33" s="1573">
        <f t="shared" si="12"/>
        <v>100</v>
      </c>
      <c r="T33" s="1572" t="s">
        <v>8</v>
      </c>
      <c r="U33" s="1573">
        <f t="shared" si="13"/>
        <v>100</v>
      </c>
      <c r="V33" s="1572" t="s">
        <v>8</v>
      </c>
      <c r="W33" s="1573">
        <f t="shared" si="14"/>
        <v>100</v>
      </c>
      <c r="X33" s="1566"/>
      <c r="Y33" s="3372"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72"/>
      <c r="Q34" s="1604" t="str">
        <f t="shared" si="11"/>
        <v>项目建筑规模</v>
      </c>
      <c r="R34" s="1576" t="s">
        <v>8</v>
      </c>
      <c r="S34" s="1577" t="e">
        <f t="shared" si="12"/>
        <v>#N/A</v>
      </c>
      <c r="T34" s="1576" t="s">
        <v>8</v>
      </c>
      <c r="U34" s="1577" t="e">
        <f t="shared" si="13"/>
        <v>#N/A</v>
      </c>
      <c r="V34" s="1576" t="s">
        <v>8</v>
      </c>
      <c r="W34" s="1577" t="e">
        <f t="shared" si="14"/>
        <v>#N/A</v>
      </c>
      <c r="X34" s="1578"/>
      <c r="Y34" s="3372"/>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2"/>
      <c r="Q35" s="1571" t="str">
        <f t="shared" si="11"/>
        <v>建筑结构</v>
      </c>
      <c r="R35" s="1572" t="s">
        <v>8</v>
      </c>
      <c r="S35" s="1573">
        <f t="shared" si="12"/>
        <v>100</v>
      </c>
      <c r="T35" s="1572" t="s">
        <v>8</v>
      </c>
      <c r="U35" s="1573">
        <f t="shared" si="13"/>
        <v>100</v>
      </c>
      <c r="V35" s="1572" t="s">
        <v>8</v>
      </c>
      <c r="W35" s="1573">
        <f t="shared" si="14"/>
        <v>100</v>
      </c>
      <c r="X35" s="1566"/>
      <c r="Y35" s="3372"/>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2"/>
      <c r="Q36" s="1571" t="str">
        <f t="shared" si="11"/>
        <v>公共部分装修</v>
      </c>
      <c r="R36" s="1572" t="s">
        <v>8</v>
      </c>
      <c r="S36" s="1573">
        <f t="shared" si="12"/>
        <v>100</v>
      </c>
      <c r="T36" s="1572" t="s">
        <v>8</v>
      </c>
      <c r="U36" s="1573">
        <f t="shared" si="13"/>
        <v>100</v>
      </c>
      <c r="V36" s="1572" t="s">
        <v>8</v>
      </c>
      <c r="W36" s="1573">
        <f t="shared" si="14"/>
        <v>100</v>
      </c>
      <c r="X36" s="1566"/>
      <c r="Y36" s="3372"/>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72"/>
      <c r="Q37" s="1571" t="str">
        <f t="shared" si="11"/>
        <v>成新度</v>
      </c>
      <c r="R37" s="1572" t="s">
        <v>8</v>
      </c>
      <c r="S37" s="1573" t="e">
        <f t="shared" si="12"/>
        <v>#N/A</v>
      </c>
      <c r="T37" s="1572" t="s">
        <v>8</v>
      </c>
      <c r="U37" s="1573" t="e">
        <f t="shared" si="13"/>
        <v>#N/A</v>
      </c>
      <c r="V37" s="1572" t="s">
        <v>8</v>
      </c>
      <c r="W37" s="1573" t="e">
        <f t="shared" si="14"/>
        <v>#N/A</v>
      </c>
      <c r="X37" s="1566"/>
      <c r="Y37" s="3372"/>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2"/>
      <c r="Q38" s="1151" t="str">
        <f t="shared" si="11"/>
        <v>写字楼等级</v>
      </c>
      <c r="R38" s="1567" t="s">
        <v>8</v>
      </c>
      <c r="S38" s="1568">
        <f t="shared" si="12"/>
        <v>100</v>
      </c>
      <c r="T38" s="1567" t="s">
        <v>8</v>
      </c>
      <c r="U38" s="1568">
        <f t="shared" si="13"/>
        <v>100</v>
      </c>
      <c r="V38" s="1567" t="s">
        <v>8</v>
      </c>
      <c r="W38" s="1568">
        <f t="shared" si="14"/>
        <v>100</v>
      </c>
      <c r="X38" s="1569"/>
      <c r="Y38" s="3372"/>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2" t="s">
        <v>550</v>
      </c>
      <c r="Q39" s="1571" t="str">
        <f t="shared" si="11"/>
        <v>物业管理</v>
      </c>
      <c r="R39" s="1572" t="s">
        <v>8</v>
      </c>
      <c r="S39" s="1573">
        <f t="shared" si="12"/>
        <v>100</v>
      </c>
      <c r="T39" s="1572" t="s">
        <v>8</v>
      </c>
      <c r="U39" s="1573">
        <f t="shared" si="13"/>
        <v>100</v>
      </c>
      <c r="V39" s="1572" t="s">
        <v>8</v>
      </c>
      <c r="W39" s="1573">
        <f t="shared" si="14"/>
        <v>100</v>
      </c>
      <c r="X39" s="1566"/>
      <c r="Y39" s="3372"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2"/>
      <c r="Q40" s="1571" t="str">
        <f t="shared" si="11"/>
        <v>市政基础设施</v>
      </c>
      <c r="R40" s="1572" t="s">
        <v>8</v>
      </c>
      <c r="S40" s="1573">
        <f t="shared" si="12"/>
        <v>100</v>
      </c>
      <c r="T40" s="1572" t="s">
        <v>8</v>
      </c>
      <c r="U40" s="1573">
        <f t="shared" si="13"/>
        <v>100</v>
      </c>
      <c r="V40" s="1572" t="s">
        <v>8</v>
      </c>
      <c r="W40" s="1573">
        <f t="shared" si="14"/>
        <v>100</v>
      </c>
      <c r="X40" s="1566"/>
      <c r="Y40" s="3372"/>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2"/>
      <c r="Q41" s="1571" t="str">
        <f t="shared" si="11"/>
        <v>层高</v>
      </c>
      <c r="R41" s="1572" t="s">
        <v>8</v>
      </c>
      <c r="S41" s="1573">
        <f t="shared" si="12"/>
        <v>100</v>
      </c>
      <c r="T41" s="1572" t="s">
        <v>8</v>
      </c>
      <c r="U41" s="1573">
        <f t="shared" si="13"/>
        <v>100</v>
      </c>
      <c r="V41" s="1572" t="s">
        <v>8</v>
      </c>
      <c r="W41" s="1573">
        <f t="shared" si="14"/>
        <v>100</v>
      </c>
      <c r="X41" s="1566"/>
      <c r="Y41" s="3372"/>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2"/>
      <c r="Q42" s="1604" t="str">
        <f t="shared" si="11"/>
        <v>单套建筑面积</v>
      </c>
      <c r="R42" s="1576" t="s">
        <v>8</v>
      </c>
      <c r="S42" s="1577">
        <f t="shared" si="12"/>
        <v>100</v>
      </c>
      <c r="T42" s="1576" t="s">
        <v>8</v>
      </c>
      <c r="U42" s="1577">
        <f t="shared" si="13"/>
        <v>100</v>
      </c>
      <c r="V42" s="1576" t="s">
        <v>8</v>
      </c>
      <c r="W42" s="1577">
        <f t="shared" si="14"/>
        <v>100</v>
      </c>
      <c r="X42" s="1578"/>
      <c r="Y42" s="3372"/>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2"/>
      <c r="Q43" s="1571" t="str">
        <f t="shared" si="11"/>
        <v>内部装修</v>
      </c>
      <c r="R43" s="1572" t="s">
        <v>8</v>
      </c>
      <c r="S43" s="1573">
        <f t="shared" si="12"/>
        <v>100</v>
      </c>
      <c r="T43" s="1572" t="s">
        <v>8</v>
      </c>
      <c r="U43" s="1573">
        <f t="shared" si="13"/>
        <v>100</v>
      </c>
      <c r="V43" s="1572" t="s">
        <v>8</v>
      </c>
      <c r="W43" s="1573">
        <f t="shared" si="14"/>
        <v>100</v>
      </c>
      <c r="X43" s="1566"/>
      <c r="Y43" s="3372"/>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2"/>
      <c r="Q44" s="1571" t="str">
        <f t="shared" si="11"/>
        <v>内部装修维护情况</v>
      </c>
      <c r="R44" s="1572" t="s">
        <v>8</v>
      </c>
      <c r="S44" s="1573">
        <f t="shared" si="12"/>
        <v>100</v>
      </c>
      <c r="T44" s="1572" t="s">
        <v>8</v>
      </c>
      <c r="U44" s="1573">
        <f t="shared" si="13"/>
        <v>100</v>
      </c>
      <c r="V44" s="1572" t="s">
        <v>8</v>
      </c>
      <c r="W44" s="1573">
        <f t="shared" si="14"/>
        <v>100</v>
      </c>
      <c r="X44" s="1566"/>
      <c r="Y44" s="3372"/>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72"/>
      <c r="Q45" s="1151">
        <f t="shared" si="11"/>
        <v>111</v>
      </c>
      <c r="R45" s="1567" t="s">
        <v>8</v>
      </c>
      <c r="S45" s="1568">
        <f t="shared" si="12"/>
        <v>100</v>
      </c>
      <c r="T45" s="1567" t="s">
        <v>8</v>
      </c>
      <c r="U45" s="1568">
        <f t="shared" si="13"/>
        <v>100</v>
      </c>
      <c r="V45" s="1567" t="s">
        <v>8</v>
      </c>
      <c r="W45" s="1568">
        <f t="shared" si="14"/>
        <v>100</v>
      </c>
      <c r="X45" s="1569"/>
      <c r="Y45" s="3372"/>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72"/>
      <c r="Q46" s="1571">
        <f t="shared" si="11"/>
        <v>111</v>
      </c>
      <c r="R46" s="1572" t="s">
        <v>8</v>
      </c>
      <c r="S46" s="1573">
        <f t="shared" si="12"/>
        <v>100</v>
      </c>
      <c r="T46" s="1572" t="s">
        <v>8</v>
      </c>
      <c r="U46" s="1573">
        <f t="shared" si="13"/>
        <v>100</v>
      </c>
      <c r="V46" s="1572" t="s">
        <v>8</v>
      </c>
      <c r="W46" s="1573">
        <f t="shared" si="14"/>
        <v>100</v>
      </c>
      <c r="X46" s="1566"/>
      <c r="Y46" s="3372"/>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8"/>
      <c r="Q47" s="1571">
        <f t="shared" si="11"/>
        <v>111</v>
      </c>
      <c r="R47" s="1572" t="s">
        <v>8</v>
      </c>
      <c r="S47" s="1573">
        <f t="shared" si="12"/>
        <v>100</v>
      </c>
      <c r="T47" s="1572" t="s">
        <v>8</v>
      </c>
      <c r="U47" s="1573">
        <f t="shared" si="13"/>
        <v>100</v>
      </c>
      <c r="V47" s="1572" t="s">
        <v>8</v>
      </c>
      <c r="W47" s="1573">
        <f t="shared" si="14"/>
        <v>100</v>
      </c>
      <c r="X47" s="1566"/>
      <c r="Y47" s="3468"/>
      <c r="Z47" s="1574">
        <f t="shared" si="15"/>
        <v>111</v>
      </c>
      <c r="AA47" s="1575">
        <f t="shared" si="3"/>
        <v>1</v>
      </c>
      <c r="AB47" s="1575">
        <f t="shared" si="4"/>
        <v>1</v>
      </c>
      <c r="AC47" s="1575">
        <f t="shared" si="5"/>
        <v>1</v>
      </c>
    </row>
    <row r="48" spans="1:29" ht="15">
      <c r="A48" s="607" t="s">
        <v>736</v>
      </c>
      <c r="B48" s="887"/>
      <c r="C48" s="2651" t="s">
        <v>1</v>
      </c>
      <c r="D48" s="2652"/>
      <c r="E48" s="2653"/>
      <c r="F48" s="2654"/>
      <c r="G48" s="2655"/>
      <c r="H48" s="2656"/>
      <c r="I48" s="2653"/>
      <c r="J48" s="2656"/>
      <c r="K48" s="1610"/>
      <c r="L48" s="2144"/>
      <c r="M48" s="2134"/>
      <c r="N48" s="2134"/>
      <c r="O48" s="2134"/>
      <c r="P48" s="3389" t="str">
        <f>A48</f>
        <v>成交单价（元/平方米）</v>
      </c>
      <c r="Q48" s="3367"/>
      <c r="R48" s="3467">
        <f>E48</f>
        <v>0</v>
      </c>
      <c r="S48" s="3467"/>
      <c r="T48" s="3467">
        <f>G48</f>
        <v>0</v>
      </c>
      <c r="U48" s="3467"/>
      <c r="V48" s="3467">
        <f>I48</f>
        <v>0</v>
      </c>
      <c r="W48" s="3467"/>
      <c r="X48" s="1558"/>
      <c r="Y48" s="1580"/>
      <c r="Z48" s="1558"/>
      <c r="AA48" s="1558"/>
      <c r="AB48" s="1558"/>
      <c r="AC48" s="1558"/>
    </row>
    <row r="49" spans="1:29" ht="15.75" thickBot="1">
      <c r="A49" s="615" t="s">
        <v>2762</v>
      </c>
      <c r="B49" s="888"/>
      <c r="C49" s="2657" t="e">
        <f>R50</f>
        <v>#DIV/0!</v>
      </c>
      <c r="D49" s="2658"/>
      <c r="E49" s="2659" t="e">
        <f>R49</f>
        <v>#DIV/0!</v>
      </c>
      <c r="F49" s="2659"/>
      <c r="G49" s="2657" t="e">
        <f>T49</f>
        <v>#DIV/0!</v>
      </c>
      <c r="H49" s="2658"/>
      <c r="I49" s="2659" t="e">
        <f>V49</f>
        <v>#DIV/0!</v>
      </c>
      <c r="J49" s="2658"/>
      <c r="K49" s="1611"/>
      <c r="L49" s="2144"/>
      <c r="M49" s="2134"/>
      <c r="N49" s="2134"/>
      <c r="O49" s="2134"/>
      <c r="P49" s="3389" t="str">
        <f>A49</f>
        <v>比较价格（元/平方米）</v>
      </c>
      <c r="Q49" s="3367"/>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8"/>
      <c r="Y49" s="1558"/>
      <c r="Z49" s="1558"/>
      <c r="AA49" s="1558"/>
      <c r="AB49" s="1558"/>
      <c r="AC49" s="1558"/>
    </row>
    <row r="50" spans="1:29" ht="15.75" thickBot="1">
      <c r="A50" s="621" t="s">
        <v>2938</v>
      </c>
      <c r="B50" s="622"/>
      <c r="C50" s="2660" t="e">
        <f>R50</f>
        <v>#DIV/0!</v>
      </c>
      <c r="D50" s="2660"/>
      <c r="E50" s="2660"/>
      <c r="F50" s="2660"/>
      <c r="G50" s="2660"/>
      <c r="H50" s="2660"/>
      <c r="I50" s="2660"/>
      <c r="J50" s="2660"/>
      <c r="K50" s="1612"/>
      <c r="L50" s="2144"/>
      <c r="M50" s="2134"/>
      <c r="N50" s="2134"/>
      <c r="O50" s="2134"/>
      <c r="P50" s="3472" t="str">
        <f>A50</f>
        <v>估价对象XX用房的比较价格（楼面单价，元/平方米）</v>
      </c>
      <c r="Q50" s="3389"/>
      <c r="R50" s="3466" t="e">
        <f>IF(F1="售价",ROUND(AVERAGE(R49:V49),0),ROUND(AVERAGE(R49:V49),1))</f>
        <v>#DIV/0!</v>
      </c>
      <c r="S50" s="3466"/>
      <c r="T50" s="3466"/>
      <c r="U50" s="3466"/>
      <c r="V50" s="3466"/>
      <c r="W50" s="346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529</v>
      </c>
      <c r="B59" s="646"/>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73" t="s">
        <v>522</v>
      </c>
      <c r="D4" s="3374"/>
      <c r="E4" s="3397" t="s">
        <v>523</v>
      </c>
      <c r="F4" s="3398"/>
      <c r="G4" s="3373" t="s">
        <v>524</v>
      </c>
      <c r="H4" s="3374"/>
      <c r="I4" s="3373" t="s">
        <v>525</v>
      </c>
      <c r="J4" s="3374"/>
      <c r="K4" s="514" t="s">
        <v>526</v>
      </c>
      <c r="L4" s="2133"/>
      <c r="M4" s="2134"/>
      <c r="N4" s="2134"/>
      <c r="O4" s="2134"/>
      <c r="P4" s="3375" t="s">
        <v>527</v>
      </c>
      <c r="Q4" s="3376"/>
      <c r="R4" s="3361" t="s">
        <v>523</v>
      </c>
      <c r="S4" s="3362"/>
      <c r="T4" s="3361" t="s">
        <v>524</v>
      </c>
      <c r="U4" s="3362"/>
      <c r="V4" s="3381" t="s">
        <v>525</v>
      </c>
      <c r="W4" s="3381"/>
      <c r="X4" s="1566"/>
      <c r="Y4" s="3361" t="s">
        <v>527</v>
      </c>
      <c r="Z4" s="3362"/>
      <c r="AA4" s="3356" t="s">
        <v>523</v>
      </c>
      <c r="AB4" s="3357" t="s">
        <v>524</v>
      </c>
      <c r="AC4" s="3356" t="s">
        <v>525</v>
      </c>
    </row>
    <row r="5" spans="1:29" ht="15">
      <c r="A5" s="515"/>
      <c r="B5" s="516"/>
      <c r="C5" s="3384" t="s">
        <v>2932</v>
      </c>
      <c r="D5" s="3385"/>
      <c r="E5" s="3399" t="s">
        <v>2933</v>
      </c>
      <c r="F5" s="3400"/>
      <c r="G5" s="3384" t="s">
        <v>2934</v>
      </c>
      <c r="H5" s="3385"/>
      <c r="I5" s="3384" t="s">
        <v>2935</v>
      </c>
      <c r="J5" s="3385"/>
      <c r="K5" s="514"/>
      <c r="L5" s="2133"/>
      <c r="M5" s="2134"/>
      <c r="N5" s="2134"/>
      <c r="O5" s="2134"/>
      <c r="P5" s="3377"/>
      <c r="Q5" s="3378"/>
      <c r="R5" s="3363"/>
      <c r="S5" s="3364"/>
      <c r="T5" s="3363"/>
      <c r="U5" s="3364"/>
      <c r="V5" s="3381"/>
      <c r="W5" s="3381"/>
      <c r="X5" s="1566"/>
      <c r="Y5" s="3363"/>
      <c r="Z5" s="3364"/>
      <c r="AA5" s="3357"/>
      <c r="AB5" s="3357"/>
      <c r="AC5" s="3357"/>
    </row>
    <row r="6" spans="1:29" ht="15.75" thickBot="1">
      <c r="A6" s="517"/>
      <c r="B6" s="518"/>
      <c r="C6" s="3382" t="s">
        <v>2936</v>
      </c>
      <c r="D6" s="3383"/>
      <c r="E6" s="3401" t="s">
        <v>2936</v>
      </c>
      <c r="F6" s="3402"/>
      <c r="G6" s="3382" t="s">
        <v>2936</v>
      </c>
      <c r="H6" s="3383"/>
      <c r="I6" s="3382" t="s">
        <v>2936</v>
      </c>
      <c r="J6" s="3383"/>
      <c r="K6" s="514" t="s">
        <v>528</v>
      </c>
      <c r="L6" s="2133"/>
      <c r="M6" s="2134"/>
      <c r="N6" s="2134"/>
      <c r="O6" s="2134"/>
      <c r="P6" s="3379"/>
      <c r="Q6" s="3380"/>
      <c r="R6" s="3363"/>
      <c r="S6" s="3364"/>
      <c r="T6" s="3365"/>
      <c r="U6" s="3366"/>
      <c r="V6" s="3381"/>
      <c r="W6" s="3381"/>
      <c r="X6" s="1566"/>
      <c r="Y6" s="3365"/>
      <c r="Z6" s="3366"/>
      <c r="AA6" s="3358"/>
      <c r="AB6" s="3358"/>
      <c r="AC6" s="3358"/>
    </row>
    <row r="7" spans="1:29" s="1220" customFormat="1" ht="15.75" thickBot="1">
      <c r="A7" s="2936"/>
      <c r="B7" s="2943" t="s">
        <v>529</v>
      </c>
      <c r="C7" s="519">
        <f>'数据-取费表'!B2</f>
        <v>43228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59" t="s">
        <v>530</v>
      </c>
      <c r="Q7" s="3368"/>
      <c r="R7" s="1567" t="s">
        <v>8</v>
      </c>
      <c r="S7" s="1568">
        <f t="shared" ref="S7:S15" si="0">F7</f>
        <v>0</v>
      </c>
      <c r="T7" s="1567" t="s">
        <v>8</v>
      </c>
      <c r="U7" s="1568">
        <f t="shared" ref="U7:U15" si="1">H7</f>
        <v>0</v>
      </c>
      <c r="V7" s="1567" t="s">
        <v>8</v>
      </c>
      <c r="W7" s="1568">
        <f t="shared" ref="W7:W15" si="2">J7</f>
        <v>0</v>
      </c>
      <c r="X7" s="1569"/>
      <c r="Y7" s="3359" t="s">
        <v>530</v>
      </c>
      <c r="Z7" s="3360"/>
      <c r="AA7" s="1570" t="e">
        <f>D7/F7</f>
        <v>#DIV/0!</v>
      </c>
      <c r="AB7" s="1570" t="e">
        <f>D7/H7</f>
        <v>#DIV/0!</v>
      </c>
      <c r="AC7" s="1570"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59" t="s">
        <v>533</v>
      </c>
      <c r="Q8" s="3360"/>
      <c r="R8" s="1567" t="s">
        <v>8</v>
      </c>
      <c r="S8" s="1568">
        <f t="shared" si="0"/>
        <v>0</v>
      </c>
      <c r="T8" s="1567" t="s">
        <v>8</v>
      </c>
      <c r="U8" s="1568">
        <f t="shared" si="1"/>
        <v>0</v>
      </c>
      <c r="V8" s="1567" t="s">
        <v>8</v>
      </c>
      <c r="W8" s="1568">
        <f t="shared" si="2"/>
        <v>0</v>
      </c>
      <c r="X8" s="1569"/>
      <c r="Y8" s="3359" t="s">
        <v>533</v>
      </c>
      <c r="Z8" s="3360"/>
      <c r="AA8" s="1570" t="e">
        <f t="shared" ref="AA8:AA40" si="3">D8/F8</f>
        <v>#DIV/0!</v>
      </c>
      <c r="AB8" s="1570" t="e">
        <f t="shared" ref="AB8:AB40" si="4">D8/H8</f>
        <v>#DIV/0!</v>
      </c>
      <c r="AC8" s="1570" t="e">
        <f t="shared" ref="AC8:AC40" si="5">D8/J8</f>
        <v>#DIV/0!</v>
      </c>
    </row>
    <row r="9" spans="1:29" s="1220" customFormat="1" ht="15">
      <c r="A9" s="2938"/>
      <c r="B9" s="2945"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7" t="s">
        <v>535</v>
      </c>
      <c r="Q9" s="1151" t="str">
        <f t="shared" ref="Q9:Q15" si="6">B9</f>
        <v>用途</v>
      </c>
      <c r="R9" s="1567" t="s">
        <v>8</v>
      </c>
      <c r="S9" s="1568">
        <f t="shared" si="0"/>
        <v>100</v>
      </c>
      <c r="T9" s="1567" t="s">
        <v>8</v>
      </c>
      <c r="U9" s="1568">
        <f t="shared" si="1"/>
        <v>100</v>
      </c>
      <c r="V9" s="1567" t="s">
        <v>8</v>
      </c>
      <c r="W9" s="1568">
        <f t="shared" si="2"/>
        <v>100</v>
      </c>
      <c r="X9" s="1569"/>
      <c r="Y9" s="3324" t="s">
        <v>536</v>
      </c>
      <c r="Z9" s="1150" t="str">
        <f t="shared" ref="Z9:Z15" si="7">Q9</f>
        <v>用途</v>
      </c>
      <c r="AA9" s="1570">
        <f t="shared" si="3"/>
        <v>1</v>
      </c>
      <c r="AB9" s="1570">
        <f t="shared" si="4"/>
        <v>1</v>
      </c>
      <c r="AC9" s="1570">
        <f t="shared" si="5"/>
        <v>1</v>
      </c>
    </row>
    <row r="10" spans="1:29" s="1338" customFormat="1" ht="27">
      <c r="A10" s="2939"/>
      <c r="B10" s="2944"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7"/>
      <c r="Q10" s="1151" t="str">
        <f t="shared" si="6"/>
        <v>土地使用年限（年）</v>
      </c>
      <c r="R10" s="1567" t="s">
        <v>8</v>
      </c>
      <c r="S10" s="1568">
        <f t="shared" si="0"/>
        <v>100</v>
      </c>
      <c r="T10" s="1567" t="s">
        <v>8</v>
      </c>
      <c r="U10" s="1568">
        <f t="shared" si="1"/>
        <v>100</v>
      </c>
      <c r="V10" s="1567" t="s">
        <v>8</v>
      </c>
      <c r="W10" s="1568">
        <f t="shared" si="2"/>
        <v>100</v>
      </c>
      <c r="X10" s="1569"/>
      <c r="Y10" s="3324"/>
      <c r="Z10" s="1150"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7"/>
      <c r="Q11" s="1151" t="str">
        <f t="shared" si="6"/>
        <v>容积率</v>
      </c>
      <c r="R11" s="1567" t="s">
        <v>8</v>
      </c>
      <c r="S11" s="1568" t="e">
        <f t="shared" si="0"/>
        <v>#N/A</v>
      </c>
      <c r="T11" s="1567" t="s">
        <v>8</v>
      </c>
      <c r="U11" s="1568" t="e">
        <f t="shared" si="1"/>
        <v>#N/A</v>
      </c>
      <c r="V11" s="1567" t="s">
        <v>8</v>
      </c>
      <c r="W11" s="1568" t="e">
        <f t="shared" si="2"/>
        <v>#N/A</v>
      </c>
      <c r="X11" s="1569"/>
      <c r="Y11" s="3324"/>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7"/>
      <c r="Q12" s="1151">
        <f t="shared" si="6"/>
        <v>111</v>
      </c>
      <c r="R12" s="1567" t="s">
        <v>8</v>
      </c>
      <c r="S12" s="1568">
        <f t="shared" si="0"/>
        <v>100</v>
      </c>
      <c r="T12" s="1567" t="s">
        <v>8</v>
      </c>
      <c r="U12" s="1568">
        <f t="shared" si="1"/>
        <v>100</v>
      </c>
      <c r="V12" s="1567" t="s">
        <v>8</v>
      </c>
      <c r="W12" s="1568">
        <f t="shared" si="2"/>
        <v>100</v>
      </c>
      <c r="X12" s="1569"/>
      <c r="Y12" s="3324"/>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7"/>
      <c r="Q13" s="1151">
        <f t="shared" si="6"/>
        <v>111</v>
      </c>
      <c r="R13" s="1567" t="s">
        <v>8</v>
      </c>
      <c r="S13" s="1568">
        <f t="shared" si="0"/>
        <v>100</v>
      </c>
      <c r="T13" s="1567" t="s">
        <v>8</v>
      </c>
      <c r="U13" s="1568">
        <f t="shared" si="1"/>
        <v>100</v>
      </c>
      <c r="V13" s="1567" t="s">
        <v>8</v>
      </c>
      <c r="W13" s="1568">
        <f t="shared" si="2"/>
        <v>100</v>
      </c>
      <c r="X13" s="1569"/>
      <c r="Y13" s="3324"/>
      <c r="Z13" s="1150">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7"/>
      <c r="Q14" s="1151">
        <f t="shared" si="6"/>
        <v>111</v>
      </c>
      <c r="R14" s="1567" t="s">
        <v>8</v>
      </c>
      <c r="S14" s="1568">
        <f t="shared" si="0"/>
        <v>100</v>
      </c>
      <c r="T14" s="1567" t="s">
        <v>8</v>
      </c>
      <c r="U14" s="1568">
        <f t="shared" si="1"/>
        <v>100</v>
      </c>
      <c r="V14" s="1567" t="s">
        <v>8</v>
      </c>
      <c r="W14" s="1568">
        <f t="shared" si="2"/>
        <v>100</v>
      </c>
      <c r="X14" s="1569"/>
      <c r="Y14" s="3324"/>
      <c r="Z14" s="1150">
        <f t="shared" si="7"/>
        <v>111</v>
      </c>
      <c r="AA14" s="1570">
        <f t="shared" si="3"/>
        <v>1</v>
      </c>
      <c r="AB14" s="1570">
        <f t="shared" si="4"/>
        <v>1</v>
      </c>
      <c r="AC14" s="1570">
        <f t="shared" si="5"/>
        <v>1</v>
      </c>
    </row>
    <row r="15" spans="1:29" ht="57">
      <c r="A15" s="2934"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69" t="s">
        <v>540</v>
      </c>
      <c r="Q15" s="1571" t="str">
        <f t="shared" si="6"/>
        <v>产业集聚程度</v>
      </c>
      <c r="R15" s="1572" t="s">
        <v>8</v>
      </c>
      <c r="S15" s="1573">
        <f t="shared" si="0"/>
        <v>100</v>
      </c>
      <c r="T15" s="1572" t="s">
        <v>8</v>
      </c>
      <c r="U15" s="1573">
        <f t="shared" si="1"/>
        <v>100</v>
      </c>
      <c r="V15" s="1572" t="s">
        <v>8</v>
      </c>
      <c r="W15" s="1573">
        <f t="shared" si="2"/>
        <v>100</v>
      </c>
      <c r="X15" s="1566"/>
      <c r="Y15" s="3369"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70"/>
      <c r="Q16" s="1571"/>
      <c r="R16" s="1572"/>
      <c r="S16" s="1573"/>
      <c r="T16" s="1572"/>
      <c r="U16" s="1573"/>
      <c r="V16" s="1572"/>
      <c r="W16" s="1573"/>
      <c r="X16" s="1566"/>
      <c r="Y16" s="3370"/>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0"/>
      <c r="Q17" s="1571" t="str">
        <f>B17</f>
        <v>交通便捷度</v>
      </c>
      <c r="R17" s="1572" t="s">
        <v>8</v>
      </c>
      <c r="S17" s="1573">
        <f>F17</f>
        <v>100</v>
      </c>
      <c r="T17" s="1572" t="s">
        <v>8</v>
      </c>
      <c r="U17" s="1573">
        <f>H17</f>
        <v>100</v>
      </c>
      <c r="V17" s="1572" t="s">
        <v>8</v>
      </c>
      <c r="W17" s="1573">
        <f>J17</f>
        <v>100</v>
      </c>
      <c r="X17" s="1566"/>
      <c r="Y17" s="337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70"/>
      <c r="Q18" s="1571"/>
      <c r="R18" s="1572"/>
      <c r="S18" s="1573"/>
      <c r="T18" s="1572"/>
      <c r="U18" s="1573"/>
      <c r="V18" s="1572"/>
      <c r="W18" s="1573"/>
      <c r="X18" s="1566"/>
      <c r="Y18" s="3370"/>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0"/>
      <c r="Q19" s="1571" t="str">
        <f>B19</f>
        <v>公共配套设施</v>
      </c>
      <c r="R19" s="1572" t="s">
        <v>8</v>
      </c>
      <c r="S19" s="1573">
        <f>F19</f>
        <v>100</v>
      </c>
      <c r="T19" s="1572" t="s">
        <v>8</v>
      </c>
      <c r="U19" s="1573">
        <f>H19</f>
        <v>100</v>
      </c>
      <c r="V19" s="1572" t="s">
        <v>8</v>
      </c>
      <c r="W19" s="1573">
        <f>J19</f>
        <v>100</v>
      </c>
      <c r="X19" s="1566"/>
      <c r="Y19" s="337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70"/>
      <c r="Q20" s="1571"/>
      <c r="R20" s="1572"/>
      <c r="S20" s="1573"/>
      <c r="T20" s="1572"/>
      <c r="U20" s="1573"/>
      <c r="V20" s="1572"/>
      <c r="W20" s="1573"/>
      <c r="X20" s="1566"/>
      <c r="Y20" s="3370"/>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0"/>
      <c r="Q21" s="2603" t="str">
        <f>B21</f>
        <v>基础设施水平</v>
      </c>
      <c r="R21" s="1572" t="s">
        <v>8</v>
      </c>
      <c r="S21" s="1573">
        <f>F21</f>
        <v>100</v>
      </c>
      <c r="T21" s="1572" t="s">
        <v>8</v>
      </c>
      <c r="U21" s="1573">
        <f>H21</f>
        <v>100</v>
      </c>
      <c r="V21" s="1572" t="s">
        <v>8</v>
      </c>
      <c r="W21" s="1573">
        <f>J21</f>
        <v>100</v>
      </c>
      <c r="X21" s="2605"/>
      <c r="Y21" s="3370"/>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70"/>
      <c r="Q22" s="2603"/>
      <c r="R22" s="1572"/>
      <c r="S22" s="1573"/>
      <c r="T22" s="1572"/>
      <c r="U22" s="1573"/>
      <c r="V22" s="1572"/>
      <c r="W22" s="1573"/>
      <c r="X22" s="2605"/>
      <c r="Y22" s="3370"/>
      <c r="Z22" s="2604"/>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0"/>
      <c r="Q23" s="1571" t="str">
        <f>B23</f>
        <v>环境质量</v>
      </c>
      <c r="R23" s="1572" t="s">
        <v>8</v>
      </c>
      <c r="S23" s="1573">
        <f>F23</f>
        <v>100</v>
      </c>
      <c r="T23" s="1572" t="s">
        <v>8</v>
      </c>
      <c r="U23" s="1573">
        <f>H23</f>
        <v>100</v>
      </c>
      <c r="V23" s="1572" t="s">
        <v>8</v>
      </c>
      <c r="W23" s="1573">
        <f>J23</f>
        <v>100</v>
      </c>
      <c r="X23" s="1566"/>
      <c r="Y23" s="337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70"/>
      <c r="Q24" s="1571"/>
      <c r="R24" s="1572"/>
      <c r="S24" s="1573"/>
      <c r="T24" s="1572"/>
      <c r="U24" s="1573"/>
      <c r="V24" s="1572"/>
      <c r="W24" s="1573"/>
      <c r="X24" s="1566"/>
      <c r="Y24" s="337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0"/>
      <c r="Q25" s="1571">
        <f>B25</f>
        <v>111</v>
      </c>
      <c r="R25" s="1572" t="s">
        <v>8</v>
      </c>
      <c r="S25" s="1573">
        <f>F25</f>
        <v>100</v>
      </c>
      <c r="T25" s="1572" t="s">
        <v>8</v>
      </c>
      <c r="U25" s="1573">
        <f>H25</f>
        <v>100</v>
      </c>
      <c r="V25" s="1572" t="s">
        <v>8</v>
      </c>
      <c r="W25" s="1573">
        <f>J25</f>
        <v>100</v>
      </c>
      <c r="X25" s="1566"/>
      <c r="Y25" s="337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0"/>
      <c r="Q26" s="1571">
        <f t="shared" ref="Q26:Q40" si="11">B26</f>
        <v>111</v>
      </c>
      <c r="R26" s="1572" t="s">
        <v>8</v>
      </c>
      <c r="S26" s="1573">
        <f>F26</f>
        <v>100</v>
      </c>
      <c r="T26" s="1572" t="s">
        <v>8</v>
      </c>
      <c r="U26" s="1573">
        <f>H26</f>
        <v>100</v>
      </c>
      <c r="V26" s="1572" t="s">
        <v>8</v>
      </c>
      <c r="W26" s="1573">
        <f>J26</f>
        <v>100</v>
      </c>
      <c r="X26" s="1566"/>
      <c r="Y26" s="3370"/>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0"/>
      <c r="Q27" s="1151">
        <f t="shared" si="11"/>
        <v>111</v>
      </c>
      <c r="R27" s="1567" t="s">
        <v>8</v>
      </c>
      <c r="S27" s="1568">
        <f>F27</f>
        <v>100</v>
      </c>
      <c r="T27" s="1567" t="s">
        <v>8</v>
      </c>
      <c r="U27" s="1568">
        <f>H27</f>
        <v>100</v>
      </c>
      <c r="V27" s="1567" t="s">
        <v>8</v>
      </c>
      <c r="W27" s="1568">
        <f>J27</f>
        <v>100</v>
      </c>
      <c r="X27" s="1569"/>
      <c r="Y27" s="3370"/>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0"/>
      <c r="Q28" s="1571">
        <f t="shared" si="11"/>
        <v>111</v>
      </c>
      <c r="R28" s="1572" t="s">
        <v>8</v>
      </c>
      <c r="S28" s="1573">
        <f t="shared" ref="S28:S40" si="12">F28</f>
        <v>100</v>
      </c>
      <c r="T28" s="1572" t="s">
        <v>8</v>
      </c>
      <c r="U28" s="1573">
        <f t="shared" ref="U28:U40" si="13">H28</f>
        <v>100</v>
      </c>
      <c r="V28" s="1572" t="s">
        <v>8</v>
      </c>
      <c r="W28" s="1573">
        <f t="shared" ref="W28:W40" si="14">J28</f>
        <v>100</v>
      </c>
      <c r="X28" s="1566"/>
      <c r="Y28" s="3370"/>
      <c r="Z28" s="1574">
        <f t="shared" ref="Z28:Z40" si="15">Q28</f>
        <v>111</v>
      </c>
      <c r="AA28" s="1575">
        <f t="shared" si="3"/>
        <v>1</v>
      </c>
      <c r="AB28" s="1575">
        <f t="shared" si="4"/>
        <v>1</v>
      </c>
      <c r="AC28" s="1575">
        <f t="shared" si="5"/>
        <v>1</v>
      </c>
    </row>
    <row r="29" spans="1:29" ht="15">
      <c r="A29" s="2931"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1" t="s">
        <v>550</v>
      </c>
      <c r="Q29" s="1571" t="str">
        <f t="shared" si="11"/>
        <v>建筑类型</v>
      </c>
      <c r="R29" s="1572" t="s">
        <v>8</v>
      </c>
      <c r="S29" s="1573">
        <f t="shared" si="12"/>
        <v>100</v>
      </c>
      <c r="T29" s="1572" t="s">
        <v>8</v>
      </c>
      <c r="U29" s="1573">
        <f t="shared" si="13"/>
        <v>100</v>
      </c>
      <c r="V29" s="1572" t="s">
        <v>8</v>
      </c>
      <c r="W29" s="1573">
        <f t="shared" si="14"/>
        <v>100</v>
      </c>
      <c r="X29" s="1566"/>
      <c r="Y29" s="3372"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72"/>
      <c r="Q30" s="1604" t="str">
        <f t="shared" si="11"/>
        <v>项目建筑规模</v>
      </c>
      <c r="R30" s="1576" t="s">
        <v>8</v>
      </c>
      <c r="S30" s="1577" t="e">
        <f t="shared" si="12"/>
        <v>#N/A</v>
      </c>
      <c r="T30" s="1576" t="s">
        <v>8</v>
      </c>
      <c r="U30" s="1577" t="e">
        <f t="shared" si="13"/>
        <v>#N/A</v>
      </c>
      <c r="V30" s="1576" t="s">
        <v>8</v>
      </c>
      <c r="W30" s="1577" t="e">
        <f t="shared" si="14"/>
        <v>#N/A</v>
      </c>
      <c r="X30" s="1578"/>
      <c r="Y30" s="3372"/>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2"/>
      <c r="Q31" s="1571" t="str">
        <f t="shared" si="11"/>
        <v>建筑结构</v>
      </c>
      <c r="R31" s="1572" t="s">
        <v>8</v>
      </c>
      <c r="S31" s="1573">
        <f t="shared" si="12"/>
        <v>100</v>
      </c>
      <c r="T31" s="1572" t="s">
        <v>8</v>
      </c>
      <c r="U31" s="1573">
        <f t="shared" si="13"/>
        <v>100</v>
      </c>
      <c r="V31" s="1572" t="s">
        <v>8</v>
      </c>
      <c r="W31" s="1573">
        <f t="shared" si="14"/>
        <v>100</v>
      </c>
      <c r="X31" s="1566"/>
      <c r="Y31" s="3372"/>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2"/>
      <c r="Q32" s="1571" t="str">
        <f t="shared" si="11"/>
        <v>公共部分装修</v>
      </c>
      <c r="R32" s="1572" t="s">
        <v>8</v>
      </c>
      <c r="S32" s="1573">
        <f t="shared" si="12"/>
        <v>100</v>
      </c>
      <c r="T32" s="1572" t="s">
        <v>8</v>
      </c>
      <c r="U32" s="1573">
        <f t="shared" si="13"/>
        <v>100</v>
      </c>
      <c r="V32" s="1572" t="s">
        <v>8</v>
      </c>
      <c r="W32" s="1573">
        <f t="shared" si="14"/>
        <v>100</v>
      </c>
      <c r="X32" s="1566"/>
      <c r="Y32" s="3372"/>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72"/>
      <c r="Q33" s="1571" t="str">
        <f t="shared" si="11"/>
        <v>成新度</v>
      </c>
      <c r="R33" s="1572" t="s">
        <v>8</v>
      </c>
      <c r="S33" s="1573" t="e">
        <f t="shared" si="12"/>
        <v>#N/A</v>
      </c>
      <c r="T33" s="1572" t="s">
        <v>8</v>
      </c>
      <c r="U33" s="1573" t="e">
        <f t="shared" si="13"/>
        <v>#N/A</v>
      </c>
      <c r="V33" s="1572" t="s">
        <v>8</v>
      </c>
      <c r="W33" s="1573" t="e">
        <f t="shared" si="14"/>
        <v>#N/A</v>
      </c>
      <c r="X33" s="1566"/>
      <c r="Y33" s="3372"/>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2"/>
      <c r="Q34" s="1151" t="str">
        <f t="shared" si="11"/>
        <v>物业管理</v>
      </c>
      <c r="R34" s="1567" t="s">
        <v>8</v>
      </c>
      <c r="S34" s="1568">
        <f t="shared" si="12"/>
        <v>100</v>
      </c>
      <c r="T34" s="1567" t="s">
        <v>8</v>
      </c>
      <c r="U34" s="1568">
        <f t="shared" si="13"/>
        <v>100</v>
      </c>
      <c r="V34" s="1567" t="s">
        <v>8</v>
      </c>
      <c r="W34" s="1568">
        <f t="shared" si="14"/>
        <v>100</v>
      </c>
      <c r="X34" s="1569"/>
      <c r="Y34" s="3372"/>
      <c r="Z34" s="1150"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2" t="s">
        <v>550</v>
      </c>
      <c r="Q35" s="1571" t="str">
        <f t="shared" si="11"/>
        <v>市政基础设施</v>
      </c>
      <c r="R35" s="1572" t="s">
        <v>8</v>
      </c>
      <c r="S35" s="1573">
        <f t="shared" si="12"/>
        <v>100</v>
      </c>
      <c r="T35" s="1572" t="s">
        <v>8</v>
      </c>
      <c r="U35" s="1573">
        <f t="shared" si="13"/>
        <v>100</v>
      </c>
      <c r="V35" s="1572" t="s">
        <v>8</v>
      </c>
      <c r="W35" s="1573">
        <f t="shared" si="14"/>
        <v>100</v>
      </c>
      <c r="X35" s="1566"/>
      <c r="Y35" s="3372"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2"/>
      <c r="Q36" s="1571" t="str">
        <f t="shared" si="11"/>
        <v>内部装修</v>
      </c>
      <c r="R36" s="1572" t="s">
        <v>8</v>
      </c>
      <c r="S36" s="1573">
        <f t="shared" si="12"/>
        <v>100</v>
      </c>
      <c r="T36" s="1572" t="s">
        <v>8</v>
      </c>
      <c r="U36" s="1573">
        <f t="shared" si="13"/>
        <v>100</v>
      </c>
      <c r="V36" s="1572" t="s">
        <v>8</v>
      </c>
      <c r="W36" s="1573">
        <f t="shared" si="14"/>
        <v>100</v>
      </c>
      <c r="X36" s="1566"/>
      <c r="Y36" s="3372"/>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2"/>
      <c r="Q37" s="1571" t="str">
        <f t="shared" si="11"/>
        <v>内部装修状况</v>
      </c>
      <c r="R37" s="1572" t="s">
        <v>8</v>
      </c>
      <c r="S37" s="1573">
        <f t="shared" si="12"/>
        <v>100</v>
      </c>
      <c r="T37" s="1572" t="s">
        <v>8</v>
      </c>
      <c r="U37" s="1573">
        <f t="shared" si="13"/>
        <v>100</v>
      </c>
      <c r="V37" s="1572" t="s">
        <v>8</v>
      </c>
      <c r="W37" s="1573">
        <f t="shared" si="14"/>
        <v>100</v>
      </c>
      <c r="X37" s="1566"/>
      <c r="Y37" s="3372"/>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72"/>
      <c r="Q38" s="1604">
        <f t="shared" si="11"/>
        <v>111</v>
      </c>
      <c r="R38" s="1576" t="s">
        <v>8</v>
      </c>
      <c r="S38" s="1577">
        <f t="shared" si="12"/>
        <v>100</v>
      </c>
      <c r="T38" s="1576" t="s">
        <v>8</v>
      </c>
      <c r="U38" s="1577">
        <f t="shared" si="13"/>
        <v>100</v>
      </c>
      <c r="V38" s="1576" t="s">
        <v>8</v>
      </c>
      <c r="W38" s="1577">
        <f t="shared" si="14"/>
        <v>100</v>
      </c>
      <c r="X38" s="1578"/>
      <c r="Y38" s="337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72"/>
      <c r="Q39" s="1571">
        <f t="shared" si="11"/>
        <v>111</v>
      </c>
      <c r="R39" s="1572" t="s">
        <v>8</v>
      </c>
      <c r="S39" s="1573">
        <f t="shared" si="12"/>
        <v>100</v>
      </c>
      <c r="T39" s="1572" t="s">
        <v>8</v>
      </c>
      <c r="U39" s="1573">
        <f t="shared" si="13"/>
        <v>100</v>
      </c>
      <c r="V39" s="1572" t="s">
        <v>8</v>
      </c>
      <c r="W39" s="1573">
        <f t="shared" si="14"/>
        <v>100</v>
      </c>
      <c r="X39" s="1566"/>
      <c r="Y39" s="3372"/>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68"/>
      <c r="Q40" s="1571">
        <f t="shared" si="11"/>
        <v>111</v>
      </c>
      <c r="R40" s="1572" t="s">
        <v>8</v>
      </c>
      <c r="S40" s="1573">
        <f t="shared" si="12"/>
        <v>100</v>
      </c>
      <c r="T40" s="1572" t="s">
        <v>8</v>
      </c>
      <c r="U40" s="1573">
        <f t="shared" si="13"/>
        <v>100</v>
      </c>
      <c r="V40" s="1572" t="s">
        <v>8</v>
      </c>
      <c r="W40" s="1573">
        <f t="shared" si="14"/>
        <v>100</v>
      </c>
      <c r="X40" s="1566"/>
      <c r="Y40" s="3468"/>
      <c r="Z40" s="1574">
        <f t="shared" si="15"/>
        <v>111</v>
      </c>
      <c r="AA40" s="1575">
        <f t="shared" si="3"/>
        <v>1</v>
      </c>
      <c r="AB40" s="1575">
        <f t="shared" si="4"/>
        <v>1</v>
      </c>
      <c r="AC40" s="1575">
        <f t="shared" si="5"/>
        <v>1</v>
      </c>
    </row>
    <row r="41" spans="1:29" ht="15">
      <c r="A41" s="607" t="s">
        <v>736</v>
      </c>
      <c r="B41" s="887"/>
      <c r="C41" s="2651" t="s">
        <v>1</v>
      </c>
      <c r="D41" s="2652"/>
      <c r="E41" s="2653"/>
      <c r="F41" s="2654"/>
      <c r="G41" s="2655"/>
      <c r="H41" s="2656"/>
      <c r="I41" s="2653"/>
      <c r="J41" s="2656"/>
      <c r="K41" s="1610"/>
      <c r="L41" s="2144"/>
      <c r="M41" s="2145"/>
      <c r="N41" s="2134"/>
      <c r="O41" s="2145"/>
      <c r="P41" s="3367" t="str">
        <f>A41</f>
        <v>成交单价（元/平方米）</v>
      </c>
      <c r="Q41" s="3367"/>
      <c r="R41" s="3467">
        <f>E41</f>
        <v>0</v>
      </c>
      <c r="S41" s="3467"/>
      <c r="T41" s="3467">
        <f>G41</f>
        <v>0</v>
      </c>
      <c r="U41" s="3467"/>
      <c r="V41" s="3467">
        <f>I41</f>
        <v>0</v>
      </c>
      <c r="W41" s="3467"/>
      <c r="X41" s="1558"/>
      <c r="Y41" s="1580"/>
      <c r="Z41" s="1558"/>
      <c r="AA41" s="1558"/>
      <c r="AB41" s="1558"/>
      <c r="AC41" s="1558"/>
    </row>
    <row r="42" spans="1:29" ht="15.75" thickBot="1">
      <c r="A42" s="615" t="s">
        <v>2762</v>
      </c>
      <c r="B42" s="888"/>
      <c r="C42" s="2657" t="e">
        <f>R43</f>
        <v>#DIV/0!</v>
      </c>
      <c r="D42" s="2658"/>
      <c r="E42" s="2659" t="e">
        <f>R42</f>
        <v>#DIV/0!</v>
      </c>
      <c r="F42" s="2659"/>
      <c r="G42" s="2657" t="e">
        <f>T42</f>
        <v>#DIV/0!</v>
      </c>
      <c r="H42" s="2658"/>
      <c r="I42" s="2659" t="e">
        <f>V42</f>
        <v>#DIV/0!</v>
      </c>
      <c r="J42" s="2658"/>
      <c r="K42" s="1611"/>
      <c r="L42" s="2144"/>
      <c r="M42" s="2145"/>
      <c r="N42" s="2134"/>
      <c r="O42" s="2145"/>
      <c r="P42" s="3367" t="str">
        <f>A42</f>
        <v>比较价格（元/平方米）</v>
      </c>
      <c r="Q42" s="3367"/>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8"/>
      <c r="Y42" s="1558"/>
      <c r="Z42" s="1558"/>
      <c r="AA42" s="1558"/>
      <c r="AB42" s="1558"/>
      <c r="AC42" s="1558"/>
    </row>
    <row r="43" spans="1:29" ht="15.75" thickBot="1">
      <c r="A43" s="621" t="s">
        <v>2938</v>
      </c>
      <c r="B43" s="622"/>
      <c r="C43" s="2660" t="e">
        <f>R43</f>
        <v>#DIV/0!</v>
      </c>
      <c r="D43" s="2660"/>
      <c r="E43" s="2660"/>
      <c r="F43" s="2660"/>
      <c r="G43" s="2660"/>
      <c r="H43" s="2660"/>
      <c r="I43" s="2660"/>
      <c r="J43" s="2660"/>
      <c r="K43" s="1612"/>
      <c r="L43" s="2144"/>
      <c r="M43" s="2145"/>
      <c r="N43" s="2145"/>
      <c r="O43" s="2145"/>
      <c r="P43" s="3388" t="str">
        <f>A43</f>
        <v>估价对象XX用房的比较价格（楼面单价，元/平方米）</v>
      </c>
      <c r="Q43" s="3389"/>
      <c r="R43" s="3466" t="e">
        <f>IF(F1="售价",ROUND(AVERAGE(R42:V42),0),ROUND(AVERAGE(R42:V42),1))</f>
        <v>#DIV/0!</v>
      </c>
      <c r="S43" s="3466"/>
      <c r="T43" s="3466"/>
      <c r="U43" s="3466"/>
      <c r="V43" s="3466"/>
      <c r="W43" s="346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529</v>
      </c>
      <c r="B52" s="646"/>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北京碧和信泰置业有限公司：</v>
      </c>
    </row>
    <row r="4" spans="1:4" ht="18.75">
      <c r="A4" s="1791"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794" t="s">
        <v>1905</v>
      </c>
    </row>
    <row r="6" spans="1:4" ht="18.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88475.28平方米。根据《建设工程规划许可证》[]、《出让合同》[]，估价对象规划建筑面积为279349.85平方米。</v>
      </c>
    </row>
    <row r="7" spans="1:4" ht="93.75">
      <c r="A7" s="2897" t="s">
        <v>2750</v>
      </c>
    </row>
    <row r="8" spans="1:4" ht="18.75">
      <c r="A8" s="1794" t="s">
        <v>1906</v>
      </c>
    </row>
    <row r="9" spans="1:4" ht="37.5">
      <c r="A9" s="1796"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2018年5月8日（评估专业人员勘察现场之日）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18.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根据《国有土地使用证》[]，估价对象（分摊）出让国有建设用地使用权面积为88475.28平方米。根据《建设工程规划许可证》[]、《出让合同》[]，估价对象规划建筑面积为279349.85平方米。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99" t="s">
        <v>2751</v>
      </c>
    </row>
    <row r="24" spans="1:1" ht="18.75">
      <c r="A24" s="1791" t="s">
        <v>2077</v>
      </c>
    </row>
    <row r="25" spans="1:1" ht="150">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73" t="s">
        <v>798</v>
      </c>
      <c r="D4" s="3374"/>
      <c r="E4" s="3373" t="s">
        <v>799</v>
      </c>
      <c r="F4" s="3374"/>
      <c r="G4" s="3373" t="s">
        <v>800</v>
      </c>
      <c r="H4" s="3374"/>
      <c r="I4" s="3373" t="s">
        <v>801</v>
      </c>
      <c r="J4" s="3374"/>
      <c r="K4" s="514" t="s">
        <v>802</v>
      </c>
      <c r="L4" s="2133"/>
      <c r="M4" s="2134"/>
      <c r="N4" s="2134"/>
      <c r="O4" s="2134"/>
      <c r="P4" s="3375" t="s">
        <v>803</v>
      </c>
      <c r="Q4" s="3376"/>
      <c r="R4" s="3361" t="s">
        <v>799</v>
      </c>
      <c r="S4" s="3362"/>
      <c r="T4" s="3361" t="s">
        <v>800</v>
      </c>
      <c r="U4" s="3362"/>
      <c r="V4" s="3381" t="s">
        <v>801</v>
      </c>
      <c r="W4" s="3381"/>
      <c r="X4" s="1566"/>
      <c r="Y4" s="3361" t="s">
        <v>803</v>
      </c>
      <c r="Z4" s="3362"/>
      <c r="AA4" s="3356" t="s">
        <v>799</v>
      </c>
      <c r="AB4" s="3357" t="s">
        <v>800</v>
      </c>
      <c r="AC4" s="3356" t="s">
        <v>801</v>
      </c>
    </row>
    <row r="5" spans="1:29" ht="15">
      <c r="A5" s="515"/>
      <c r="B5" s="516"/>
      <c r="C5" s="3384" t="s">
        <v>2932</v>
      </c>
      <c r="D5" s="3385"/>
      <c r="E5" s="3384" t="s">
        <v>2933</v>
      </c>
      <c r="F5" s="3385"/>
      <c r="G5" s="3384" t="s">
        <v>2934</v>
      </c>
      <c r="H5" s="3385"/>
      <c r="I5" s="3384" t="s">
        <v>2935</v>
      </c>
      <c r="J5" s="3385"/>
      <c r="K5" s="514"/>
      <c r="L5" s="2133"/>
      <c r="M5" s="2134"/>
      <c r="N5" s="2134"/>
      <c r="O5" s="2134"/>
      <c r="P5" s="3377"/>
      <c r="Q5" s="3378"/>
      <c r="R5" s="3363"/>
      <c r="S5" s="3364"/>
      <c r="T5" s="3363"/>
      <c r="U5" s="3364"/>
      <c r="V5" s="3381"/>
      <c r="W5" s="3381"/>
      <c r="X5" s="1566"/>
      <c r="Y5" s="3363"/>
      <c r="Z5" s="3364"/>
      <c r="AA5" s="3357"/>
      <c r="AB5" s="3357"/>
      <c r="AC5" s="3357"/>
    </row>
    <row r="6" spans="1:29" ht="15.75" thickBot="1">
      <c r="A6" s="517"/>
      <c r="B6" s="518"/>
      <c r="C6" s="3382" t="s">
        <v>2936</v>
      </c>
      <c r="D6" s="3383"/>
      <c r="E6" s="3386" t="s">
        <v>2936</v>
      </c>
      <c r="F6" s="3387"/>
      <c r="G6" s="3382" t="s">
        <v>2936</v>
      </c>
      <c r="H6" s="3383"/>
      <c r="I6" s="3382" t="s">
        <v>2936</v>
      </c>
      <c r="J6" s="3383"/>
      <c r="K6" s="514" t="s">
        <v>528</v>
      </c>
      <c r="L6" s="2133"/>
      <c r="M6" s="2134"/>
      <c r="N6" s="2134"/>
      <c r="O6" s="2134"/>
      <c r="P6" s="3379"/>
      <c r="Q6" s="3380"/>
      <c r="R6" s="3363"/>
      <c r="S6" s="3364"/>
      <c r="T6" s="3365"/>
      <c r="U6" s="3366"/>
      <c r="V6" s="3381"/>
      <c r="W6" s="3381"/>
      <c r="X6" s="1566"/>
      <c r="Y6" s="3365"/>
      <c r="Z6" s="3366"/>
      <c r="AA6" s="3358"/>
      <c r="AB6" s="3358"/>
      <c r="AC6" s="3358"/>
    </row>
    <row r="7" spans="1:29" s="1220" customFormat="1" ht="15.75" thickBot="1">
      <c r="A7" s="2936"/>
      <c r="B7" s="2943" t="s">
        <v>529</v>
      </c>
      <c r="C7" s="519">
        <f>'数据-取费表'!B2</f>
        <v>43228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59" t="s">
        <v>530</v>
      </c>
      <c r="Q7" s="3368"/>
      <c r="R7" s="1567" t="s">
        <v>8</v>
      </c>
      <c r="S7" s="1568">
        <f t="shared" ref="S7:S14" si="0">F7</f>
        <v>0</v>
      </c>
      <c r="T7" s="1567" t="s">
        <v>8</v>
      </c>
      <c r="U7" s="1568">
        <f t="shared" ref="U7:U14" si="1">H7</f>
        <v>0</v>
      </c>
      <c r="V7" s="1567" t="s">
        <v>8</v>
      </c>
      <c r="W7" s="1568">
        <f t="shared" ref="W7:W14" si="2">J7</f>
        <v>0</v>
      </c>
      <c r="X7" s="1569"/>
      <c r="Y7" s="3359" t="s">
        <v>530</v>
      </c>
      <c r="Z7" s="3360"/>
      <c r="AA7" s="1570" t="e">
        <f>D7/F7</f>
        <v>#DIV/0!</v>
      </c>
      <c r="AB7" s="1570" t="e">
        <f>D7/H7</f>
        <v>#DIV/0!</v>
      </c>
      <c r="AC7" s="1570"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59" t="s">
        <v>533</v>
      </c>
      <c r="Q8" s="3360"/>
      <c r="R8" s="1567" t="s">
        <v>8</v>
      </c>
      <c r="S8" s="1568">
        <f t="shared" si="0"/>
        <v>0</v>
      </c>
      <c r="T8" s="1567" t="s">
        <v>8</v>
      </c>
      <c r="U8" s="1568">
        <f t="shared" si="1"/>
        <v>0</v>
      </c>
      <c r="V8" s="1567" t="s">
        <v>8</v>
      </c>
      <c r="W8" s="1568">
        <f t="shared" si="2"/>
        <v>0</v>
      </c>
      <c r="X8" s="1569"/>
      <c r="Y8" s="3359" t="s">
        <v>533</v>
      </c>
      <c r="Z8" s="3360"/>
      <c r="AA8" s="1570" t="e">
        <f t="shared" ref="AA8:AA36" si="3">D8/F8</f>
        <v>#DIV/0!</v>
      </c>
      <c r="AB8" s="1570" t="e">
        <f t="shared" ref="AB8:AB36" si="4">D8/H8</f>
        <v>#DIV/0!</v>
      </c>
      <c r="AC8" s="1570" t="e">
        <f t="shared" ref="AC8:AC36" si="5">D8/J8</f>
        <v>#DIV/0!</v>
      </c>
    </row>
    <row r="9" spans="1:29" s="1220" customFormat="1" ht="15">
      <c r="A9" s="2938"/>
      <c r="B9" s="2945"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7" t="s">
        <v>535</v>
      </c>
      <c r="Q9" s="1151" t="str">
        <f t="shared" ref="Q9:Q14" si="6">B9</f>
        <v>用途</v>
      </c>
      <c r="R9" s="1567" t="s">
        <v>8</v>
      </c>
      <c r="S9" s="1568">
        <f t="shared" si="0"/>
        <v>100</v>
      </c>
      <c r="T9" s="1567" t="s">
        <v>8</v>
      </c>
      <c r="U9" s="1568">
        <f t="shared" si="1"/>
        <v>100</v>
      </c>
      <c r="V9" s="1567" t="s">
        <v>8</v>
      </c>
      <c r="W9" s="1568">
        <f t="shared" si="2"/>
        <v>100</v>
      </c>
      <c r="X9" s="1569"/>
      <c r="Y9" s="3324" t="s">
        <v>536</v>
      </c>
      <c r="Z9" s="1150" t="str">
        <f t="shared" ref="Z9:Z14" si="7">Q9</f>
        <v>用途</v>
      </c>
      <c r="AA9" s="1570">
        <f t="shared" si="3"/>
        <v>1</v>
      </c>
      <c r="AB9" s="1570">
        <f t="shared" si="4"/>
        <v>1</v>
      </c>
      <c r="AC9" s="1570">
        <f t="shared" si="5"/>
        <v>1</v>
      </c>
    </row>
    <row r="10" spans="1:29" s="1338" customFormat="1" ht="27">
      <c r="A10" s="2939"/>
      <c r="B10" s="2944"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7"/>
      <c r="Q10" s="1151" t="str">
        <f t="shared" si="6"/>
        <v>土地使用年限（年）</v>
      </c>
      <c r="R10" s="1567" t="s">
        <v>8</v>
      </c>
      <c r="S10" s="1568">
        <f t="shared" si="0"/>
        <v>100</v>
      </c>
      <c r="T10" s="1567" t="s">
        <v>8</v>
      </c>
      <c r="U10" s="1568">
        <f t="shared" si="1"/>
        <v>100</v>
      </c>
      <c r="V10" s="1567" t="s">
        <v>8</v>
      </c>
      <c r="W10" s="1568">
        <f t="shared" si="2"/>
        <v>100</v>
      </c>
      <c r="X10" s="1569"/>
      <c r="Y10" s="3324"/>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7"/>
      <c r="Q11" s="1151">
        <f t="shared" si="6"/>
        <v>111</v>
      </c>
      <c r="R11" s="1567" t="s">
        <v>8</v>
      </c>
      <c r="S11" s="1568">
        <f t="shared" si="0"/>
        <v>100</v>
      </c>
      <c r="T11" s="1567" t="s">
        <v>8</v>
      </c>
      <c r="U11" s="1568">
        <f t="shared" si="1"/>
        <v>100</v>
      </c>
      <c r="V11" s="1567" t="s">
        <v>8</v>
      </c>
      <c r="W11" s="1568">
        <f t="shared" si="2"/>
        <v>100</v>
      </c>
      <c r="X11" s="1569"/>
      <c r="Y11" s="3324"/>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7"/>
      <c r="Q12" s="1151">
        <f t="shared" si="6"/>
        <v>111</v>
      </c>
      <c r="R12" s="1567" t="s">
        <v>8</v>
      </c>
      <c r="S12" s="1568">
        <f t="shared" si="0"/>
        <v>100</v>
      </c>
      <c r="T12" s="1567" t="s">
        <v>8</v>
      </c>
      <c r="U12" s="1568">
        <f t="shared" si="1"/>
        <v>100</v>
      </c>
      <c r="V12" s="1567" t="s">
        <v>8</v>
      </c>
      <c r="W12" s="1568">
        <f t="shared" si="2"/>
        <v>100</v>
      </c>
      <c r="X12" s="1569"/>
      <c r="Y12" s="3324"/>
      <c r="Z12" s="1150">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7"/>
      <c r="Q13" s="1151">
        <f t="shared" si="6"/>
        <v>111</v>
      </c>
      <c r="R13" s="1567" t="s">
        <v>8</v>
      </c>
      <c r="S13" s="1568">
        <f t="shared" si="0"/>
        <v>100</v>
      </c>
      <c r="T13" s="1567" t="s">
        <v>8</v>
      </c>
      <c r="U13" s="1568">
        <f t="shared" si="1"/>
        <v>100</v>
      </c>
      <c r="V13" s="1567" t="s">
        <v>8</v>
      </c>
      <c r="W13" s="1568">
        <f t="shared" si="2"/>
        <v>100</v>
      </c>
      <c r="X13" s="1569"/>
      <c r="Y13" s="3324"/>
      <c r="Z13" s="1150">
        <f t="shared" si="7"/>
        <v>111</v>
      </c>
      <c r="AA13" s="1570">
        <f t="shared" si="3"/>
        <v>1</v>
      </c>
      <c r="AB13" s="1570">
        <f t="shared" si="4"/>
        <v>1</v>
      </c>
      <c r="AC13" s="1570">
        <f t="shared" si="5"/>
        <v>1</v>
      </c>
    </row>
    <row r="14" spans="1:29" ht="85.5">
      <c r="A14" s="2934"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69" t="s">
        <v>540</v>
      </c>
      <c r="Q14" s="1571" t="str">
        <f t="shared" si="6"/>
        <v>交通便捷度</v>
      </c>
      <c r="R14" s="1572" t="s">
        <v>8</v>
      </c>
      <c r="S14" s="1573">
        <f t="shared" si="0"/>
        <v>100</v>
      </c>
      <c r="T14" s="1572" t="s">
        <v>8</v>
      </c>
      <c r="U14" s="1573">
        <f t="shared" si="1"/>
        <v>100</v>
      </c>
      <c r="V14" s="1572" t="s">
        <v>8</v>
      </c>
      <c r="W14" s="1573">
        <f t="shared" si="2"/>
        <v>100</v>
      </c>
      <c r="X14" s="1566"/>
      <c r="Y14" s="3369"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70"/>
      <c r="Q15" s="1571"/>
      <c r="R15" s="1572"/>
      <c r="S15" s="1573"/>
      <c r="T15" s="1572"/>
      <c r="U15" s="1573"/>
      <c r="V15" s="1572"/>
      <c r="W15" s="1573"/>
      <c r="X15" s="1566"/>
      <c r="Y15" s="3370"/>
      <c r="Z15" s="1574"/>
      <c r="AA15" s="1575">
        <v>1</v>
      </c>
      <c r="AB15" s="1575">
        <v>1</v>
      </c>
      <c r="AC15" s="1575">
        <v>1</v>
      </c>
    </row>
    <row r="16" spans="1:29" ht="42.75">
      <c r="A16" s="515"/>
      <c r="B16" s="2627"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70"/>
      <c r="Q16" s="1571" t="str">
        <f>B16</f>
        <v>公共配套设施</v>
      </c>
      <c r="R16" s="1572" t="s">
        <v>8</v>
      </c>
      <c r="S16" s="1573">
        <f>F16</f>
        <v>100</v>
      </c>
      <c r="T16" s="1572" t="s">
        <v>8</v>
      </c>
      <c r="U16" s="1573">
        <f>H16</f>
        <v>100</v>
      </c>
      <c r="V16" s="1572" t="s">
        <v>8</v>
      </c>
      <c r="W16" s="1573">
        <f>J16</f>
        <v>100</v>
      </c>
      <c r="X16" s="1566"/>
      <c r="Y16" s="337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70"/>
      <c r="Q17" s="1571"/>
      <c r="R17" s="1572"/>
      <c r="S17" s="1573"/>
      <c r="T17" s="1572"/>
      <c r="U17" s="1573"/>
      <c r="V17" s="1572"/>
      <c r="W17" s="1573"/>
      <c r="X17" s="1566"/>
      <c r="Y17" s="3370"/>
      <c r="Z17" s="1574"/>
      <c r="AA17" s="1575">
        <v>1</v>
      </c>
      <c r="AB17" s="1575">
        <v>1</v>
      </c>
      <c r="AC17" s="1575">
        <v>1</v>
      </c>
    </row>
    <row r="18" spans="1:29" ht="28.5">
      <c r="A18" s="515"/>
      <c r="B18" s="2615"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70"/>
      <c r="Q18" s="2603" t="str">
        <f>B18</f>
        <v>基础设施水平</v>
      </c>
      <c r="R18" s="1572" t="s">
        <v>8</v>
      </c>
      <c r="S18" s="1573">
        <f>F18</f>
        <v>100</v>
      </c>
      <c r="T18" s="1572" t="s">
        <v>8</v>
      </c>
      <c r="U18" s="1573">
        <f>H18</f>
        <v>100</v>
      </c>
      <c r="V18" s="1572" t="s">
        <v>8</v>
      </c>
      <c r="W18" s="1573">
        <f>J18</f>
        <v>100</v>
      </c>
      <c r="X18" s="2605"/>
      <c r="Y18" s="3370"/>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370"/>
      <c r="Q19" s="2603"/>
      <c r="R19" s="1572"/>
      <c r="S19" s="1573"/>
      <c r="T19" s="1572"/>
      <c r="U19" s="1573"/>
      <c r="V19" s="1572"/>
      <c r="W19" s="1573"/>
      <c r="X19" s="2605"/>
      <c r="Y19" s="3370"/>
      <c r="Z19" s="2604"/>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70"/>
      <c r="Q20" s="1571" t="str">
        <f>B20</f>
        <v>自然及人文环境</v>
      </c>
      <c r="R20" s="1572" t="s">
        <v>8</v>
      </c>
      <c r="S20" s="1573">
        <f>F20</f>
        <v>100</v>
      </c>
      <c r="T20" s="1572" t="s">
        <v>8</v>
      </c>
      <c r="U20" s="1573">
        <f>H20</f>
        <v>100</v>
      </c>
      <c r="V20" s="1572" t="s">
        <v>8</v>
      </c>
      <c r="W20" s="1573">
        <f>J20</f>
        <v>100</v>
      </c>
      <c r="X20" s="1566"/>
      <c r="Y20" s="337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70"/>
      <c r="Q21" s="1571"/>
      <c r="R21" s="1572"/>
      <c r="S21" s="1573"/>
      <c r="T21" s="1572"/>
      <c r="U21" s="1573"/>
      <c r="V21" s="1572"/>
      <c r="W21" s="1573"/>
      <c r="X21" s="1566"/>
      <c r="Y21" s="3370"/>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0"/>
      <c r="Q22" s="1571" t="str">
        <f>B22</f>
        <v>楼层</v>
      </c>
      <c r="R22" s="1572" t="s">
        <v>8</v>
      </c>
      <c r="S22" s="1573">
        <f>F22</f>
        <v>100</v>
      </c>
      <c r="T22" s="1572" t="s">
        <v>8</v>
      </c>
      <c r="U22" s="1573">
        <f>H22</f>
        <v>100</v>
      </c>
      <c r="V22" s="1572" t="s">
        <v>8</v>
      </c>
      <c r="W22" s="1573">
        <f>J22</f>
        <v>100</v>
      </c>
      <c r="X22" s="1566"/>
      <c r="Y22" s="337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0"/>
      <c r="Q23" s="1571">
        <f>B23</f>
        <v>111</v>
      </c>
      <c r="R23" s="1572" t="s">
        <v>8</v>
      </c>
      <c r="S23" s="1573">
        <f>F23</f>
        <v>100</v>
      </c>
      <c r="T23" s="1572" t="s">
        <v>8</v>
      </c>
      <c r="U23" s="1573">
        <f>H23</f>
        <v>100</v>
      </c>
      <c r="V23" s="1572" t="s">
        <v>8</v>
      </c>
      <c r="W23" s="1573">
        <f>J23</f>
        <v>100</v>
      </c>
      <c r="X23" s="1566"/>
      <c r="Y23" s="337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0"/>
      <c r="Q24" s="1571">
        <f t="shared" ref="Q24:Q36" si="11">B24</f>
        <v>111</v>
      </c>
      <c r="R24" s="1572" t="s">
        <v>8</v>
      </c>
      <c r="S24" s="1573">
        <f>F24</f>
        <v>100</v>
      </c>
      <c r="T24" s="1572" t="s">
        <v>8</v>
      </c>
      <c r="U24" s="1573">
        <f>H24</f>
        <v>100</v>
      </c>
      <c r="V24" s="1572" t="s">
        <v>8</v>
      </c>
      <c r="W24" s="1573">
        <f>J24</f>
        <v>100</v>
      </c>
      <c r="X24" s="1566"/>
      <c r="Y24" s="3370"/>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0"/>
      <c r="Q25" s="1151">
        <f t="shared" si="11"/>
        <v>111</v>
      </c>
      <c r="R25" s="1567" t="s">
        <v>8</v>
      </c>
      <c r="S25" s="1568">
        <f>F25</f>
        <v>100</v>
      </c>
      <c r="T25" s="1567" t="s">
        <v>8</v>
      </c>
      <c r="U25" s="1568">
        <f>H25</f>
        <v>100</v>
      </c>
      <c r="V25" s="1567" t="s">
        <v>8</v>
      </c>
      <c r="W25" s="1568">
        <f>J25</f>
        <v>100</v>
      </c>
      <c r="X25" s="1569"/>
      <c r="Y25" s="3370"/>
      <c r="Z25" s="1150">
        <f>Q25</f>
        <v>111</v>
      </c>
      <c r="AA25" s="1575">
        <f>D25/F25</f>
        <v>1</v>
      </c>
      <c r="AB25" s="1575">
        <f>D25/H25</f>
        <v>1</v>
      </c>
      <c r="AC25" s="1575">
        <f>D25/J25</f>
        <v>1</v>
      </c>
    </row>
    <row r="26" spans="1:29" ht="15">
      <c r="A26" s="2931"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2"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72"/>
      <c r="Q27" s="1604" t="str">
        <f t="shared" si="11"/>
        <v>项目停车位配比</v>
      </c>
      <c r="R27" s="1576" t="s">
        <v>8</v>
      </c>
      <c r="S27" s="1577">
        <f t="shared" si="12"/>
        <v>100</v>
      </c>
      <c r="T27" s="1576" t="s">
        <v>8</v>
      </c>
      <c r="U27" s="1577">
        <f t="shared" si="13"/>
        <v>100</v>
      </c>
      <c r="V27" s="1576" t="s">
        <v>8</v>
      </c>
      <c r="W27" s="1577">
        <f t="shared" si="14"/>
        <v>100</v>
      </c>
      <c r="X27" s="1578"/>
      <c r="Y27" s="3372"/>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2"/>
      <c r="Q28" s="1571" t="str">
        <f t="shared" si="11"/>
        <v>公共部分装修</v>
      </c>
      <c r="R28" s="1572" t="s">
        <v>8</v>
      </c>
      <c r="S28" s="1573">
        <f t="shared" si="12"/>
        <v>100</v>
      </c>
      <c r="T28" s="1572" t="s">
        <v>8</v>
      </c>
      <c r="U28" s="1573">
        <f t="shared" si="13"/>
        <v>100</v>
      </c>
      <c r="V28" s="1572" t="s">
        <v>8</v>
      </c>
      <c r="W28" s="1573">
        <f t="shared" si="14"/>
        <v>100</v>
      </c>
      <c r="X28" s="1566"/>
      <c r="Y28" s="3372"/>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72"/>
      <c r="Q29" s="1571" t="str">
        <f t="shared" si="11"/>
        <v>成新率</v>
      </c>
      <c r="R29" s="1572" t="s">
        <v>8</v>
      </c>
      <c r="S29" s="1573" t="e">
        <f t="shared" si="12"/>
        <v>#N/A</v>
      </c>
      <c r="T29" s="1572" t="s">
        <v>8</v>
      </c>
      <c r="U29" s="1573" t="e">
        <f t="shared" si="13"/>
        <v>#N/A</v>
      </c>
      <c r="V29" s="1572" t="s">
        <v>8</v>
      </c>
      <c r="W29" s="1573" t="e">
        <f t="shared" si="14"/>
        <v>#N/A</v>
      </c>
      <c r="X29" s="1566"/>
      <c r="Y29" s="3372"/>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72"/>
      <c r="Q30" s="1571" t="str">
        <f t="shared" si="11"/>
        <v>物业等级</v>
      </c>
      <c r="R30" s="1572" t="s">
        <v>8</v>
      </c>
      <c r="S30" s="1573">
        <f t="shared" si="12"/>
        <v>100</v>
      </c>
      <c r="T30" s="1572" t="s">
        <v>8</v>
      </c>
      <c r="U30" s="1573">
        <f t="shared" si="13"/>
        <v>100</v>
      </c>
      <c r="V30" s="1572" t="s">
        <v>8</v>
      </c>
      <c r="W30" s="1573">
        <f t="shared" si="14"/>
        <v>100</v>
      </c>
      <c r="X30" s="1566"/>
      <c r="Y30" s="3372"/>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72"/>
      <c r="Q31" s="1151" t="str">
        <f t="shared" si="11"/>
        <v>停车位面积</v>
      </c>
      <c r="R31" s="1567" t="s">
        <v>8</v>
      </c>
      <c r="S31" s="1568" t="e">
        <f t="shared" si="12"/>
        <v>#N/A</v>
      </c>
      <c r="T31" s="1567" t="s">
        <v>8</v>
      </c>
      <c r="U31" s="1568" t="e">
        <f t="shared" si="13"/>
        <v>#N/A</v>
      </c>
      <c r="V31" s="1567" t="s">
        <v>8</v>
      </c>
      <c r="W31" s="1568" t="e">
        <f t="shared" si="14"/>
        <v>#N/A</v>
      </c>
      <c r="X31" s="1569"/>
      <c r="Y31" s="3372"/>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2" t="s">
        <v>550</v>
      </c>
      <c r="Q32" s="1571" t="str">
        <f t="shared" si="11"/>
        <v>车位类型</v>
      </c>
      <c r="R32" s="1572" t="s">
        <v>8</v>
      </c>
      <c r="S32" s="1573">
        <f t="shared" si="12"/>
        <v>100</v>
      </c>
      <c r="T32" s="1572" t="s">
        <v>8</v>
      </c>
      <c r="U32" s="1573">
        <f t="shared" si="13"/>
        <v>100</v>
      </c>
      <c r="V32" s="1572" t="s">
        <v>8</v>
      </c>
      <c r="W32" s="1573">
        <f t="shared" si="14"/>
        <v>100</v>
      </c>
      <c r="X32" s="1566"/>
      <c r="Y32" s="3372"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2"/>
      <c r="Q33" s="1571" t="str">
        <f t="shared" si="11"/>
        <v>是否直接入户</v>
      </c>
      <c r="R33" s="1572" t="s">
        <v>8</v>
      </c>
      <c r="S33" s="1573">
        <f t="shared" si="12"/>
        <v>100</v>
      </c>
      <c r="T33" s="1572" t="s">
        <v>8</v>
      </c>
      <c r="U33" s="1573">
        <f t="shared" si="13"/>
        <v>100</v>
      </c>
      <c r="V33" s="1572" t="s">
        <v>8</v>
      </c>
      <c r="W33" s="1573">
        <f t="shared" si="14"/>
        <v>100</v>
      </c>
      <c r="X33" s="1566"/>
      <c r="Y33" s="337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72"/>
      <c r="Q34" s="1571">
        <f t="shared" si="11"/>
        <v>111</v>
      </c>
      <c r="R34" s="1572" t="s">
        <v>8</v>
      </c>
      <c r="S34" s="1573">
        <f t="shared" si="12"/>
        <v>100</v>
      </c>
      <c r="T34" s="1572" t="s">
        <v>8</v>
      </c>
      <c r="U34" s="1573">
        <f t="shared" si="13"/>
        <v>100</v>
      </c>
      <c r="V34" s="1572" t="s">
        <v>8</v>
      </c>
      <c r="W34" s="1573">
        <f t="shared" si="14"/>
        <v>100</v>
      </c>
      <c r="X34" s="1566"/>
      <c r="Y34" s="3372"/>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72"/>
      <c r="Q35" s="1604">
        <f t="shared" si="11"/>
        <v>111</v>
      </c>
      <c r="R35" s="1576" t="s">
        <v>8</v>
      </c>
      <c r="S35" s="1577">
        <f t="shared" si="12"/>
        <v>100</v>
      </c>
      <c r="T35" s="1576" t="s">
        <v>8</v>
      </c>
      <c r="U35" s="1577">
        <f t="shared" si="13"/>
        <v>100</v>
      </c>
      <c r="V35" s="1576" t="s">
        <v>8</v>
      </c>
      <c r="W35" s="1577">
        <f t="shared" si="14"/>
        <v>100</v>
      </c>
      <c r="X35" s="1578"/>
      <c r="Y35" s="3372"/>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72"/>
      <c r="Q36" s="1571">
        <f t="shared" si="11"/>
        <v>111</v>
      </c>
      <c r="R36" s="1572" t="s">
        <v>8</v>
      </c>
      <c r="S36" s="1573">
        <f t="shared" si="12"/>
        <v>100</v>
      </c>
      <c r="T36" s="1572" t="s">
        <v>8</v>
      </c>
      <c r="U36" s="1573">
        <f t="shared" si="13"/>
        <v>100</v>
      </c>
      <c r="V36" s="1572" t="s">
        <v>8</v>
      </c>
      <c r="W36" s="1573">
        <f t="shared" si="14"/>
        <v>100</v>
      </c>
      <c r="X36" s="1566"/>
      <c r="Y36" s="3372"/>
      <c r="Z36" s="1574">
        <f t="shared" si="15"/>
        <v>111</v>
      </c>
      <c r="AA36" s="1575">
        <f t="shared" si="3"/>
        <v>1</v>
      </c>
      <c r="AB36" s="1575">
        <f t="shared" si="4"/>
        <v>1</v>
      </c>
      <c r="AC36" s="1575">
        <f t="shared" si="5"/>
        <v>1</v>
      </c>
    </row>
    <row r="37" spans="1:29" ht="15">
      <c r="A37" s="1846" t="s">
        <v>2079</v>
      </c>
      <c r="B37" s="1847" t="s">
        <v>2080</v>
      </c>
      <c r="C37" s="2651" t="s">
        <v>1</v>
      </c>
      <c r="D37" s="2652"/>
      <c r="E37" s="2653"/>
      <c r="F37" s="2654"/>
      <c r="G37" s="2655"/>
      <c r="H37" s="2656"/>
      <c r="I37" s="2653"/>
      <c r="J37" s="2656"/>
      <c r="K37" s="1610"/>
      <c r="L37" s="2144"/>
      <c r="M37" s="2145"/>
      <c r="N37" s="2134"/>
      <c r="O37" s="2145"/>
      <c r="P37" s="3367" t="str">
        <f>A37</f>
        <v>成交单价</v>
      </c>
      <c r="Q37" s="3367"/>
      <c r="R37" s="3467">
        <f>E37</f>
        <v>0</v>
      </c>
      <c r="S37" s="3467"/>
      <c r="T37" s="3467">
        <f>G37</f>
        <v>0</v>
      </c>
      <c r="U37" s="3467"/>
      <c r="V37" s="3467">
        <f>I37</f>
        <v>0</v>
      </c>
      <c r="W37" s="3467"/>
      <c r="X37" s="1558"/>
      <c r="Y37" s="1580"/>
      <c r="Z37" s="1558"/>
      <c r="AA37" s="1558"/>
      <c r="AB37" s="1558"/>
      <c r="AC37" s="1558"/>
    </row>
    <row r="38" spans="1:29" ht="15.75" thickBot="1">
      <c r="A38" s="615" t="s">
        <v>2762</v>
      </c>
      <c r="B38" s="888"/>
      <c r="C38" s="2657" t="e">
        <f>R39</f>
        <v>#DIV/0!</v>
      </c>
      <c r="D38" s="2658"/>
      <c r="E38" s="2659" t="e">
        <f>R38</f>
        <v>#DIV/0!</v>
      </c>
      <c r="F38" s="2659"/>
      <c r="G38" s="2657" t="e">
        <f>T38</f>
        <v>#DIV/0!</v>
      </c>
      <c r="H38" s="2658"/>
      <c r="I38" s="2659" t="e">
        <f>V38</f>
        <v>#DIV/0!</v>
      </c>
      <c r="J38" s="2658"/>
      <c r="K38" s="1611"/>
      <c r="L38" s="2144"/>
      <c r="M38" s="2145"/>
      <c r="N38" s="2145"/>
      <c r="O38" s="2145"/>
      <c r="P38" s="3367" t="str">
        <f>A38</f>
        <v>比较价格（元/平方米）</v>
      </c>
      <c r="Q38" s="3367"/>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58"/>
      <c r="Y38" s="1558"/>
      <c r="Z38" s="1558"/>
      <c r="AA38" s="1558"/>
      <c r="AB38" s="1558"/>
      <c r="AC38" s="1558"/>
    </row>
    <row r="39" spans="1:29" ht="15.75" thickBot="1">
      <c r="A39" s="621" t="s">
        <v>2938</v>
      </c>
      <c r="B39" s="622"/>
      <c r="C39" s="2660" t="e">
        <f>R39</f>
        <v>#DIV/0!</v>
      </c>
      <c r="D39" s="2660"/>
      <c r="E39" s="2660"/>
      <c r="F39" s="2660"/>
      <c r="G39" s="2660"/>
      <c r="H39" s="2660"/>
      <c r="I39" s="2660"/>
      <c r="J39" s="2660"/>
      <c r="K39" s="1612"/>
      <c r="L39" s="2144"/>
      <c r="M39" s="2145"/>
      <c r="N39" s="2145"/>
      <c r="O39" s="2145"/>
      <c r="P39" s="3388" t="str">
        <f>A39</f>
        <v>估价对象XX用房的比较价格（楼面单价，元/平方米）</v>
      </c>
      <c r="Q39" s="3389"/>
      <c r="R39" s="3466" t="e">
        <f>IF(F1="售价",ROUND(AVERAGE(R38:V38),0),ROUND(AVERAGE(R38:V38),1))</f>
        <v>#DIV/0!</v>
      </c>
      <c r="S39" s="3466"/>
      <c r="T39" s="3466"/>
      <c r="U39" s="3466"/>
      <c r="V39" s="3466"/>
      <c r="W39" s="346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73" t="s">
        <v>798</v>
      </c>
      <c r="D4" s="3374"/>
      <c r="E4" s="3397" t="s">
        <v>799</v>
      </c>
      <c r="F4" s="3398"/>
      <c r="G4" s="3373" t="s">
        <v>800</v>
      </c>
      <c r="H4" s="3374"/>
      <c r="I4" s="3373" t="s">
        <v>801</v>
      </c>
      <c r="J4" s="3374"/>
      <c r="K4" s="514" t="s">
        <v>802</v>
      </c>
      <c r="L4" s="2133"/>
      <c r="M4" s="2134"/>
      <c r="N4" s="2134"/>
      <c r="O4" s="2134"/>
      <c r="P4" s="3375" t="s">
        <v>803</v>
      </c>
      <c r="Q4" s="3376"/>
      <c r="R4" s="3361" t="s">
        <v>799</v>
      </c>
      <c r="S4" s="3362"/>
      <c r="T4" s="3361" t="s">
        <v>800</v>
      </c>
      <c r="U4" s="3362"/>
      <c r="V4" s="3381" t="s">
        <v>801</v>
      </c>
      <c r="W4" s="3381"/>
      <c r="X4" s="1566"/>
      <c r="Y4" s="3361" t="s">
        <v>803</v>
      </c>
      <c r="Z4" s="3362"/>
      <c r="AA4" s="3356" t="s">
        <v>799</v>
      </c>
      <c r="AB4" s="3357" t="s">
        <v>800</v>
      </c>
      <c r="AC4" s="3356" t="s">
        <v>801</v>
      </c>
    </row>
    <row r="5" spans="1:29" ht="15">
      <c r="A5" s="515"/>
      <c r="B5" s="516"/>
      <c r="C5" s="3384" t="s">
        <v>2932</v>
      </c>
      <c r="D5" s="3385"/>
      <c r="E5" s="3399" t="s">
        <v>2933</v>
      </c>
      <c r="F5" s="3400"/>
      <c r="G5" s="3384" t="s">
        <v>2934</v>
      </c>
      <c r="H5" s="3385"/>
      <c r="I5" s="3384" t="s">
        <v>2935</v>
      </c>
      <c r="J5" s="3385"/>
      <c r="K5" s="514"/>
      <c r="L5" s="2133"/>
      <c r="M5" s="2134"/>
      <c r="N5" s="2134"/>
      <c r="O5" s="2134"/>
      <c r="P5" s="3377"/>
      <c r="Q5" s="3378"/>
      <c r="R5" s="3363"/>
      <c r="S5" s="3364"/>
      <c r="T5" s="3363"/>
      <c r="U5" s="3364"/>
      <c r="V5" s="3381"/>
      <c r="W5" s="3381"/>
      <c r="X5" s="1566"/>
      <c r="Y5" s="3363"/>
      <c r="Z5" s="3364"/>
      <c r="AA5" s="3357"/>
      <c r="AB5" s="3357"/>
      <c r="AC5" s="3357"/>
    </row>
    <row r="6" spans="1:29" ht="15.75" thickBot="1">
      <c r="A6" s="517"/>
      <c r="B6" s="518"/>
      <c r="C6" s="3382" t="s">
        <v>2936</v>
      </c>
      <c r="D6" s="3383"/>
      <c r="E6" s="3401" t="s">
        <v>2936</v>
      </c>
      <c r="F6" s="3402"/>
      <c r="G6" s="3382" t="s">
        <v>2936</v>
      </c>
      <c r="H6" s="3383"/>
      <c r="I6" s="3382" t="s">
        <v>2936</v>
      </c>
      <c r="J6" s="3383"/>
      <c r="K6" s="514" t="s">
        <v>528</v>
      </c>
      <c r="L6" s="2133"/>
      <c r="M6" s="2134"/>
      <c r="N6" s="2134"/>
      <c r="O6" s="2134"/>
      <c r="P6" s="3379"/>
      <c r="Q6" s="3380"/>
      <c r="R6" s="3363"/>
      <c r="S6" s="3364"/>
      <c r="T6" s="3365"/>
      <c r="U6" s="3366"/>
      <c r="V6" s="3381"/>
      <c r="W6" s="3381"/>
      <c r="X6" s="1566"/>
      <c r="Y6" s="3365"/>
      <c r="Z6" s="3366"/>
      <c r="AA6" s="3358"/>
      <c r="AB6" s="3358"/>
      <c r="AC6" s="3358"/>
    </row>
    <row r="7" spans="1:29" s="1220" customFormat="1" ht="15.75" thickBot="1">
      <c r="A7" s="2936"/>
      <c r="B7" s="2943" t="s">
        <v>529</v>
      </c>
      <c r="C7" s="519">
        <f>'数据-取费表'!B2</f>
        <v>43228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59" t="s">
        <v>530</v>
      </c>
      <c r="Q7" s="3368"/>
      <c r="R7" s="1567" t="s">
        <v>8</v>
      </c>
      <c r="S7" s="1568">
        <f t="shared" ref="S7:S14" si="0">F7</f>
        <v>0</v>
      </c>
      <c r="T7" s="1567" t="s">
        <v>8</v>
      </c>
      <c r="U7" s="1568">
        <f t="shared" ref="U7:U14" si="1">H7</f>
        <v>0</v>
      </c>
      <c r="V7" s="1567" t="s">
        <v>8</v>
      </c>
      <c r="W7" s="1568">
        <f t="shared" ref="W7:W14" si="2">J7</f>
        <v>0</v>
      </c>
      <c r="X7" s="1569"/>
      <c r="Y7" s="3359" t="s">
        <v>530</v>
      </c>
      <c r="Z7" s="3360"/>
      <c r="AA7" s="1570" t="e">
        <f>D7/F7</f>
        <v>#DIV/0!</v>
      </c>
      <c r="AB7" s="1570" t="e">
        <f>D7/H7</f>
        <v>#DIV/0!</v>
      </c>
      <c r="AC7" s="1570"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59" t="s">
        <v>533</v>
      </c>
      <c r="Q8" s="3360"/>
      <c r="R8" s="1567" t="s">
        <v>8</v>
      </c>
      <c r="S8" s="1568">
        <f t="shared" si="0"/>
        <v>0</v>
      </c>
      <c r="T8" s="1567" t="s">
        <v>8</v>
      </c>
      <c r="U8" s="1568">
        <f t="shared" si="1"/>
        <v>0</v>
      </c>
      <c r="V8" s="1567" t="s">
        <v>8</v>
      </c>
      <c r="W8" s="1568">
        <f t="shared" si="2"/>
        <v>0</v>
      </c>
      <c r="X8" s="1569"/>
      <c r="Y8" s="3359" t="s">
        <v>533</v>
      </c>
      <c r="Z8" s="3360"/>
      <c r="AA8" s="1570" t="e">
        <f t="shared" ref="AA8:AA34" si="3">D8/F8</f>
        <v>#DIV/0!</v>
      </c>
      <c r="AB8" s="1570" t="e">
        <f t="shared" ref="AB8:AB34" si="4">D8/H8</f>
        <v>#DIV/0!</v>
      </c>
      <c r="AC8" s="1570" t="e">
        <f t="shared" ref="AC8:AC34" si="5">D8/J8</f>
        <v>#DIV/0!</v>
      </c>
    </row>
    <row r="9" spans="1:29" s="1220" customFormat="1" ht="15">
      <c r="A9" s="2938"/>
      <c r="B9" s="2945"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7" t="s">
        <v>535</v>
      </c>
      <c r="Q9" s="1151" t="str">
        <f t="shared" ref="Q9:Q14" si="6">B9</f>
        <v>用途</v>
      </c>
      <c r="R9" s="1567" t="s">
        <v>8</v>
      </c>
      <c r="S9" s="1568">
        <f t="shared" si="0"/>
        <v>100</v>
      </c>
      <c r="T9" s="1567" t="s">
        <v>8</v>
      </c>
      <c r="U9" s="1568">
        <f t="shared" si="1"/>
        <v>100</v>
      </c>
      <c r="V9" s="1567" t="s">
        <v>8</v>
      </c>
      <c r="W9" s="1568">
        <f t="shared" si="2"/>
        <v>100</v>
      </c>
      <c r="X9" s="1569"/>
      <c r="Y9" s="3324" t="s">
        <v>536</v>
      </c>
      <c r="Z9" s="1150" t="str">
        <f t="shared" ref="Z9:Z14" si="7">Q9</f>
        <v>用途</v>
      </c>
      <c r="AA9" s="1570">
        <f t="shared" si="3"/>
        <v>1</v>
      </c>
      <c r="AB9" s="1570">
        <f t="shared" si="4"/>
        <v>1</v>
      </c>
      <c r="AC9" s="1570">
        <f t="shared" si="5"/>
        <v>1</v>
      </c>
    </row>
    <row r="10" spans="1:29" s="1338" customFormat="1" ht="27">
      <c r="A10" s="2939"/>
      <c r="B10" s="2944"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7"/>
      <c r="Q10" s="1151" t="str">
        <f t="shared" si="6"/>
        <v>土地使用年限（年）</v>
      </c>
      <c r="R10" s="1567" t="s">
        <v>8</v>
      </c>
      <c r="S10" s="1568">
        <f t="shared" si="0"/>
        <v>100</v>
      </c>
      <c r="T10" s="1567" t="s">
        <v>8</v>
      </c>
      <c r="U10" s="1568">
        <f t="shared" si="1"/>
        <v>100</v>
      </c>
      <c r="V10" s="1567" t="s">
        <v>8</v>
      </c>
      <c r="W10" s="1568">
        <f t="shared" si="2"/>
        <v>100</v>
      </c>
      <c r="X10" s="1569"/>
      <c r="Y10" s="3324"/>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7"/>
      <c r="Q11" s="1151">
        <f t="shared" si="6"/>
        <v>111</v>
      </c>
      <c r="R11" s="1567" t="s">
        <v>8</v>
      </c>
      <c r="S11" s="1568">
        <f t="shared" si="0"/>
        <v>100</v>
      </c>
      <c r="T11" s="1567" t="s">
        <v>8</v>
      </c>
      <c r="U11" s="1568">
        <f t="shared" si="1"/>
        <v>100</v>
      </c>
      <c r="V11" s="1567" t="s">
        <v>8</v>
      </c>
      <c r="W11" s="1568">
        <f t="shared" si="2"/>
        <v>100</v>
      </c>
      <c r="X11" s="1569"/>
      <c r="Y11" s="3324"/>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7"/>
      <c r="Q12" s="1151">
        <f t="shared" si="6"/>
        <v>111</v>
      </c>
      <c r="R12" s="1567" t="s">
        <v>8</v>
      </c>
      <c r="S12" s="1568">
        <f t="shared" si="0"/>
        <v>100</v>
      </c>
      <c r="T12" s="1567" t="s">
        <v>8</v>
      </c>
      <c r="U12" s="1568">
        <f t="shared" si="1"/>
        <v>100</v>
      </c>
      <c r="V12" s="1567" t="s">
        <v>8</v>
      </c>
      <c r="W12" s="1568">
        <f t="shared" si="2"/>
        <v>100</v>
      </c>
      <c r="X12" s="1569"/>
      <c r="Y12" s="3324"/>
      <c r="Z12" s="1150">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7"/>
      <c r="Q13" s="1151">
        <f t="shared" si="6"/>
        <v>111</v>
      </c>
      <c r="R13" s="1567" t="s">
        <v>8</v>
      </c>
      <c r="S13" s="1568">
        <f t="shared" si="0"/>
        <v>100</v>
      </c>
      <c r="T13" s="1567" t="s">
        <v>8</v>
      </c>
      <c r="U13" s="1568">
        <f t="shared" si="1"/>
        <v>100</v>
      </c>
      <c r="V13" s="1567" t="s">
        <v>8</v>
      </c>
      <c r="W13" s="1568">
        <f t="shared" si="2"/>
        <v>100</v>
      </c>
      <c r="X13" s="1569"/>
      <c r="Y13" s="3324"/>
      <c r="Z13" s="1150">
        <f t="shared" si="7"/>
        <v>111</v>
      </c>
      <c r="AA13" s="1570">
        <f t="shared" si="3"/>
        <v>1</v>
      </c>
      <c r="AB13" s="1570">
        <f t="shared" si="4"/>
        <v>1</v>
      </c>
      <c r="AC13" s="1570">
        <f t="shared" si="5"/>
        <v>1</v>
      </c>
    </row>
    <row r="14" spans="1:29" ht="85.5">
      <c r="A14" s="2934"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69" t="s">
        <v>540</v>
      </c>
      <c r="Q14" s="1571" t="str">
        <f t="shared" si="6"/>
        <v>交通便捷度</v>
      </c>
      <c r="R14" s="1572" t="s">
        <v>8</v>
      </c>
      <c r="S14" s="1573">
        <f t="shared" si="0"/>
        <v>100</v>
      </c>
      <c r="T14" s="1572" t="s">
        <v>8</v>
      </c>
      <c r="U14" s="1573">
        <f t="shared" si="1"/>
        <v>100</v>
      </c>
      <c r="V14" s="1572" t="s">
        <v>8</v>
      </c>
      <c r="W14" s="1573">
        <f t="shared" si="2"/>
        <v>100</v>
      </c>
      <c r="X14" s="1566"/>
      <c r="Y14" s="3369"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70"/>
      <c r="Q15" s="1571"/>
      <c r="R15" s="1572"/>
      <c r="S15" s="1573"/>
      <c r="T15" s="1572"/>
      <c r="U15" s="1573"/>
      <c r="V15" s="1572"/>
      <c r="W15" s="1573"/>
      <c r="X15" s="1566"/>
      <c r="Y15" s="3370"/>
      <c r="Z15" s="1574"/>
      <c r="AA15" s="1575">
        <v>1</v>
      </c>
      <c r="AB15" s="1575">
        <v>1</v>
      </c>
      <c r="AC15" s="1575">
        <v>1</v>
      </c>
    </row>
    <row r="16" spans="1:29" ht="42.75">
      <c r="A16" s="532"/>
      <c r="B16" s="2627"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0"/>
      <c r="Q16" s="1571" t="str">
        <f>B16</f>
        <v>公共配套设施</v>
      </c>
      <c r="R16" s="1572" t="s">
        <v>8</v>
      </c>
      <c r="S16" s="1573">
        <f>F16</f>
        <v>100</v>
      </c>
      <c r="T16" s="1572" t="s">
        <v>8</v>
      </c>
      <c r="U16" s="1573">
        <f>H16</f>
        <v>100</v>
      </c>
      <c r="V16" s="1572" t="s">
        <v>8</v>
      </c>
      <c r="W16" s="1573">
        <f>J16</f>
        <v>100</v>
      </c>
      <c r="X16" s="1566"/>
      <c r="Y16" s="337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70"/>
      <c r="Q17" s="1571"/>
      <c r="R17" s="1572"/>
      <c r="S17" s="1573"/>
      <c r="T17" s="1572"/>
      <c r="U17" s="1573"/>
      <c r="V17" s="1572"/>
      <c r="W17" s="1573"/>
      <c r="X17" s="1566"/>
      <c r="Y17" s="3370"/>
      <c r="Z17" s="1574"/>
      <c r="AA17" s="1575">
        <v>1</v>
      </c>
      <c r="AB17" s="1575">
        <v>1</v>
      </c>
      <c r="AC17" s="1575">
        <v>1</v>
      </c>
    </row>
    <row r="18" spans="1:29" ht="28.5">
      <c r="A18" s="532"/>
      <c r="B18" s="2615"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0"/>
      <c r="Q18" s="2603" t="str">
        <f>B18</f>
        <v>基础设施水平</v>
      </c>
      <c r="R18" s="1572" t="s">
        <v>8</v>
      </c>
      <c r="S18" s="1573">
        <f>F18</f>
        <v>100</v>
      </c>
      <c r="T18" s="1572" t="s">
        <v>8</v>
      </c>
      <c r="U18" s="1573">
        <f>H18</f>
        <v>100</v>
      </c>
      <c r="V18" s="1572" t="s">
        <v>8</v>
      </c>
      <c r="W18" s="1573">
        <f>J18</f>
        <v>100</v>
      </c>
      <c r="X18" s="2605"/>
      <c r="Y18" s="3370"/>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70"/>
      <c r="Q19" s="2603"/>
      <c r="R19" s="1572"/>
      <c r="S19" s="1573"/>
      <c r="T19" s="1572"/>
      <c r="U19" s="1573"/>
      <c r="V19" s="1572"/>
      <c r="W19" s="1573"/>
      <c r="X19" s="2605"/>
      <c r="Y19" s="3370"/>
      <c r="Z19" s="2604"/>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0"/>
      <c r="Q20" s="1571" t="str">
        <f>B20</f>
        <v>自然及人文环境</v>
      </c>
      <c r="R20" s="1572" t="s">
        <v>8</v>
      </c>
      <c r="S20" s="1573">
        <f>F20</f>
        <v>100</v>
      </c>
      <c r="T20" s="1572" t="s">
        <v>8</v>
      </c>
      <c r="U20" s="1573">
        <f>H20</f>
        <v>100</v>
      </c>
      <c r="V20" s="1572" t="s">
        <v>8</v>
      </c>
      <c r="W20" s="1573">
        <f>J20</f>
        <v>100</v>
      </c>
      <c r="X20" s="1566"/>
      <c r="Y20" s="337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70"/>
      <c r="Q21" s="1571"/>
      <c r="R21" s="1572"/>
      <c r="S21" s="1573"/>
      <c r="T21" s="1572"/>
      <c r="U21" s="1573"/>
      <c r="V21" s="1572"/>
      <c r="W21" s="1573"/>
      <c r="X21" s="1566"/>
      <c r="Y21" s="3370"/>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0"/>
      <c r="Q22" s="1571" t="str">
        <f>B22</f>
        <v>楼层</v>
      </c>
      <c r="R22" s="1572" t="s">
        <v>8</v>
      </c>
      <c r="S22" s="1573">
        <f>F22</f>
        <v>100</v>
      </c>
      <c r="T22" s="1572" t="s">
        <v>8</v>
      </c>
      <c r="U22" s="1573">
        <f>H22</f>
        <v>100</v>
      </c>
      <c r="V22" s="1572" t="s">
        <v>8</v>
      </c>
      <c r="W22" s="1573">
        <f>J22</f>
        <v>100</v>
      </c>
      <c r="X22" s="1566"/>
      <c r="Y22" s="337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0"/>
      <c r="Q23" s="1571">
        <f>B23</f>
        <v>111</v>
      </c>
      <c r="R23" s="1572" t="s">
        <v>8</v>
      </c>
      <c r="S23" s="1573">
        <f>F23</f>
        <v>100</v>
      </c>
      <c r="T23" s="1572" t="s">
        <v>8</v>
      </c>
      <c r="U23" s="1573">
        <f>H23</f>
        <v>100</v>
      </c>
      <c r="V23" s="1572" t="s">
        <v>8</v>
      </c>
      <c r="W23" s="1573">
        <f>J23</f>
        <v>100</v>
      </c>
      <c r="X23" s="1566"/>
      <c r="Y23" s="337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0"/>
      <c r="Q24" s="1571">
        <f t="shared" ref="Q24:Q34" si="11">B24</f>
        <v>111</v>
      </c>
      <c r="R24" s="1572" t="s">
        <v>8</v>
      </c>
      <c r="S24" s="1573">
        <f>F24</f>
        <v>100</v>
      </c>
      <c r="T24" s="1572" t="s">
        <v>8</v>
      </c>
      <c r="U24" s="1573">
        <f>H24</f>
        <v>100</v>
      </c>
      <c r="V24" s="1572" t="s">
        <v>8</v>
      </c>
      <c r="W24" s="1573">
        <f>J24</f>
        <v>100</v>
      </c>
      <c r="X24" s="1566"/>
      <c r="Y24" s="3370"/>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0"/>
      <c r="Q25" s="1151">
        <f t="shared" si="11"/>
        <v>111</v>
      </c>
      <c r="R25" s="1567" t="s">
        <v>8</v>
      </c>
      <c r="S25" s="1568">
        <f>F25</f>
        <v>100</v>
      </c>
      <c r="T25" s="1567" t="s">
        <v>8</v>
      </c>
      <c r="U25" s="1568">
        <f>H25</f>
        <v>100</v>
      </c>
      <c r="V25" s="1567" t="s">
        <v>8</v>
      </c>
      <c r="W25" s="1568">
        <f>J25</f>
        <v>100</v>
      </c>
      <c r="X25" s="1569"/>
      <c r="Y25" s="3370"/>
      <c r="Z25" s="1150">
        <f>Q25</f>
        <v>111</v>
      </c>
      <c r="AA25" s="1575">
        <f>D25/F25</f>
        <v>1</v>
      </c>
      <c r="AB25" s="1575">
        <f>D25/H25</f>
        <v>1</v>
      </c>
      <c r="AC25" s="1575">
        <f>D25/J25</f>
        <v>1</v>
      </c>
    </row>
    <row r="26" spans="1:29" ht="15">
      <c r="A26" s="2931"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2"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72"/>
      <c r="Q27" s="1604" t="str">
        <f t="shared" si="11"/>
        <v>成新率</v>
      </c>
      <c r="R27" s="1576" t="s">
        <v>8</v>
      </c>
      <c r="S27" s="1577" t="e">
        <f t="shared" si="12"/>
        <v>#N/A</v>
      </c>
      <c r="T27" s="1576" t="s">
        <v>8</v>
      </c>
      <c r="U27" s="1577" t="e">
        <f t="shared" si="13"/>
        <v>#N/A</v>
      </c>
      <c r="V27" s="1576" t="s">
        <v>8</v>
      </c>
      <c r="W27" s="1577" t="e">
        <f t="shared" si="14"/>
        <v>#N/A</v>
      </c>
      <c r="X27" s="1578"/>
      <c r="Y27" s="3372"/>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2"/>
      <c r="Q28" s="1571" t="str">
        <f t="shared" si="11"/>
        <v>物业等级</v>
      </c>
      <c r="R28" s="1572" t="s">
        <v>8</v>
      </c>
      <c r="S28" s="1573">
        <f t="shared" si="12"/>
        <v>100</v>
      </c>
      <c r="T28" s="1572" t="s">
        <v>8</v>
      </c>
      <c r="U28" s="1573">
        <f t="shared" si="13"/>
        <v>100</v>
      </c>
      <c r="V28" s="1572" t="s">
        <v>8</v>
      </c>
      <c r="W28" s="1573">
        <f t="shared" si="14"/>
        <v>100</v>
      </c>
      <c r="X28" s="1566"/>
      <c r="Y28" s="3372"/>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72"/>
      <c r="Q29" s="1571" t="str">
        <f t="shared" si="11"/>
        <v>有无电梯</v>
      </c>
      <c r="R29" s="1572" t="s">
        <v>8</v>
      </c>
      <c r="S29" s="1573">
        <f t="shared" si="12"/>
        <v>100</v>
      </c>
      <c r="T29" s="1572" t="s">
        <v>8</v>
      </c>
      <c r="U29" s="1573">
        <f t="shared" si="13"/>
        <v>100</v>
      </c>
      <c r="V29" s="1572" t="s">
        <v>8</v>
      </c>
      <c r="W29" s="1573">
        <f t="shared" si="14"/>
        <v>100</v>
      </c>
      <c r="X29" s="1566"/>
      <c r="Y29" s="3372"/>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72"/>
      <c r="Q30" s="1571" t="str">
        <f t="shared" si="11"/>
        <v>建筑面积</v>
      </c>
      <c r="R30" s="1572" t="s">
        <v>8</v>
      </c>
      <c r="S30" s="1573" t="e">
        <f t="shared" si="12"/>
        <v>#N/A</v>
      </c>
      <c r="T30" s="1572" t="s">
        <v>8</v>
      </c>
      <c r="U30" s="1573" t="e">
        <f t="shared" si="13"/>
        <v>#N/A</v>
      </c>
      <c r="V30" s="1572" t="s">
        <v>8</v>
      </c>
      <c r="W30" s="1573" t="e">
        <f t="shared" si="14"/>
        <v>#N/A</v>
      </c>
      <c r="X30" s="1566"/>
      <c r="Y30" s="3372"/>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72"/>
      <c r="Q31" s="1151" t="str">
        <f t="shared" si="11"/>
        <v>是否封闭</v>
      </c>
      <c r="R31" s="1567" t="s">
        <v>8</v>
      </c>
      <c r="S31" s="1568">
        <f t="shared" si="12"/>
        <v>100</v>
      </c>
      <c r="T31" s="1567" t="s">
        <v>8</v>
      </c>
      <c r="U31" s="1568">
        <f t="shared" si="13"/>
        <v>100</v>
      </c>
      <c r="V31" s="1567" t="s">
        <v>8</v>
      </c>
      <c r="W31" s="1568">
        <f t="shared" si="14"/>
        <v>100</v>
      </c>
      <c r="X31" s="1569"/>
      <c r="Y31" s="3372"/>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72" t="s">
        <v>550</v>
      </c>
      <c r="Q32" s="1571">
        <f t="shared" si="11"/>
        <v>111</v>
      </c>
      <c r="R32" s="1572" t="s">
        <v>8</v>
      </c>
      <c r="S32" s="1573">
        <f t="shared" si="12"/>
        <v>100</v>
      </c>
      <c r="T32" s="1572" t="s">
        <v>8</v>
      </c>
      <c r="U32" s="1573">
        <f t="shared" si="13"/>
        <v>100</v>
      </c>
      <c r="V32" s="1572" t="s">
        <v>8</v>
      </c>
      <c r="W32" s="1573">
        <f t="shared" si="14"/>
        <v>100</v>
      </c>
      <c r="X32" s="1566"/>
      <c r="Y32" s="3372"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72"/>
      <c r="Q33" s="1571">
        <f t="shared" si="11"/>
        <v>111</v>
      </c>
      <c r="R33" s="1572" t="s">
        <v>8</v>
      </c>
      <c r="S33" s="1573">
        <f t="shared" si="12"/>
        <v>100</v>
      </c>
      <c r="T33" s="1572" t="s">
        <v>8</v>
      </c>
      <c r="U33" s="1573">
        <f t="shared" si="13"/>
        <v>100</v>
      </c>
      <c r="V33" s="1572" t="s">
        <v>8</v>
      </c>
      <c r="W33" s="1573">
        <f t="shared" si="14"/>
        <v>100</v>
      </c>
      <c r="X33" s="1566"/>
      <c r="Y33" s="3372"/>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72"/>
      <c r="Q34" s="1571">
        <f t="shared" si="11"/>
        <v>111</v>
      </c>
      <c r="R34" s="1572" t="s">
        <v>8</v>
      </c>
      <c r="S34" s="1573">
        <f t="shared" si="12"/>
        <v>100</v>
      </c>
      <c r="T34" s="1572" t="s">
        <v>8</v>
      </c>
      <c r="U34" s="1573">
        <f t="shared" si="13"/>
        <v>100</v>
      </c>
      <c r="V34" s="1572" t="s">
        <v>8</v>
      </c>
      <c r="W34" s="1573">
        <f t="shared" si="14"/>
        <v>100</v>
      </c>
      <c r="X34" s="1566"/>
      <c r="Y34" s="3372"/>
      <c r="Z34" s="1574">
        <f t="shared" si="15"/>
        <v>111</v>
      </c>
      <c r="AA34" s="1575">
        <f t="shared" si="3"/>
        <v>1</v>
      </c>
      <c r="AB34" s="1575">
        <f t="shared" si="4"/>
        <v>1</v>
      </c>
      <c r="AC34" s="1575">
        <f t="shared" si="5"/>
        <v>1</v>
      </c>
    </row>
    <row r="35" spans="1:29" ht="15">
      <c r="A35" s="607" t="s">
        <v>736</v>
      </c>
      <c r="B35" s="887"/>
      <c r="C35" s="2651" t="s">
        <v>1</v>
      </c>
      <c r="D35" s="2652"/>
      <c r="E35" s="2653"/>
      <c r="F35" s="2654"/>
      <c r="G35" s="2655"/>
      <c r="H35" s="2656"/>
      <c r="I35" s="2653"/>
      <c r="J35" s="2656"/>
      <c r="K35" s="1610"/>
      <c r="L35" s="2144"/>
      <c r="M35" s="2145"/>
      <c r="N35" s="2134"/>
      <c r="O35" s="2145"/>
      <c r="P35" s="3367" t="str">
        <f>A35</f>
        <v>成交单价（元/平方米）</v>
      </c>
      <c r="Q35" s="3367"/>
      <c r="R35" s="3467">
        <f>E35</f>
        <v>0</v>
      </c>
      <c r="S35" s="3467"/>
      <c r="T35" s="3467">
        <f>G35</f>
        <v>0</v>
      </c>
      <c r="U35" s="3467"/>
      <c r="V35" s="3467">
        <f>I35</f>
        <v>0</v>
      </c>
      <c r="W35" s="3467"/>
      <c r="X35" s="1558"/>
      <c r="Y35" s="1580"/>
      <c r="Z35" s="1558"/>
      <c r="AA35" s="1558"/>
      <c r="AB35" s="1558"/>
      <c r="AC35" s="1558"/>
    </row>
    <row r="36" spans="1:29" ht="15.75" thickBot="1">
      <c r="A36" s="615" t="s">
        <v>2762</v>
      </c>
      <c r="B36" s="888"/>
      <c r="C36" s="2657" t="e">
        <f>R37</f>
        <v>#DIV/0!</v>
      </c>
      <c r="D36" s="2658"/>
      <c r="E36" s="2659" t="e">
        <f>R36</f>
        <v>#DIV/0!</v>
      </c>
      <c r="F36" s="2659"/>
      <c r="G36" s="2657" t="e">
        <f>T36</f>
        <v>#DIV/0!</v>
      </c>
      <c r="H36" s="2658"/>
      <c r="I36" s="2659" t="e">
        <f>V36</f>
        <v>#DIV/0!</v>
      </c>
      <c r="J36" s="2658"/>
      <c r="K36" s="1611"/>
      <c r="L36" s="2144"/>
      <c r="M36" s="2145"/>
      <c r="N36" s="2134"/>
      <c r="O36" s="2145"/>
      <c r="P36" s="3367" t="str">
        <f>A36</f>
        <v>比较价格（元/平方米）</v>
      </c>
      <c r="Q36" s="3367"/>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8"/>
      <c r="Y36" s="1558"/>
      <c r="Z36" s="1558"/>
      <c r="AA36" s="1558"/>
      <c r="AB36" s="1558"/>
      <c r="AC36" s="1558"/>
    </row>
    <row r="37" spans="1:29" ht="15.75" thickBot="1">
      <c r="A37" s="621" t="s">
        <v>2938</v>
      </c>
      <c r="B37" s="622"/>
      <c r="C37" s="2660" t="e">
        <f>R37</f>
        <v>#DIV/0!</v>
      </c>
      <c r="D37" s="2660"/>
      <c r="E37" s="2660"/>
      <c r="F37" s="2660"/>
      <c r="G37" s="2660"/>
      <c r="H37" s="2660"/>
      <c r="I37" s="2660"/>
      <c r="J37" s="2660"/>
      <c r="K37" s="1612"/>
      <c r="L37" s="2144"/>
      <c r="M37" s="2145"/>
      <c r="N37" s="2145"/>
      <c r="O37" s="2145"/>
      <c r="P37" s="3388" t="str">
        <f>A37</f>
        <v>估价对象XX用房的比较价格（楼面单价，元/平方米）</v>
      </c>
      <c r="Q37" s="3389"/>
      <c r="R37" s="3466" t="e">
        <f>IF(F1="售价",ROUND(AVERAGE(R36:V36),0),ROUND(AVERAGE(R36:V36),1))</f>
        <v>#DIV/0!</v>
      </c>
      <c r="S37" s="3466"/>
      <c r="T37" s="3466"/>
      <c r="U37" s="3466"/>
      <c r="V37" s="3466"/>
      <c r="W37" s="346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529</v>
      </c>
      <c r="B46" s="646"/>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2305</v>
      </c>
      <c r="C1" s="3476" t="s">
        <v>2306</v>
      </c>
      <c r="D1" s="3477"/>
      <c r="E1" s="3477"/>
      <c r="F1" s="3477"/>
      <c r="G1" s="3477"/>
      <c r="H1" s="3477"/>
      <c r="I1" s="3477"/>
      <c r="J1" s="3477"/>
      <c r="K1" s="3477"/>
      <c r="L1" s="3477"/>
      <c r="M1" s="3477"/>
      <c r="N1" s="3477"/>
      <c r="O1" s="3477"/>
      <c r="P1" s="3477"/>
      <c r="Q1" s="3477"/>
      <c r="R1" s="3477"/>
      <c r="S1" s="3478"/>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2930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2790</v>
      </c>
      <c r="C1" s="3028">
        <f>项目基本情况!D3</f>
        <v>43228</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2821</v>
      </c>
      <c r="C2" s="3029">
        <f>'数据-取费表'!B22</f>
        <v>3</v>
      </c>
      <c r="D2" s="3024" t="s">
        <v>2791</v>
      </c>
      <c r="E2" s="3027">
        <f ca="1">INDIRECT("I"&amp;$I$1)/100</f>
        <v>4.7500000000000001E-2</v>
      </c>
      <c r="G2" s="2964"/>
      <c r="H2" s="2964"/>
      <c r="I2" s="2964" t="s">
        <v>2792</v>
      </c>
      <c r="K2" s="2964"/>
      <c r="L2" s="2964"/>
      <c r="M2" s="2964"/>
      <c r="N2" s="2964" t="s">
        <v>2793</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2823</v>
      </c>
      <c r="C3" s="3026">
        <f>'数据-取费表'!B19</f>
        <v>0</v>
      </c>
      <c r="D3" s="3024" t="s">
        <v>2791</v>
      </c>
      <c r="E3" s="3027">
        <f ca="1">INDIRECT("J"&amp;$J$1)/100</f>
        <v>0</v>
      </c>
      <c r="G3" s="2966" t="s">
        <v>2794</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2822</v>
      </c>
      <c r="C4" s="3027">
        <f ca="1">N4/100</f>
        <v>1.4999999999999999E-2</v>
      </c>
      <c r="G4" s="2972" t="s">
        <v>2795</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2796</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2797</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2798</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2799</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2800</v>
      </c>
      <c r="C10" s="2991"/>
      <c r="D10" s="2991"/>
      <c r="E10" s="2991"/>
      <c r="F10" s="2991"/>
      <c r="G10" s="2991"/>
      <c r="H10" s="2991"/>
      <c r="I10" s="2965"/>
      <c r="J10" s="2965"/>
      <c r="K10" s="2991"/>
      <c r="L10" s="2992" t="s">
        <v>2801</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2802</v>
      </c>
      <c r="C11" s="2996" t="s">
        <v>2803</v>
      </c>
      <c r="D11" s="2997" t="s">
        <v>2804</v>
      </c>
      <c r="E11" s="2998"/>
      <c r="F11" s="2997" t="s">
        <v>2805</v>
      </c>
      <c r="G11" s="2999"/>
      <c r="H11" s="2998"/>
      <c r="I11" s="2997" t="s">
        <v>2806</v>
      </c>
      <c r="J11" s="2998"/>
      <c r="K11" s="2994"/>
      <c r="L11" s="2995" t="s">
        <v>2802</v>
      </c>
      <c r="M11" s="2996" t="s">
        <v>2803</v>
      </c>
      <c r="N11" s="2995" t="s">
        <v>2807</v>
      </c>
      <c r="O11" s="2997" t="s">
        <v>2808</v>
      </c>
      <c r="P11" s="2999"/>
      <c r="Q11" s="2999"/>
      <c r="R11" s="2999"/>
      <c r="S11" s="2999"/>
      <c r="T11" s="2998"/>
      <c r="U11" s="2997" t="s">
        <v>2809</v>
      </c>
      <c r="V11" s="2999"/>
      <c r="W11" s="2998"/>
      <c r="X11" s="2995" t="s">
        <v>2810</v>
      </c>
      <c r="Y11" s="2995" t="s">
        <v>2811</v>
      </c>
      <c r="Z11" s="2995" t="s">
        <v>2812</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2813</v>
      </c>
      <c r="E12" s="3004" t="s">
        <v>2814</v>
      </c>
      <c r="F12" s="3004" t="s">
        <v>2815</v>
      </c>
      <c r="G12" s="3004" t="s">
        <v>2816</v>
      </c>
      <c r="H12" s="3004" t="s">
        <v>2798</v>
      </c>
      <c r="I12" s="3005" t="s">
        <v>2817</v>
      </c>
      <c r="J12" s="3005" t="s">
        <v>2817</v>
      </c>
      <c r="K12" s="3001"/>
      <c r="L12" s="3002"/>
      <c r="M12" s="3003"/>
      <c r="N12" s="3002"/>
      <c r="O12" s="3005" t="s">
        <v>2818</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2819</v>
      </c>
      <c r="C13" s="3009">
        <v>42301</v>
      </c>
      <c r="D13" s="3010">
        <v>4.3499999999999996</v>
      </c>
      <c r="E13" s="3010">
        <v>4.3499999999999996</v>
      </c>
      <c r="F13" s="3010">
        <v>4.75</v>
      </c>
      <c r="G13" s="3010">
        <v>4.75</v>
      </c>
      <c r="H13" s="3010">
        <v>4.9000000000000004</v>
      </c>
      <c r="I13" s="3010">
        <v>2.75</v>
      </c>
      <c r="J13" s="3010">
        <v>3.25</v>
      </c>
      <c r="K13" s="3007"/>
      <c r="L13" s="3008" t="s">
        <v>2819</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2820</v>
      </c>
      <c r="Y42" s="3014" t="s">
        <v>2820</v>
      </c>
      <c r="Z42" s="3014" t="s">
        <v>2820</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2820</v>
      </c>
      <c r="Y43" s="3014" t="s">
        <v>2820</v>
      </c>
      <c r="Z43" s="3014" t="s">
        <v>2820</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2820</v>
      </c>
      <c r="Y44" s="3014" t="s">
        <v>2820</v>
      </c>
      <c r="Z44" s="3014" t="s">
        <v>2820</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2820</v>
      </c>
      <c r="Y45" s="3014" t="s">
        <v>2820</v>
      </c>
      <c r="Z45" s="3014" t="s">
        <v>2820</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2820</v>
      </c>
      <c r="Y46" s="3014" t="s">
        <v>2820</v>
      </c>
      <c r="Z46" s="3014" t="s">
        <v>2820</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2820</v>
      </c>
      <c r="Y47" s="3014" t="s">
        <v>2820</v>
      </c>
      <c r="Z47" s="3014" t="s">
        <v>2820</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2820</v>
      </c>
      <c r="Y48" s="3014" t="s">
        <v>2820</v>
      </c>
      <c r="Z48" s="3014" t="s">
        <v>2820</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2820</v>
      </c>
      <c r="Y49" s="3014" t="s">
        <v>2820</v>
      </c>
      <c r="Z49" s="3014" t="s">
        <v>2820</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2820</v>
      </c>
      <c r="Y50" s="3014" t="s">
        <v>2820</v>
      </c>
      <c r="Z50" s="3014" t="s">
        <v>2820</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2820</v>
      </c>
      <c r="V51" s="3014" t="s">
        <v>2820</v>
      </c>
      <c r="W51" s="3014" t="s">
        <v>2820</v>
      </c>
      <c r="X51" s="3014" t="s">
        <v>2820</v>
      </c>
      <c r="Y51" s="3014" t="s">
        <v>2820</v>
      </c>
      <c r="Z51" s="3014" t="s">
        <v>2820</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2820</v>
      </c>
      <c r="J55" s="3014" t="s">
        <v>2820</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2040</v>
      </c>
      <c r="B1" s="3187"/>
      <c r="C1" s="3187"/>
      <c r="D1" s="3187"/>
      <c r="E1" s="3187"/>
      <c r="F1" s="3187"/>
      <c r="G1" s="3187"/>
      <c r="H1" s="3187"/>
      <c r="I1" s="3187"/>
      <c r="J1" s="3187"/>
      <c r="K1" s="3187"/>
      <c r="L1" s="3187"/>
      <c r="M1" s="3187"/>
      <c r="N1" s="3187"/>
      <c r="O1" s="3187"/>
      <c r="P1" s="3187"/>
      <c r="Q1" s="3187"/>
      <c r="R1" s="3187"/>
    </row>
    <row r="2" spans="1:18">
      <c r="A2" s="1807" t="s">
        <v>2042</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8" t="s">
        <v>2031</v>
      </c>
      <c r="B3" s="3188" t="s">
        <v>2733</v>
      </c>
      <c r="C3" s="3189" t="s">
        <v>2032</v>
      </c>
      <c r="D3" s="3188" t="s">
        <v>2737</v>
      </c>
      <c r="E3" s="3191" t="s">
        <v>2033</v>
      </c>
      <c r="F3" s="3191"/>
      <c r="G3" s="3191"/>
      <c r="H3" s="3191" t="s">
        <v>2034</v>
      </c>
      <c r="I3" s="3191"/>
      <c r="J3" s="3191"/>
      <c r="K3" s="3189" t="s">
        <v>2035</v>
      </c>
      <c r="L3" s="3189" t="s">
        <v>2036</v>
      </c>
      <c r="M3" s="3188" t="s">
        <v>2734</v>
      </c>
      <c r="N3" s="3190" t="str">
        <f>"（分摊）"&amp;项目基本情况!B16&amp;"国有建设用地使用权面积/㎡"</f>
        <v>（分摊）出让国有建设用地使用权面积/㎡</v>
      </c>
      <c r="O3" s="3188" t="s">
        <v>2065</v>
      </c>
      <c r="P3" s="3189" t="s">
        <v>2045</v>
      </c>
      <c r="Q3" s="3189" t="s">
        <v>2066</v>
      </c>
      <c r="R3" s="3189" t="s">
        <v>2037</v>
      </c>
    </row>
    <row r="4" spans="1:18" ht="36.75" customHeight="1">
      <c r="A4" s="3188"/>
      <c r="B4" s="3188"/>
      <c r="C4" s="3189"/>
      <c r="D4" s="3188"/>
      <c r="E4" s="2673" t="s">
        <v>2044</v>
      </c>
      <c r="F4" s="2673" t="s">
        <v>2746</v>
      </c>
      <c r="G4" s="2673" t="s">
        <v>2038</v>
      </c>
      <c r="H4" s="2673" t="s">
        <v>2039</v>
      </c>
      <c r="I4" s="2673" t="s">
        <v>2747</v>
      </c>
      <c r="J4" s="2673" t="s">
        <v>2038</v>
      </c>
      <c r="K4" s="3189"/>
      <c r="L4" s="3189"/>
      <c r="M4" s="3188"/>
      <c r="N4" s="3190"/>
      <c r="O4" s="3188"/>
      <c r="P4" s="3189"/>
      <c r="Q4" s="3189"/>
      <c r="R4" s="3189"/>
    </row>
    <row r="5" spans="1:18" ht="135" customHeight="1">
      <c r="A5" s="1943" t="s">
        <v>2657</v>
      </c>
      <c r="B5" s="2891" t="s">
        <v>2655</v>
      </c>
      <c r="C5" s="2672">
        <v>22</v>
      </c>
      <c r="D5" s="2671" t="s">
        <v>2656</v>
      </c>
      <c r="E5" s="1810" t="str">
        <f>项目基本情况!B12</f>
        <v>城镇住宅用地</v>
      </c>
      <c r="F5" s="2671">
        <v>258</v>
      </c>
      <c r="G5" s="1810">
        <f>项目基本情况!B13</f>
        <v>0</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88475.28</v>
      </c>
      <c r="O5" s="1810">
        <f>项目基本情况!C21</f>
        <v>279349.84999999998</v>
      </c>
      <c r="P5" s="1810">
        <f ca="1">结果表!E42</f>
        <v>43572</v>
      </c>
      <c r="Q5" s="1810">
        <f ca="1">结果表!D42</f>
        <v>13800</v>
      </c>
      <c r="R5" s="1811">
        <f ca="1">结果表!C42</f>
        <v>385507</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2">
        <f ca="1">结果表!O39</f>
        <v>385377</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2"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5" t="s">
        <v>2067</v>
      </c>
      <c r="B1" s="3195"/>
      <c r="C1" s="3195"/>
      <c r="D1" s="3195"/>
    </row>
    <row r="2" spans="1:4" ht="47.25" customHeight="1">
      <c r="A2" s="3199" t="str">
        <f>"1.权利限制："&amp;项目基本情况!L24&amp;"未设定租赁等其他他项权利。"</f>
        <v>1.权利限制：根据估价对象《不动产权证书》原件、《国有土地使用权》复印件，截至估价期日，估价对象抵押权未见登记。未设定租赁等其他他项权利。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8" t="s">
        <v>2068</v>
      </c>
      <c r="B5" s="3198"/>
      <c r="C5" s="3198"/>
      <c r="D5" s="3198"/>
    </row>
    <row r="6" spans="1:4">
      <c r="A6" s="3195" t="s">
        <v>2046</v>
      </c>
      <c r="B6" s="3195"/>
      <c r="C6" s="3195"/>
      <c r="D6" s="3195"/>
    </row>
    <row r="7" spans="1:4" ht="33" customHeight="1">
      <c r="A7" s="3195" t="s">
        <v>2578</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7"/>
      <c r="C11" s="3197"/>
      <c r="D11" s="3197"/>
    </row>
    <row r="12" spans="1:4" ht="168" customHeight="1">
      <c r="A12" s="3198" t="s">
        <v>2070</v>
      </c>
      <c r="B12" s="3198"/>
      <c r="C12" s="3198"/>
      <c r="D12" s="3198"/>
    </row>
    <row r="13" spans="1:4">
      <c r="A13" s="3196" t="s">
        <v>2748</v>
      </c>
      <c r="B13" s="3196"/>
      <c r="C13" s="3196"/>
      <c r="D13" s="3196"/>
    </row>
    <row r="14" spans="1:4">
      <c r="A14" s="3197" t="str">
        <f>IF(项目基本情况!B8="抵押","综上，"&amp;结果表!K47,"——")</f>
        <v>综上，本次评估估价师知悉的法定优先受偿款为人民币130万元整。</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2704</v>
      </c>
      <c r="B17" s="3195"/>
      <c r="C17" s="3195"/>
      <c r="D17" s="3195"/>
    </row>
    <row r="18" spans="1:4">
      <c r="A18" s="3195" t="s">
        <v>2696</v>
      </c>
      <c r="B18" s="3195"/>
      <c r="C18" s="3195"/>
      <c r="D18" s="3195"/>
    </row>
    <row r="19" spans="1:4">
      <c r="A19" s="2892" t="s">
        <v>2697</v>
      </c>
      <c r="B19" s="2892" t="s">
        <v>2698</v>
      </c>
      <c r="C19" s="2892" t="s">
        <v>2699</v>
      </c>
      <c r="D19" s="2892" t="s">
        <v>2700</v>
      </c>
    </row>
    <row r="20" spans="1:4">
      <c r="A20" s="2892" t="str">
        <f>项目基本情况!B4</f>
        <v>欧红伟</v>
      </c>
      <c r="B20" s="2892">
        <f ca="1">项目基本情况!C4</f>
        <v>2000110082</v>
      </c>
      <c r="C20" s="2894"/>
      <c r="D20" s="1800" t="s">
        <v>2705</v>
      </c>
    </row>
    <row r="21" spans="1:4">
      <c r="A21" s="2892" t="str">
        <f>项目基本情况!D4</f>
        <v>崔锴</v>
      </c>
      <c r="B21" s="2892">
        <f ca="1">项目基本情况!E4</f>
        <v>2010110070</v>
      </c>
      <c r="C21" s="2894"/>
      <c r="D21" s="1800" t="s">
        <v>2706</v>
      </c>
    </row>
    <row r="23" spans="1:4">
      <c r="A23" s="3195" t="s">
        <v>2701</v>
      </c>
      <c r="B23" s="3195"/>
      <c r="C23" s="3195"/>
      <c r="D23" s="3195"/>
    </row>
    <row r="24" spans="1:4">
      <c r="A24" s="2892" t="s">
        <v>2697</v>
      </c>
      <c r="B24" s="2892" t="s">
        <v>2702</v>
      </c>
      <c r="C24" s="2892" t="s">
        <v>2699</v>
      </c>
      <c r="D24" s="2892" t="s">
        <v>2700</v>
      </c>
    </row>
    <row r="25" spans="1:4">
      <c r="A25" s="2895" t="s">
        <v>2703</v>
      </c>
      <c r="B25" s="2892" t="s">
        <v>952</v>
      </c>
      <c r="C25" s="2894"/>
      <c r="D25" s="1800" t="s">
        <v>2706</v>
      </c>
    </row>
    <row r="29" spans="1:4">
      <c r="D29" s="2893" t="s">
        <v>2041</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7" t="s">
        <v>53</v>
      </c>
      <c r="B15" s="3208" t="s">
        <v>846</v>
      </c>
      <c r="C15" s="3204"/>
    </row>
    <row r="16" spans="1:7" ht="14.25">
      <c r="A16" s="3207"/>
      <c r="B16" s="3205" t="s">
        <v>54</v>
      </c>
      <c r="C16" s="1172" t="s">
        <v>53</v>
      </c>
    </row>
    <row r="17" spans="1:3" ht="14.25">
      <c r="A17" s="3207"/>
      <c r="B17" s="3205"/>
      <c r="C17" s="1172" t="s">
        <v>55</v>
      </c>
    </row>
    <row r="18" spans="1:3" ht="14.25">
      <c r="A18" s="3207"/>
      <c r="B18" s="3205"/>
      <c r="C18" s="1172" t="s">
        <v>56</v>
      </c>
    </row>
    <row r="19" spans="1:3" ht="14.25">
      <c r="A19" s="3207"/>
      <c r="B19" s="3203" t="s">
        <v>57</v>
      </c>
      <c r="C19" s="3204"/>
    </row>
    <row r="20" spans="1:3" ht="14.25">
      <c r="A20" s="1173" t="s">
        <v>58</v>
      </c>
      <c r="B20" s="1174"/>
      <c r="C20" s="1175"/>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6" t="s">
        <v>837</v>
      </c>
    </row>
    <row r="25" spans="1:3" ht="14.25">
      <c r="A25" s="3206"/>
      <c r="B25" s="3210"/>
      <c r="C25" s="1176" t="s">
        <v>838</v>
      </c>
    </row>
    <row r="26" spans="1:3" ht="14.25">
      <c r="A26" s="3206"/>
      <c r="B26" s="3210"/>
      <c r="C26" s="1176" t="s">
        <v>839</v>
      </c>
    </row>
    <row r="27" spans="1:3" ht="14.25">
      <c r="A27" s="3206"/>
      <c r="B27" s="3210"/>
      <c r="C27" s="1176" t="s">
        <v>840</v>
      </c>
    </row>
    <row r="28" spans="1:3" ht="14.25">
      <c r="A28" s="3206"/>
      <c r="B28" s="3210"/>
      <c r="C28" s="1176" t="s">
        <v>841</v>
      </c>
    </row>
    <row r="29" spans="1:3" ht="14.25">
      <c r="A29" s="3206"/>
      <c r="B29" s="3210"/>
      <c r="C29" s="1176" t="s">
        <v>842</v>
      </c>
    </row>
    <row r="30" spans="1:3" ht="14.25">
      <c r="A30" s="3206"/>
      <c r="B30" s="3210"/>
      <c r="C30" s="1176" t="s">
        <v>843</v>
      </c>
    </row>
    <row r="31" spans="1:3" ht="14.25">
      <c r="A31" s="3206"/>
      <c r="B31" s="3210"/>
      <c r="C31" s="1176" t="s">
        <v>844</v>
      </c>
    </row>
    <row r="32" spans="1:3" ht="14.25">
      <c r="A32" s="3206"/>
      <c r="B32" s="3210"/>
      <c r="C32" s="1176" t="s">
        <v>1647</v>
      </c>
    </row>
    <row r="33" spans="1:3" ht="14.25">
      <c r="A33" s="3206"/>
      <c r="B33" s="3200" t="s">
        <v>1653</v>
      </c>
      <c r="C33" s="1176" t="s">
        <v>1648</v>
      </c>
    </row>
    <row r="34" spans="1:3" ht="14.25">
      <c r="A34" s="3206"/>
      <c r="B34" s="3201"/>
      <c r="C34" s="1181" t="s">
        <v>1649</v>
      </c>
    </row>
    <row r="35" spans="1:3" ht="14.25">
      <c r="A35" s="3206"/>
      <c r="B35" s="3201"/>
      <c r="C35" s="1182" t="s">
        <v>1650</v>
      </c>
    </row>
    <row r="36" spans="1:3" ht="14.25">
      <c r="A36" s="3206"/>
      <c r="B36" s="3201"/>
      <c r="C36" s="1182" t="s">
        <v>1651</v>
      </c>
    </row>
    <row r="37" spans="1:3" ht="14.25">
      <c r="A37" s="3206"/>
      <c r="B37" s="320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43229</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f ca="1">IF(C7&lt;B2,"已过期",1120050019)</f>
        <v>1120050019</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t="s">
        <v>2984</v>
      </c>
      <c r="B12" s="2343">
        <v>1120110054</v>
      </c>
      <c r="C12" s="3030">
        <v>43937</v>
      </c>
      <c r="D12" s="2343" t="s">
        <v>2984</v>
      </c>
      <c r="E12" s="2343">
        <v>2008110060</v>
      </c>
      <c r="F12" s="3031">
        <v>47177</v>
      </c>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2577</v>
      </c>
      <c r="B15" s="2343">
        <v>1120070085</v>
      </c>
      <c r="C15" s="3030">
        <v>43814</v>
      </c>
      <c r="D15" s="2343" t="s">
        <v>2577</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f ca="1">IF(C22&lt;B2,"已过期",1120020033)</f>
        <v>1120020033</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2055</v>
      </c>
      <c r="B24" s="2345" t="s">
        <v>2055</v>
      </c>
      <c r="C24" s="3030"/>
      <c r="D24" s="3032" t="s">
        <v>2055</v>
      </c>
      <c r="E24" s="2345" t="s">
        <v>2055</v>
      </c>
      <c r="F24" s="2346"/>
    </row>
    <row r="25" spans="1:7" ht="20.25" customHeight="1">
      <c r="A25" s="3211" t="s">
        <v>1928</v>
      </c>
      <c r="B25" s="3211"/>
      <c r="C25" s="3211"/>
      <c r="D25" s="3211"/>
      <c r="E25" s="3211"/>
      <c r="F25" s="3211"/>
      <c r="G25" s="3211"/>
    </row>
    <row r="26" spans="1:7" ht="20.25" customHeight="1">
      <c r="A26" s="3212" t="s">
        <v>1929</v>
      </c>
      <c r="B26" s="3212"/>
      <c r="C26" s="3212"/>
      <c r="D26" s="3212" t="s">
        <v>1930</v>
      </c>
      <c r="E26" s="3212"/>
      <c r="F26" s="321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2548</v>
      </c>
      <c r="R1" s="2606" t="s">
        <v>2542</v>
      </c>
      <c r="S1" s="6" t="s">
        <v>146</v>
      </c>
      <c r="T1" s="7" t="s">
        <v>147</v>
      </c>
      <c r="U1" s="6" t="s">
        <v>148</v>
      </c>
      <c r="V1" s="6" t="s">
        <v>149</v>
      </c>
      <c r="W1" s="1004"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2" t="s">
        <v>1713</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3183" t="s">
        <v>3050</v>
      </c>
      <c r="C15" s="1553"/>
    </row>
    <row r="16" spans="1:23">
      <c r="A16" s="8" t="s">
        <v>117</v>
      </c>
      <c r="B16" s="8" t="s">
        <v>1682</v>
      </c>
      <c r="C16" s="1553"/>
    </row>
    <row r="17" spans="1:3">
      <c r="A17" s="8" t="s">
        <v>118</v>
      </c>
      <c r="B17" s="8" t="s">
        <v>1683</v>
      </c>
      <c r="C17" s="1553"/>
    </row>
    <row r="18" spans="1:3">
      <c r="A18" s="8" t="s">
        <v>119</v>
      </c>
      <c r="B18" s="3139" t="s">
        <v>2961</v>
      </c>
      <c r="C18" s="1553"/>
    </row>
    <row r="19" spans="1:3">
      <c r="A19" s="8" t="s">
        <v>120</v>
      </c>
      <c r="B19" s="3139" t="s">
        <v>2969</v>
      </c>
      <c r="C19" s="1553"/>
    </row>
    <row r="20" spans="1:3">
      <c r="A20" s="8" t="s">
        <v>121</v>
      </c>
      <c r="B20" s="8"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1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767"/>
      <c r="E53" s="1767"/>
    </row>
    <row r="54" spans="1:5">
      <c r="A54" s="321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不动产收益法-车库</vt:lpstr>
      <vt:lpstr>不动产收益法-商业</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2018-05-09T11:48:27Z</dcterms:modified>
</cp:coreProperties>
</file>