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 i="21" l="1"/>
  <c r="H111" i="21" l="1"/>
  <c r="I111" i="21"/>
  <c r="I37" i="21"/>
  <c r="D3" i="4" l="1"/>
  <c r="Y6" i="1" l="1"/>
  <c r="C37" i="21"/>
  <c r="G73" i="43"/>
  <c r="G74" i="43"/>
  <c r="G75" i="43"/>
  <c r="G76" i="43"/>
  <c r="G77" i="43"/>
  <c r="G78" i="43"/>
  <c r="G79" i="43"/>
  <c r="G80" i="43"/>
  <c r="G72" i="43"/>
  <c r="B55" i="1" l="1"/>
  <c r="B21" i="1"/>
  <c r="F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c r="AC29" i="2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U34" i="21" s="1"/>
  <c r="H38" i="21"/>
  <c r="U38" i="21" s="1"/>
  <c r="F38" i="21"/>
  <c r="S38" i="21" s="1"/>
  <c r="F36" i="21"/>
  <c r="S36" i="21" s="1"/>
  <c r="F39" i="21"/>
  <c r="AA39" i="21" s="1"/>
  <c r="J40" i="21"/>
  <c r="W40" i="21" s="1"/>
  <c r="H35" i="21"/>
  <c r="U35" i="21" s="1"/>
  <c r="J8" i="21"/>
  <c r="AC8" i="21" s="1"/>
  <c r="H8" i="21"/>
  <c r="U8" i="21" s="1"/>
  <c r="H10" i="21"/>
  <c r="AB10" i="21" s="1"/>
  <c r="H39" i="21"/>
  <c r="U39" i="21" s="1"/>
  <c r="J34" i="21"/>
  <c r="W34" i="21" s="1"/>
  <c r="H36" i="21"/>
  <c r="AB36" i="21" s="1"/>
  <c r="F35" i="21"/>
  <c r="AA35" i="21" s="1"/>
  <c r="J10" i="21"/>
  <c r="AC10" i="21" s="1"/>
  <c r="H26" i="21"/>
  <c r="AB26" i="21" s="1"/>
  <c r="AB19" i="21"/>
  <c r="J19" i="21"/>
  <c r="W19" i="21" s="1"/>
  <c r="J26" i="21"/>
  <c r="W26" i="21" s="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J42" i="21"/>
  <c r="AC42" i="21" s="1"/>
  <c r="H42" i="21"/>
  <c r="U42" i="21" s="1"/>
  <c r="J44" i="34"/>
  <c r="F44" i="34"/>
  <c r="AA44" i="34"/>
  <c r="J10" i="35"/>
  <c r="AC10" i="35" s="1"/>
  <c r="J14" i="21"/>
  <c r="W14" i="21"/>
  <c r="F14" i="21"/>
  <c r="S14" i="21" s="1"/>
  <c r="H14" i="21"/>
  <c r="U14" i="21"/>
  <c r="H28" i="21"/>
  <c r="AB28" i="21" s="1"/>
  <c r="F28" i="21"/>
  <c r="AA28" i="21" s="1"/>
  <c r="J28" i="21"/>
  <c r="W28" i="21" s="1"/>
  <c r="H30" i="21"/>
  <c r="U30" i="21" s="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B39" i="21"/>
  <c r="S39" i="21"/>
  <c r="AC40" i="21"/>
  <c r="J15" i="21"/>
  <c r="W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B14" i="21"/>
  <c r="AB46" i="21"/>
  <c r="U40" i="21"/>
  <c r="AB31" i="21"/>
  <c r="U31" i="21"/>
  <c r="U13" i="21"/>
  <c r="AB13" i="21"/>
  <c r="S35" i="21"/>
  <c r="J37" i="21"/>
  <c r="W37" i="21" s="1"/>
  <c r="H15" i="21"/>
  <c r="U15" i="21" s="1"/>
  <c r="J17" i="21"/>
  <c r="AC17" i="21" s="1"/>
  <c r="W39" i="21"/>
  <c r="AC14" i="21"/>
  <c r="W30" i="21"/>
  <c r="S46" i="21"/>
  <c r="H45" i="21"/>
  <c r="U45" i="21" s="1"/>
  <c r="F29" i="21"/>
  <c r="AA29" i="21" s="1"/>
  <c r="F13" i="21"/>
  <c r="AA13" i="21" s="1"/>
  <c r="AC38" i="21"/>
  <c r="H32" i="21"/>
  <c r="AB32" i="21" s="1"/>
  <c r="H9" i="21"/>
  <c r="AB9" i="21" s="1"/>
  <c r="J9" i="21"/>
  <c r="AC9" i="21" s="1"/>
  <c r="J32" i="21"/>
  <c r="W32" i="21" s="1"/>
  <c r="F32" i="21"/>
  <c r="AA32" i="21" s="1"/>
  <c r="AA31" i="21"/>
  <c r="W29" i="21"/>
  <c r="S9" i="21"/>
  <c r="AA9" i="21"/>
  <c r="K141" i="21"/>
  <c r="K144" i="21"/>
  <c r="K143" i="21"/>
  <c r="U27" i="21"/>
  <c r="AB25" i="21"/>
  <c r="AB44" i="21"/>
  <c r="AA30" i="21"/>
  <c r="W13" i="21"/>
  <c r="W42" i="21"/>
  <c r="AC45" i="21"/>
  <c r="F10" i="21"/>
  <c r="AA10" i="21" s="1"/>
  <c r="K145" i="21"/>
  <c r="W25" i="21"/>
  <c r="W31" i="21"/>
  <c r="S27" i="21"/>
  <c r="AC27" i="21"/>
  <c r="AB29" i="21"/>
  <c r="S28"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31" i="12"/>
  <c r="F52" i="9"/>
  <c r="M18" i="67"/>
  <c r="F30" i="69"/>
  <c r="F48" i="69" s="1"/>
  <c r="F32" i="15"/>
  <c r="F60" i="15" s="1"/>
  <c r="M1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J23" i="21"/>
  <c r="AC23" i="21" s="1"/>
  <c r="F85" i="21"/>
  <c r="G85" i="21" s="1"/>
  <c r="H23" i="21"/>
  <c r="U23" i="21" s="1"/>
  <c r="S13" i="21"/>
  <c r="D6" i="52"/>
  <c r="AP7" i="1"/>
  <c r="AB45"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2" i="76"/>
  <c r="F8" i="67"/>
  <c r="B9" i="76"/>
  <c r="F6" i="73"/>
  <c r="E10" i="76"/>
  <c r="M26" i="15"/>
  <c r="B8" i="76"/>
  <c r="M22" i="67"/>
  <c r="F38" i="15"/>
  <c r="F9" i="15"/>
  <c r="F37" i="15"/>
  <c r="M23" i="67"/>
  <c r="M9" i="67"/>
  <c r="M28" i="15"/>
  <c r="M29" i="15"/>
  <c r="E2" i="68"/>
  <c r="M8" i="67"/>
  <c r="F13" i="67"/>
  <c r="F40" i="67"/>
  <c r="F40" i="15"/>
  <c r="F13" i="15"/>
  <c r="F38" i="67"/>
  <c r="AO13" i="1"/>
  <c r="M6" i="67"/>
  <c r="L48" i="15"/>
  <c r="E11" i="76"/>
  <c r="L47" i="15"/>
  <c r="F5" i="73"/>
  <c r="F16" i="15"/>
  <c r="F36" i="15"/>
  <c r="F7" i="73"/>
  <c r="M22" i="15"/>
  <c r="F7" i="15"/>
  <c r="F9" i="67"/>
  <c r="D34" i="9"/>
  <c r="E8" i="76"/>
  <c r="E13" i="76"/>
  <c r="J15" i="67"/>
  <c r="M6" i="15"/>
  <c r="F36" i="67"/>
  <c r="D35" i="9"/>
  <c r="F6" i="67"/>
  <c r="F20" i="31"/>
  <c r="F37" i="67"/>
  <c r="E9" i="76"/>
  <c r="M24" i="67"/>
  <c r="B11" i="76"/>
  <c r="D6" i="73"/>
  <c r="E7" i="76"/>
  <c r="B12" i="76"/>
  <c r="B10" i="76"/>
  <c r="J15" i="15"/>
  <c r="F4" i="73"/>
  <c r="M24" i="15"/>
  <c r="F43" i="15"/>
  <c r="C76" i="15"/>
  <c r="F8" i="15"/>
  <c r="F42" i="67"/>
  <c r="B7" i="76"/>
  <c r="M8" i="15"/>
  <c r="F6" i="15"/>
  <c r="C76" i="67"/>
  <c r="E2" i="69"/>
  <c r="B13" i="76"/>
  <c r="F26" i="67"/>
  <c r="F16" i="67"/>
  <c r="M28" i="67"/>
  <c r="L48" i="67"/>
  <c r="F3" i="73"/>
  <c r="F26" i="15"/>
  <c r="L47" i="67"/>
  <c r="M26" i="67"/>
  <c r="M23" i="15"/>
  <c r="F42" i="15"/>
  <c r="M9" i="15"/>
  <c r="AC26" i="21" l="1"/>
  <c r="AA26" i="21"/>
  <c r="F125" i="21"/>
  <c r="F43" i="21"/>
  <c r="S43" i="21" s="1"/>
  <c r="AA38" i="21"/>
  <c r="AB38" i="21"/>
  <c r="AA36" i="21"/>
  <c r="U36" i="21"/>
  <c r="AB35" i="21"/>
  <c r="AC34" i="21"/>
  <c r="AB34" i="21"/>
  <c r="S32" i="21"/>
  <c r="U32" i="21"/>
  <c r="W23" i="21"/>
  <c r="AB23" i="21"/>
  <c r="S23" i="21"/>
  <c r="AC21" i="21"/>
  <c r="S19" i="21"/>
  <c r="AC19" i="21"/>
  <c r="S17" i="21"/>
  <c r="W17" i="21"/>
  <c r="U17" i="21"/>
  <c r="AB15" i="21"/>
  <c r="AC15" i="21"/>
  <c r="AA15" i="21"/>
  <c r="W9" i="21"/>
  <c r="U9" i="21"/>
  <c r="AZ14" i="3"/>
  <c r="G7" i="21"/>
  <c r="I7" i="21"/>
  <c r="E7" i="21"/>
  <c r="G23" i="43"/>
  <c r="C23" i="43" s="1"/>
  <c r="C7" i="33"/>
  <c r="C7" i="34"/>
  <c r="M47" i="9"/>
  <c r="C7" i="35"/>
  <c r="C48" i="35" s="1"/>
  <c r="D48" i="35" s="1"/>
  <c r="S37" i="21"/>
  <c r="F28" i="15"/>
  <c r="C28" i="15" s="1"/>
  <c r="F32" i="67"/>
  <c r="F60" i="67" s="1"/>
  <c r="F28" i="67"/>
  <c r="D22" i="15"/>
  <c r="K6" i="1"/>
  <c r="G29" i="6"/>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D4" i="73"/>
  <c r="F7" i="67"/>
  <c r="M29" i="67"/>
  <c r="D7" i="73"/>
  <c r="D5" i="73"/>
  <c r="F43" i="67"/>
  <c r="C16" i="15"/>
  <c r="D3" i="73"/>
  <c r="AA43" i="21" l="1"/>
  <c r="G125" i="21"/>
  <c r="J43" i="21"/>
  <c r="H43" i="21"/>
  <c r="N370" i="46"/>
  <c r="C6" i="67"/>
  <c r="C32" i="67" s="1"/>
  <c r="F50" i="67"/>
  <c r="M7" i="67"/>
  <c r="J6" i="67" s="1"/>
  <c r="J18" i="67" s="1"/>
  <c r="F71" i="67"/>
  <c r="E28" i="6"/>
  <c r="K14" i="1" s="1"/>
  <c r="AP6" i="1"/>
  <c r="C36" i="69" s="1"/>
  <c r="G26" i="43"/>
  <c r="N94" i="46"/>
  <c r="K16" i="1"/>
  <c r="P6" i="1"/>
  <c r="C13" i="12" s="1"/>
  <c r="J26" i="43"/>
  <c r="F26" i="43"/>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D33" i="43" s="1"/>
  <c r="D1" i="43" s="1"/>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AE6" i="1"/>
  <c r="G1" i="73"/>
  <c r="AB43" i="21" l="1"/>
  <c r="U43" i="21"/>
  <c r="AC43" i="21"/>
  <c r="W43" i="21"/>
  <c r="J5" i="67"/>
  <c r="J24" i="67" s="1"/>
  <c r="C28" i="43"/>
  <c r="T11" i="43" s="1"/>
  <c r="V11" i="43" s="1"/>
  <c r="AA10" i="39"/>
  <c r="F10" i="40"/>
  <c r="S10" i="40" s="1"/>
  <c r="H10" i="39"/>
  <c r="U10" i="39" s="1"/>
  <c r="H10" i="40"/>
  <c r="AB10" i="40" s="1"/>
  <c r="H6" i="3"/>
  <c r="AC6" i="3"/>
  <c r="J10" i="39"/>
  <c r="W10" i="39" s="1"/>
  <c r="D26" i="43"/>
  <c r="C25" i="43" s="1"/>
  <c r="C33" i="43" s="1"/>
  <c r="C6" i="69" s="1"/>
  <c r="C7" i="6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F41" i="67"/>
  <c r="M27" i="15"/>
  <c r="M27" i="67"/>
  <c r="E6" i="3" l="1"/>
  <c r="F69" i="67"/>
  <c r="C39" i="43"/>
  <c r="T16" i="43"/>
  <c r="V16" i="43" s="1"/>
  <c r="C41" i="43"/>
  <c r="T13" i="43"/>
  <c r="V13" i="43" s="1"/>
  <c r="C38" i="43"/>
  <c r="G38" i="43" s="1"/>
  <c r="I38" i="43" s="1"/>
  <c r="T6" i="43"/>
  <c r="V6" i="43" s="1"/>
  <c r="C42" i="43"/>
  <c r="E42" i="43" s="1"/>
  <c r="T8" i="43"/>
  <c r="V8" i="43" s="1"/>
  <c r="C37" i="43"/>
  <c r="T2" i="43"/>
  <c r="V2" i="43" s="1"/>
  <c r="T10" i="43"/>
  <c r="V10" i="43" s="1"/>
  <c r="T7" i="43"/>
  <c r="V7" i="43" s="1"/>
  <c r="T15" i="43"/>
  <c r="V15" i="43" s="1"/>
  <c r="C40" i="43"/>
  <c r="G40" i="43" s="1"/>
  <c r="I40" i="43" s="1"/>
  <c r="T3" i="43"/>
  <c r="V3" i="43" s="1"/>
  <c r="T12" i="43"/>
  <c r="V12" i="43" s="1"/>
  <c r="T9" i="43"/>
  <c r="V9" i="43" s="1"/>
  <c r="T5" i="43"/>
  <c r="V5" i="43" s="1"/>
  <c r="T4" i="43"/>
  <c r="V4" i="43" s="1"/>
  <c r="T14" i="43"/>
  <c r="V14" i="43" s="1"/>
  <c r="AA10" i="40"/>
  <c r="F24" i="67"/>
  <c r="C24" i="67" s="1"/>
  <c r="AC10" i="39"/>
  <c r="AB10" i="39"/>
  <c r="F22" i="69"/>
  <c r="F41" i="69" s="1"/>
  <c r="F24" i="15"/>
  <c r="C24" i="15" s="1"/>
  <c r="F22" i="68"/>
  <c r="C44" i="68" s="1"/>
  <c r="D41" i="68" s="1"/>
  <c r="F25" i="12"/>
  <c r="C26" i="12" s="1"/>
  <c r="D25" i="12" s="1"/>
  <c r="F22" i="11"/>
  <c r="C24" i="11"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E38" i="43" l="1"/>
  <c r="E40" i="43"/>
  <c r="C44" i="69"/>
  <c r="D41" i="69" s="1"/>
  <c r="C25" i="11"/>
  <c r="C26" i="11"/>
  <c r="D22" i="11" s="1"/>
  <c r="C23" i="11"/>
  <c r="C26" i="68"/>
  <c r="D22" i="68" s="1"/>
  <c r="C23" i="68"/>
  <c r="F41" i="68"/>
  <c r="C44" i="11"/>
  <c r="D41" i="11"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K65" i="40"/>
  <c r="L63" i="40"/>
  <c r="D19" i="9"/>
  <c r="I53" i="21" l="1"/>
  <c r="J53" i="21" s="1"/>
  <c r="D102" i="9"/>
  <c r="D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20" i="9"/>
  <c r="D103" i="9" l="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102" i="9" l="1"/>
  <c r="C21" i="9"/>
  <c r="D22" i="9"/>
  <c r="G19" i="9"/>
  <c r="G21" i="9" s="1"/>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C20" i="9"/>
  <c r="D2" i="34"/>
  <c r="C103" i="9" l="1"/>
  <c r="G20"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1" i="1"/>
  <c r="AO12" i="1"/>
  <c r="AO6" i="1"/>
  <c r="AO10" i="1"/>
  <c r="AO7" i="1"/>
  <c r="C32" i="9" l="1"/>
  <c r="C35" i="9" s="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F118" i="9" s="1"/>
  <c r="I118" i="9"/>
  <c r="I4" i="52" s="1"/>
  <c r="F4" i="52" l="1"/>
  <c r="B51" i="72" s="1"/>
  <c r="F119" i="9"/>
  <c r="F5" i="52" s="1"/>
  <c r="B53" i="72" s="1"/>
  <c r="H102" i="9"/>
  <c r="E118" i="9"/>
  <c r="G4" i="52"/>
  <c r="B52" i="72" s="1"/>
  <c r="C105" i="9"/>
  <c r="H118" i="9"/>
  <c r="D118" i="9" l="1"/>
  <c r="E4" i="52"/>
  <c r="B48" i="72" s="1"/>
  <c r="H4" i="52"/>
  <c r="H101" i="9"/>
  <c r="H119" i="9"/>
  <c r="H5" i="52" s="1"/>
  <c r="C104" i="9"/>
  <c r="C5" i="74"/>
  <c r="D7" i="53"/>
  <c r="B21" i="72" s="1"/>
  <c r="D5" i="53" l="1"/>
  <c r="H107" i="9"/>
  <c r="M48" i="9"/>
  <c r="D45" i="9"/>
  <c r="D4" i="52"/>
  <c r="B47" i="72" s="1"/>
  <c r="D119" i="9"/>
  <c r="D5" i="52" s="1"/>
  <c r="B49" i="72" s="1"/>
  <c r="D55" i="9" l="1"/>
  <c r="M53" i="9" s="1"/>
  <c r="C64" i="9"/>
  <c r="C63" i="9" s="1"/>
  <c r="C67" i="9" s="1"/>
  <c r="D53" i="9"/>
  <c r="D52" i="9"/>
  <c r="C72" i="9"/>
  <c r="C93" i="9"/>
  <c r="C86" i="9" s="1"/>
  <c r="C78" i="9"/>
  <c r="C73" i="9" s="1"/>
  <c r="C85" i="9"/>
  <c r="H108" i="9"/>
  <c r="D13" i="53"/>
  <c r="D122" i="9"/>
  <c r="M49" i="9"/>
  <c r="D6" i="53"/>
  <c r="B22" i="72" s="1"/>
  <c r="B20" i="72"/>
  <c r="C79" i="9" l="1"/>
  <c r="C80" i="9" s="1"/>
  <c r="E80" i="9" s="1"/>
  <c r="E81" i="9" s="1"/>
  <c r="L65" i="9"/>
  <c r="M65" i="9" s="1"/>
  <c r="L67" i="9"/>
  <c r="M67" i="9" s="1"/>
  <c r="L66" i="9"/>
  <c r="M66" i="9" s="1"/>
  <c r="L64" i="9"/>
  <c r="M64" i="9" s="1"/>
  <c r="L63" i="9"/>
  <c r="M63" i="9" s="1"/>
  <c r="L68" i="9"/>
  <c r="M68" i="9" s="1"/>
  <c r="C95" i="9"/>
  <c r="C6" i="74"/>
  <c r="D15" i="53"/>
  <c r="B31" i="72" s="1"/>
  <c r="D123" i="9"/>
  <c r="D9" i="52" s="1"/>
  <c r="D8" i="52"/>
  <c r="B30" i="72"/>
  <c r="D14" i="53"/>
  <c r="B32" i="72" s="1"/>
  <c r="C68" i="9"/>
  <c r="D54" i="9" s="1"/>
  <c r="D59" i="9"/>
  <c r="M55" i="9" s="1"/>
  <c r="C96" i="9" l="1"/>
  <c r="E96" i="9" s="1"/>
  <c r="E97" i="9" s="1"/>
  <c r="M69" i="9"/>
  <c r="N69" i="9" s="1"/>
  <c r="C81" i="9"/>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<sst xmlns="http://schemas.openxmlformats.org/spreadsheetml/2006/main" count="7883" uniqueCount="3456">
  <si>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</si>
  <si>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</si>
  <si>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</si>
  <si>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</si>
  <si>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</si>
  <si>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</si>
  <si>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</si>
  <si>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</si>
  <si>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</si>
  <si>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</si>
  <si>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</si>
  <si>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</si>
  <si>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</si>
  <si>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</si>
  <si>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</si>
  <si>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</si>
  <si>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</si>
  <si>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</si>
  <si>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</si>
  <si>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</si>
  <si>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</si>
  <si>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</si>
  <si>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</si>
  <si>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</si>
  <si>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</si>
  <si>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</si>
  <si>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</si>
  <si>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</si>
  <si>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</si>
  <si>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</si>
  <si>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</si>
  <si>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</si>
  <si>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</si>
  <si>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</si>
  <si>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</si>
  <si>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</si>
  <si>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</si>
  <si>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</si>
  <si>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</si>
  <si>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</si>
  <si>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</si>
  <si>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</si>
  <si>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</si>
  <si>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</si>
  <si>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</si>
  <si>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</si>
  <si>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</si>
  <si>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</si>
  <si>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</si>
  <si>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</si>
  <si>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</si>
  <si>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</si>
  <si>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</si>
  <si>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</si>
  <si>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</si>
  <si>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</si>
  <si>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</si>
  <si>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</si>
  <si>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</si>
  <si>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</si>
  <si>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</si>
  <si>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</si>
  <si>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</si>
  <si>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</si>
  <si>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</si>
  <si>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</si>
  <si>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</si>
  <si>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</si>
  <si>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</si>
  <si>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</si>
  <si>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</si>
  <si>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</si>
  <si>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</si>
  <si>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</si>
  <si>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</si>
  <si>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</si>
  <si>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</si>
  <si>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</si>
  <si>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</si>
  <si>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</si>
  <si>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</si>
  <si>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</si>
  <si>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</si>
  <si>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</si>
  <si>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</si>
  <si>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</si>
  <si>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</si>
  <si>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</si>
  <si>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</si>
  <si>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</si>
  <si>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</si>
  <si>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</si>
  <si>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</si>
  <si>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</si>
  <si>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</si>
  <si>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</si>
  <si>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</si>
  <si>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</si>
  <si>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</si>
  <si>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</si>
  <si>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</si>
  <si>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</si>
  <si>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</si>
  <si>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</si>
  <si>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</si>
  <si>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</si>
  <si>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</si>
  <si>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</si>
  <si>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</si>
  <si>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</si>
  <si>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</si>
  <si>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</si>
  <si>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</si>
  <si>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</si>
  <si>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</si>
  <si>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</si>
  <si>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</si>
  <si>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</si>
  <si>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</si>
  <si>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</si>
  <si>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</si>
  <si>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</si>
  <si>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</si>
  <si>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</si>
  <si>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</si>
  <si>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</si>
  <si>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</si>
  <si>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</si>
  <si>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</si>
  <si>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</si>
  <si>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</si>
  <si>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</si>
  <si>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</si>
  <si>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</si>
  <si>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</si>
  <si>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</si>
  <si>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</si>
  <si>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</si>
  <si>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</si>
  <si>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</si>
  <si>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</si>
  <si>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</si>
  <si>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</si>
  <si>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</si>
  <si>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</si>
  <si>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</si>
  <si>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</si>
  <si>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</si>
  <si>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</si>
  <si>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</si>
  <si>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</si>
  <si>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</si>
  <si>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</si>
  <si>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</si>
  <si>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</si>
  <si>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</si>
  <si>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</si>
  <si>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</si>
  <si>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</si>
  <si>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</si>
  <si>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</si>
  <si>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</si>
  <si>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</si>
  <si>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</si>
  <si>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</si>
  <si>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</si>
  <si>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</si>
  <si>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</si>
  <si>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</si>
  <si>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</si>
  <si>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</si>
  <si>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</si>
  <si>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</si>
  <si>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</si>
  <si>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</si>
  <si>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</si>
  <si>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</si>
  <si>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</si>
  <si>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</si>
  <si>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</si>
  <si>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</si>
  <si>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</si>
  <si>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</si>
  <si>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</si>
  <si>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</si>
  <si>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</si>
  <si>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</si>
  <si>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</si>
  <si>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</si>
  <si>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</si>
  <si>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</si>
  <si>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</si>
  <si>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</si>
  <si>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</si>
  <si>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</si>
  <si>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</si>
  <si>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</si>
  <si>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</si>
  <si>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</si>
  <si>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</si>
  <si>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</si>
  <si>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</si>
  <si>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</si>
  <si>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</si>
  <si>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</si>
  <si>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</si>
  <si>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</si>
  <si>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</si>
  <si>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</si>
  <si>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</si>
  <si>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</si>
  <si>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</si>
  <si>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</si>
  <si>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</si>
  <si>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</si>
  <si>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</si>
  <si>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</si>
  <si>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</si>
  <si>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</si>
  <si>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</si>
  <si>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</si>
  <si>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</si>
  <si>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</si>
  <si>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</si>
  <si>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</si>
  <si>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</si>
  <si>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</si>
  <si>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</si>
  <si>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</si>
  <si>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</si>
  <si>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</si>
  <si>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</si>
  <si>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</si>
  <si>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</si>
  <si>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</si>
  <si>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</si>
  <si>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</si>
  <si>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</si>
  <si>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</si>
  <si>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</si>
  <si>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</si>
  <si>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</si>
  <si>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</si>
  <si>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</si>
  <si>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</si>
  <si>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</si>
  <si>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</si>
  <si>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</si>
  <si>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</si>
  <si>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</si>
  <si>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</si>
  <si>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</si>
  <si>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</si>
  <si>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</si>
  <si>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</si>
  <si>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</si>
  <si>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</si>
  <si>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</si>
  <si>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</si>
  <si>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</si>
  <si>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</si>
  <si>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</si>
  <si>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</si>
  <si>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</si>
  <si>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</si>
  <si>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</si>
  <si>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</si>
  <si>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</si>
  <si>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</si>
  <si>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</si>
  <si>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</si>
  <si>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</si>
  <si>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</si>
  <si>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</si>
  <si>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</si>
  <si>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</si>
  <si>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</si>
  <si>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</si>
  <si>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</si>
  <si>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</si>
  <si>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</si>
  <si>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</si>
  <si>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</si>
  <si>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</si>
  <si>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</si>
  <si>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</si>
  <si>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</si>
  <si>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</si>
  <si>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</si>
  <si>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</si>
  <si>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</si>
  <si>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</si>
  <si>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</si>
  <si>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</si>
  <si>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</si>
  <si>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</si>
  <si>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</si>
  <si>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</si>
  <si>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</si>
  <si>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</si>
  <si>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</si>
  <si>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</si>
  <si>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</si>
  <si>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</si>
  <si>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</si>
  <si>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</si>
  <si>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</si>
  <si>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</si>
  <si>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</si>
  <si>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</si>
  <si>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</si>
  <si>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</si>
  <si>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</si>
  <si>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</si>
  <si>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</si>
  <si>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</si>
  <si>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</si>
  <si>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</si>
  <si>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</si>
  <si>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</si>
  <si>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</si>
  <si>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</si>
  <si>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</si>
  <si>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</si>
  <si>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</si>
  <si>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</si>
  <si>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</si>
  <si>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</si>
  <si>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</si>
  <si>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</si>
  <si>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</si>
  <si>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</si>
  <si>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</si>
  <si>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</si>
  <si>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</si>
  <si>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</si>
  <si>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</si>
  <si>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</si>
  <si>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</si>
  <si>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</si>
  <si>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</si>
  <si>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</si>
  <si>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</si>
  <si>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</si>
  <si>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</si>
  <si>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</si>
  <si>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</si>
  <si>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</si>
  <si>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</si>
  <si>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</si>
  <si>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</si>
  <si>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</si>
  <si>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</si>
  <si>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</si>
  <si>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</si>
  <si>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</si>
  <si>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</si>
  <si>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</si>
  <si>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</si>
  <si>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</si>
  <si>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</si>
  <si>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</si>
  <si>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</si>
  <si>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</si>
  <si>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</si>
  <si>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</si>
  <si>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</si>
  <si>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</si>
  <si>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</si>
  <si>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</si>
  <si>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</si>
  <si>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</si>
  <si>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</si>
  <si>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</si>
  <si>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</si>
  <si>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</si>
  <si>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</si>
  <si>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</si>
  <si>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</si>
  <si>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</si>
  <si>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</si>
  <si>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</si>
  <si>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</si>
  <si>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</si>
  <si>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</si>
  <si>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</si>
  <si>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</si>
  <si>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</si>
  <si>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</si>
  <si>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</si>
  <si>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</si>
  <si>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</si>
  <si>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</si>
  <si>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</si>
  <si>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</si>
  <si>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</si>
  <si>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</si>
  <si>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</si>
  <si>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</si>
  <si>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</si>
  <si>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</si>
  <si>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</si>
  <si>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</si>
  <si>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</si>
  <si>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</si>
  <si>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</si>
  <si>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</si>
  <si>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</si>
  <si>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</si>
  <si>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</si>
  <si>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</si>
  <si>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</si>
  <si>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</si>
  <si>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</si>
  <si>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</si>
  <si>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</si>
  <si>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</si>
  <si>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</si>
  <si>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</si>
  <si>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</si>
  <si>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</si>
  <si>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</si>
  <si>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</si>
  <si>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</si>
  <si>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</si>
  <si>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</si>
  <si>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</si>
  <si>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</si>
  <si>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</si>
  <si>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</si>
  <si>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</si>
  <si>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</si>
  <si>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</si>
  <si>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</si>
  <si>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</si>
  <si>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</si>
  <si>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</si>
  <si>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</si>
  <si>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</si>
  <si>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</si>
  <si>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</si>
  <si>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</si>
  <si>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</si>
  <si>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</si>
  <si>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</si>
  <si>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</si>
  <si>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</si>
  <si>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</si>
  <si>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</si>
  <si>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</si>
  <si>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</si>
  <si>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</si>
  <si>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</si>
  <si>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</si>
  <si>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</si>
  <si>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</si>
  <si>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</si>
  <si>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</si>
  <si>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</si>
  <si>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</si>
  <si>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</si>
  <si>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</si>
  <si>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</si>
  <si>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</si>
  <si>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</si>
  <si>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</si>
  <si>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</si>
  <si>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</si>
  <si>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</si>
  <si>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</si>
  <si>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</si>
  <si>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</si>
  <si>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</si>
  <si>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</si>
  <si>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</si>
  <si>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</si>
  <si>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</si>
  <si>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</si>
  <si>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</si>
  <si>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</si>
  <si>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</si>
  <si>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</si>
  <si>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</si>
  <si>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</si>
  <si>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</si>
  <si>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</si>
  <si>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</si>
  <si>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</si>
  <si>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</si>
  <si>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</si>
  <si>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</si>
  <si>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</si>
  <si>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</si>
  <si>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</si>
  <si>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</si>
  <si>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</si>
  <si>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</si>
  <si>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</si>
  <si>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</si>
  <si>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</si>
  <si>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</si>
  <si>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</si>
  <si>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</si>
  <si>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</si>
  <si>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</si>
  <si>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</si>
  <si>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</si>
  <si>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</si>
  <si>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</si>
  <si>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</si>
  <si>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</si>
  <si>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</si>
  <si>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</si>
  <si>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</si>
  <si>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</si>
  <si>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</si>
  <si>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</si>
  <si>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</si>
  <si>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</si>
  <si>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</si>
  <si>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</si>
  <si>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</si>
  <si>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</si>
  <si>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</si>
  <si>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</si>
  <si>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</si>
  <si>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</si>
  <si>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</si>
  <si>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</si>
  <si>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</si>
  <si>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</si>
  <si>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</si>
  <si>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</si>
  <si>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</si>
  <si>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</si>
  <si>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</si>
  <si>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</si>
  <si>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</si>
  <si>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</si>
  <si>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</si>
  <si>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</si>
  <si>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</si>
  <si>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</si>
  <si>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</si>
  <si>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</si>
  <si>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</si>
  <si>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</si>
  <si>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</si>
  <si>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</si>
  <si>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</si>
  <si>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</si>
  <si>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</si>
  <si>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</si>
  <si>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</si>
  <si>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</si>
  <si>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</si>
  <si>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</si>
  <si>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</si>
  <si>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</si>
  <si>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</si>
  <si>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</si>
  <si>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</si>
  <si>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</si>
  <si>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</si>
  <si>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</si>
  <si>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</si>
  <si>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</si>
  <si>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</si>
  <si>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</si>
  <si>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</si>
  <si>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</si>
  <si>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</si>
  <si>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</si>
  <si>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</si>
  <si>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</si>
  <si>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</si>
  <si>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</si>
  <si>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</si>
  <si>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</si>
  <si>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</si>
  <si>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</si>
  <si>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</si>
  <si>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</si>
  <si>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</si>
  <si>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</si>
  <si>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</si>
  <si>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</si>
  <si>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</si>
  <si>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</si>
  <si>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</si>
  <si>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</si>
  <si>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</si>
  <si>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</si>
  <si>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</si>
  <si>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</si>
  <si>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</si>
  <si>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</si>
  <si>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</si>
  <si>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</si>
  <si>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</si>
  <si>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</si>
  <si>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</si>
  <si>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</si>
  <si>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</si>
  <si>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</si>
  <si>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</si>
  <si>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</si>
  <si>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</si>
  <si>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</si>
  <si>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</si>
  <si>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</si>
  <si>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</si>
  <si>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</si>
  <si>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</si>
  <si>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</si>
  <si>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</si>
  <si>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</si>
  <si>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</si>
  <si>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</si>
  <si>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</si>
  <si>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</si>
  <si>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</si>
  <si>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</si>
  <si>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</si>
  <si>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</si>
  <si>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</si>
  <si>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</si>
  <si>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</si>
  <si>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</si>
  <si>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</si>
  <si>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</si>
  <si>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</si>
  <si>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</si>
  <si>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</si>
  <si>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</si>
  <si>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</si>
  <si>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</si>
  <si>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</si>
  <si>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</si>
  <si>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</si>
  <si>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</si>
  <si>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</si>
  <si>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</si>
  <si>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</si>
  <si>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</si>
  <si>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</si>
  <si>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</si>
  <si>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</si>
  <si>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</si>
  <si>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</si>
  <si>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</si>
  <si>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</si>
  <si>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</si>
  <si>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</si>
  <si>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</si>
  <si>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</si>
  <si>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</si>
  <si>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</si>
  <si>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</si>
  <si>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</si>
  <si>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</si>
  <si>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</si>
  <si>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</si>
  <si>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</si>
  <si>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</si>
  <si>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</si>
  <si>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</si>
  <si>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</si>
  <si>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</si>
  <si>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</si>
  <si>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</si>
  <si>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</si>
  <si>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</si>
  <si>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</si>
  <si>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</si>
  <si>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</si>
  <si>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</si>
  <si>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</si>
  <si>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</si>
  <si>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</si>
  <si>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</si>
  <si>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</si>
  <si>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</si>
  <si>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</si>
  <si>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</si>
  <si>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</si>
  <si>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</si>
  <si>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</si>
  <si>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</si>
  <si>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</si>
  <si>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</si>
  <si>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</si>
  <si>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</si>
  <si>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</si>
  <si>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</si>
  <si>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</si>
  <si>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</si>
  <si>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</si>
  <si>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</si>
  <si>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</si>
  <si>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</si>
  <si>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</si>
  <si>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</si>
  <si>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</si>
  <si>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</si>
  <si>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</si>
  <si>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</si>
  <si>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</si>
  <si>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</si>
  <si>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</si>
  <si>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</si>
  <si>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</si>
  <si>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</si>
  <si>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</si>
  <si>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</si>
  <si>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</si>
  <si>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</si>
  <si>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</si>
  <si>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</si>
  <si>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</si>
  <si>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</si>
  <si>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</si>
  <si>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</si>
  <si>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</si>
  <si>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</si>
  <si>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</si>
  <si>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</si>
  <si>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</si>
  <si>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</si>
  <si>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</si>
  <si>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</si>
  <si>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</si>
  <si>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</si>
  <si>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</si>
  <si>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</si>
  <si>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</si>
  <si>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</si>
  <si>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</si>
  <si>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</si>
  <si>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</si>
  <si>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</si>
  <si>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</si>
  <si>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</si>
  <si>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</si>
  <si>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</si>
  <si>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</si>
  <si>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</si>
  <si>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</si>
  <si>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</si>
  <si>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</si>
  <si>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</si>
  <si>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</si>
  <si>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</si>
  <si>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</si>
  <si>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</si>
  <si>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</si>
  <si>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</si>
  <si>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</si>
  <si>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</si>
  <si>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</si>
  <si>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</si>
  <si>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</si>
  <si>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</si>
  <si>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</si>
  <si>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</si>
  <si>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</si>
  <si>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</si>
  <si>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</si>
  <si>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</si>
  <si>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</si>
  <si>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</si>
  <si>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</si>
  <si>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</si>
  <si>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</si>
  <si>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</si>
  <si>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</si>
  <si>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</si>
  <si>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</si>
  <si>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</si>
  <si>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</si>
  <si>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</si>
  <si>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</si>
  <si>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</si>
  <si>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</si>
  <si>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</si>
  <si>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</si>
  <si>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</si>
  <si>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</si>
  <si>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</si>
  <si>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</si>
  <si>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</si>
  <si>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</si>
  <si>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</si>
  <si>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</si>
  <si>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</si>
  <si>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</si>
  <si>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</si>
  <si>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</si>
  <si>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</si>
  <si>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</si>
  <si>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</si>
  <si>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</si>
  <si>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</si>
  <si>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</si>
  <si>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</si>
  <si>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</si>
  <si>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</si>
  <si>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</si>
  <si>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</si>
  <si>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</si>
  <si>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</si>
  <si>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</si>
  <si>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</si>
  <si>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</si>
  <si>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</si>
  <si>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</si>
  <si>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</si>
  <si>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</si>
  <si>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</si>
  <si>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</si>
  <si>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</si>
  <si>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</si>
  <si>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</si>
  <si>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</si>
  <si>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</si>
  <si>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</si>
  <si>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</si>
  <si>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</si>
  <si>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</si>
  <si>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</si>
  <si>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</si>
  <si>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</si>
  <si>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</si>
  <si>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</si>
  <si>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</si>
  <si>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</si>
  <si>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</si>
  <si>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</si>
  <si>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</si>
  <si>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</si>
  <si>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</si>
  <si>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</si>
  <si>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</si>
  <si>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</si>
  <si>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</si>
  <si>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</si>
  <si>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</si>
  <si>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</si>
  <si>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</si>
  <si>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</si>
  <si>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</si>
  <si>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</si>
  <si>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</si>
  <si>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</si>
  <si>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</si>
  <si>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</si>
  <si>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</si>
  <si>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</si>
  <si>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</si>
  <si>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</si>
  <si>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</si>
  <si>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</si>
  <si>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</si>
  <si>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</si>
  <si>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</si>
  <si>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</si>
  <si>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</si>
  <si>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</si>
  <si>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</si>
  <si>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</si>
  <si>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</si>
  <si>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</si>
  <si>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</si>
  <si>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</si>
  <si>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</si>
  <si>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</si>
  <si>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</si>
  <si>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</si>
  <si>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</si>
  <si>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</si>
  <si>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</si>
  <si>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</si>
  <si>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</si>
  <si>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</si>
  <si>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</si>
  <si>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</si>
  <si>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</si>
  <si>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</si>
  <si>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</si>
  <si>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</si>
  <si>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</si>
  <si>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</si>
  <si>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</si>
  <si>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</si>
  <si>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</si>
  <si>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</si>
  <si>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</si>
  <si>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</si>
  <si>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</si>
  <si>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</si>
  <si>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</si>
  <si>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</si>
  <si>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</si>
  <si>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</si>
  <si>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</si>
  <si>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</si>
  <si>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</si>
  <si>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</si>
  <si>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</si>
  <si>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</si>
  <si>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</si>
  <si>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</si>
  <si>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</si>
  <si>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</si>
  <si>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</si>
  <si>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</si>
  <si>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</si>
  <si>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</si>
  <si>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</si>
  <si>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</si>
  <si>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</si>
  <si>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</si>
  <si>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</si>
  <si>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</si>
  <si>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</si>
  <si>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</si>
  <si>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</si>
  <si>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</si>
  <si>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</si>
  <si>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</si>
  <si>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</si>
  <si>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</si>
  <si>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</si>
  <si>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</si>
  <si>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</si>
  <si>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</si>
  <si>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</si>
  <si>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</si>
  <si>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</si>
  <si>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</si>
  <si>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</si>
  <si>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</si>
  <si>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</si>
  <si>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</si>
  <si>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</si>
  <si>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</si>
  <si>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</si>
  <si>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</si>
  <si>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</si>
  <si>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</si>
  <si>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</si>
  <si>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</si>
  <si>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</si>
  <si>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</si>
  <si>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</si>
  <si>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</si>
  <si>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</si>
  <si>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</si>
  <si>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</si>
  <si>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</si>
  <si>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</si>
  <si>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</si>
  <si>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</si>
  <si>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</si>
  <si>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</si>
  <si>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</si>
  <si>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</si>
  <si>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</si>
  <si>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</si>
  <si>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</si>
  <si>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</si>
  <si>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</si>
  <si>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</si>
  <si>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</si>
  <si>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</si>
  <si>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</si>
  <si>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</si>
  <si>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</si>
  <si>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</si>
  <si>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</si>
  <si>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</si>
  <si>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</si>
  <si>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</si>
  <si>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</si>
  <si>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</si>
  <si>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</si>
  <si>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</si>
  <si>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</si>
  <si>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</si>
  <si>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</si>
  <si>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</si>
  <si>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</si>
  <si>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</si>
  <si>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</si>
  <si>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</si>
  <si>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</si>
  <si>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</si>
  <si>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</si>
  <si>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</si>
  <si>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</si>
  <si>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</si>
  <si>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</si>
  <si>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</si>
  <si>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</si>
  <si>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</si>
  <si>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</si>
  <si>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</si>
  <si>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</si>
  <si>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</si>
  <si>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</si>
  <si>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</si>
  <si>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</si>
  <si>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</si>
  <si>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</si>
  <si>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</si>
  <si>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</si>
  <si>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</si>
  <si>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</si>
  <si>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</si>
  <si>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</si>
  <si>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</si>
  <si>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</si>
  <si>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</si>
  <si>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</si>
  <si>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</si>
  <si>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</si>
  <si>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</si>
  <si>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</si>
  <si>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</si>
  <si>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</si>
  <si>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</si>
  <si>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</si>
  <si>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</si>
  <si>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</si>
  <si>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</si>
  <si>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</si>
  <si>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</si>
  <si>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</si>
  <si>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</si>
  <si>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</si>
  <si>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</si>
  <si>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</si>
  <si>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</si>
  <si>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</si>
  <si>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</si>
  <si>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</si>
  <si>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</si>
  <si>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</si>
  <si>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</si>
  <si>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</si>
  <si>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</si>
  <si>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</si>
  <si>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</si>
  <si>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</si>
  <si>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</si>
  <si>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</si>
  <si>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</si>
  <si>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</si>
  <si>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</si>
  <si>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</si>
  <si>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</si>
  <si>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</si>
  <si>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</si>
  <si>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</si>
  <si>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</si>
  <si>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</si>
  <si>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</si>
  <si>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</si>
  <si>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</si>
  <si>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</si>
  <si>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</si>
  <si>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</si>
  <si>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</si>
  <si>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</si>
  <si>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</si>
  <si>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</si>
  <si>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</si>
  <si>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</si>
  <si>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</si>
  <si>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</si>
  <si>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</si>
  <si>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</si>
  <si>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</si>
  <si>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</si>
  <si>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</si>
  <si>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</si>
  <si>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</si>
  <si>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</si>
  <si>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</si>
  <si>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</si>
  <si>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</si>
  <si>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</si>
  <si>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</si>
  <si>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</si>
  <si>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</si>
  <si>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</si>
  <si>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</si>
  <si>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</si>
  <si>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</si>
  <si>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</si>
  <si>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</si>
  <si>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</si>
  <si>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</si>
  <si>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</si>
  <si>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</si>
  <si>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</si>
  <si>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</si>
  <si>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</si>
  <si>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</si>
  <si>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</si>
  <si>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</si>
  <si>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</si>
  <si>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</si>
  <si>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</si>
  <si>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</si>
  <si>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</si>
  <si>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</si>
  <si>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</si>
  <si>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</si>
  <si>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</si>
  <si>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</si>
  <si>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</si>
  <si>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</si>
  <si>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</si>
  <si>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</si>
  <si>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</si>
  <si>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</si>
  <si>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</si>
  <si>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</si>
  <si>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</si>
  <si>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</si>
  <si>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</si>
  <si>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</si>
  <si>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</si>
  <si>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</si>
  <si>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</si>
  <si>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</si>
  <si>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</si>
  <si>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</si>
  <si>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</si>
  <si>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</si>
  <si>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</si>
  <si>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</si>
  <si>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</si>
  <si>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</si>
  <si>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</si>
  <si>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</si>
  <si>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</si>
  <si>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</si>
  <si>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</si>
  <si>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</si>
  <si>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</si>
  <si>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</si>
  <si>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</si>
  <si>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</si>
  <si>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</si>
  <si>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</si>
  <si>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</si>
  <si>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</si>
  <si>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</si>
  <si>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</si>
  <si>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</si>
  <si>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</si>
  <si>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</si>
  <si>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</si>
  <si>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</si>
  <si>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</si>
  <si>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</si>
  <si>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</si>
  <si>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</si>
  <si>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</si>
  <si>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</si>
  <si>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</si>
  <si>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</si>
  <si>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</si>
  <si>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</si>
  <si>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</si>
  <si>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</si>
  <si>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</si>
  <si>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</si>
  <si>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</si>
  <si>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</si>
  <si>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</si>
  <si>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</si>
  <si>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</si>
  <si>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</si>
  <si>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</si>
  <si>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</si>
  <si>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</si>
  <si>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</si>
  <si>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</si>
  <si>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</si>
  <si>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</si>
  <si>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</si>
  <si>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</si>
  <si>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</si>
  <si>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</si>
  <si>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</si>
  <si>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</si>
  <si>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</si>
  <si>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</si>
  <si>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</si>
  <si>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</si>
  <si>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</si>
  <si>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</si>
  <si>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</si>
  <si>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</si>
  <si>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</si>
  <si>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</si>
  <si>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</si>
  <si>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</si>
  <si>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</si>
  <si>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</si>
  <si>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</si>
  <si>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</si>
  <si>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</si>
  <si>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</si>
  <si>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</si>
  <si>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</si>
  <si>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</si>
  <si>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</si>
  <si>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</si>
  <si>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</si>
  <si>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</si>
  <si>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</si>
  <si>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</si>
  <si>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</si>
  <si>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</si>
  <si>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</si>
  <si>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</si>
  <si>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</si>
  <si>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</si>
  <si>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</si>
  <si>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</si>
  <si>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</si>
  <si>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</si>
  <si>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</si>
  <si>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</si>
  <si>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</si>
  <si>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</si>
  <si>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</si>
  <si>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</si>
  <si>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</si>
  <si>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</si>
  <si>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</si>
  <si>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</si>
  <si>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</si>
  <si>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</si>
  <si>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</si>
  <si>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</si>
  <si>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</si>
  <si>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</si>
  <si>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</si>
  <si>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</si>
  <si>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</si>
  <si>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</si>
  <si>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</si>
  <si>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</si>
  <si>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</si>
  <si>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</si>
  <si>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</si>
  <si>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</si>
  <si>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</si>
  <si>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</si>
  <si>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</si>
  <si>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</si>
  <si>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</si>
  <si>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</si>
  <si>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</si>
  <si>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</si>
  <si>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</si>
  <si>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</si>
  <si>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</si>
  <si>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</si>
  <si>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</si>
  <si>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</si>
  <si>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</si>
  <si>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</si>
  <si>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</si>
  <si>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</si>
  <si>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</si>
  <si>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</si>
  <si>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</si>
  <si>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</si>
  <si>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</si>
  <si>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</si>
  <si>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</si>
  <si>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</si>
  <si>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</si>
  <si>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</si>
  <si>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</si>
  <si>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</si>
  <si>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</si>
  <si>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</si>
  <si>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</si>
  <si>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</si>
  <si>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</si>
  <si>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</si>
  <si>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</si>
  <si>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</si>
  <si>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</si>
  <si>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</si>
  <si>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</si>
  <si>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</si>
  <si>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</si>
  <si>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</si>
  <si>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</si>
  <si>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</si>
  <si>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</si>
  <si>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</si>
  <si>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</si>
  <si>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</si>
  <si>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</si>
  <si>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</si>
  <si>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</si>
  <si>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</si>
  <si>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</si>
  <si>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</si>
  <si>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</si>
  <si>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</si>
  <si>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</si>
  <si>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</si>
  <si>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</si>
  <si>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</si>
  <si>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</si>
  <si>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</si>
  <si>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</si>
  <si>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</si>
  <si>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</si>
  <si>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</si>
  <si>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</si>
  <si>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</si>
  <si>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</si>
  <si>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</si>
  <si>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</si>
  <si>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</si>
  <si>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</si>
  <si>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</si>
  <si>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</si>
  <si>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</si>
  <si>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</si>
  <si>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</si>
  <si>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</si>
  <si>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</si>
  <si>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</si>
  <si>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</si>
  <si>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</si>
  <si>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</si>
  <si>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</si>
  <si>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</si>
  <si>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</si>
  <si>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</si>
  <si>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</si>
  <si>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</si>
  <si>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</si>
  <si>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</si>
  <si>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</si>
  <si>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</si>
  <si>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</si>
  <si>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</si>
  <si>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</si>
  <si>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</si>
  <si>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</si>
  <si>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</si>
  <si>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</si>
  <si>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</si>
  <si>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</si>
  <si>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</si>
  <si>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</si>
  <si>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</si>
  <si>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</si>
  <si>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</si>
  <si>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</si>
  <si>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</si>
  <si>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</si>
  <si>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</si>
  <si>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</si>
  <si>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</si>
  <si>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</si>
  <si>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</si>
  <si>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</si>
  <si>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</si>
  <si>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</si>
  <si>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</si>
  <si>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</si>
  <si>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</si>
  <si>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</si>
  <si>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</si>
  <si>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</si>
  <si>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</si>
  <si>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</si>
  <si>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</si>
  <si>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</si>
  <si>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</si>
  <si>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</si>
  <si>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</si>
  <si>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</si>
  <si>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</si>
  <si>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</si>
  <si>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</si>
  <si>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</si>
  <si>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</si>
  <si>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</si>
  <si>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</si>
  <si>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</si>
  <si>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</si>
  <si>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</si>
  <si>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</si>
  <si>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</si>
  <si>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</si>
  <si>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</si>
  <si>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</si>
  <si>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</si>
  <si>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</si>
  <si>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</si>
  <si>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</si>
  <si>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</si>
  <si>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</si>
  <si>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</si>
  <si>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</si>
  <si>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</si>
  <si>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</si>
  <si>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</si>
  <si>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</si>
  <si>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</si>
  <si>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</si>
  <si>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</si>
  <si>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</si>
  <si>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</si>
  <si>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</si>
  <si>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</si>
  <si>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</si>
  <si>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</si>
  <si>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</si>
  <si>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</si>
  <si>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</si>
  <si>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</si>
  <si>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</si>
  <si>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</si>
  <si>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</si>
  <si>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</si>
  <si>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</si>
  <si>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</si>
  <si>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</si>
  <si>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</si>
  <si>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</si>
  <si>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</si>
  <si>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</si>
  <si>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</si>
  <si>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</si>
  <si>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</si>
  <si>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</si>
  <si>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</si>
  <si>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</si>
  <si>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</si>
  <si>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</si>
  <si>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</si>
  <si>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</si>
  <si>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</si>
  <si>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</si>
  <si>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</si>
  <si>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</si>
  <si>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</si>
  <si>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</si>
  <si>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</si>
  <si>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</si>
  <si>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</si>
  <si>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</si>
  <si>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</si>
  <si>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</si>
  <si>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</si>
  <si>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</si>
  <si>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</si>
  <si>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</si>
  <si>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</si>
  <si>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</si>
  <si>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</si>
  <si>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</si>
  <si>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</si>
  <si>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</si>
  <si>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</si>
  <si>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</si>
  <si>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</si>
  <si>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</si>
  <si>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</si>
  <si>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</si>
  <si>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</si>
  <si>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</si>
  <si>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</si>
  <si>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</si>
  <si>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</si>
  <si>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</si>
  <si>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</si>
  <si>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</si>
  <si>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</si>
  <si>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</si>
  <si>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</si>
  <si>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</si>
  <si>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</si>
  <si>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</si>
  <si>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</si>
  <si>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</si>
  <si>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</si>
  <si>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</si>
  <si>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</si>
  <si>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</si>
  <si>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</si>
  <si>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</si>
  <si>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</si>
  <si>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</si>
  <si>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</si>
  <si>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</si>
  <si>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</si>
  <si>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</si>
  <si>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</si>
  <si>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</si>
  <si>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</si>
  <si>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</si>
  <si>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</si>
  <si>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</si>
  <si>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</si>
  <si>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</si>
  <si>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</si>
  <si>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</si>
  <si>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</si>
  <si>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</si>
  <si>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</si>
  <si>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</si>
  <si>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</si>
  <si>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</si>
  <si>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</si>
  <si>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</si>
  <si>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</si>
  <si>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</si>
  <si>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</si>
  <si>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</si>
  <si>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</si>
  <si>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</si>
  <si>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</si>
  <si>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</si>
  <si>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</si>
  <si>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</si>
  <si>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</si>
  <si>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</si>
  <si>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</si>
  <si>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</si>
  <si>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</si>
  <si>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</si>
  <si>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</si>
  <si>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</si>
  <si>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</si>
  <si>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</si>
  <si>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</si>
  <si>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</si>
  <si>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</si>
  <si>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</si>
  <si>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</si>
  <si>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</si>
  <si>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</si>
  <si>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</si>
  <si>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</si>
  <si>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</si>
  <si>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</si>
  <si>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</si>
  <si>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</si>
  <si>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</si>
  <si>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</si>
  <si>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</si>
  <si>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</si>
  <si>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</si>
  <si>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</si>
  <si>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</si>
  <si>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</si>
  <si>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</si>
  <si>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</si>
  <si>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</si>
  <si>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</si>
  <si>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</si>
  <si>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</si>
  <si>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</si>
  <si>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</si>
  <si>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</si>
  <si>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</si>
  <si>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</si>
  <si>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</si>
  <si>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</si>
  <si>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</si>
  <si>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</si>
  <si>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</si>
  <si>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</si>
  <si>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</si>
  <si>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</si>
  <si>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</si>
  <si>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</si>
  <si>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</si>
  <si>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</si>
  <si>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</si>
  <si>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</si>
  <si>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</si>
  <si>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</si>
  <si>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</si>
  <si>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</si>
  <si>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</si>
  <si>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</si>
  <si>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</si>
  <si>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</si>
  <si>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</si>
  <si>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</si>
  <si>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</si>
  <si>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</si>
  <si>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</si>
  <si>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</si>
  <si>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</si>
  <si>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</si>
  <si>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</si>
  <si>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</si>
  <si>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</si>
  <si>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</si>
  <si>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</si>
  <si>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</si>
  <si>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</si>
  <si>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</si>
  <si>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</si>
  <si>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</si>
  <si>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</si>
  <si>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</si>
  <si>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</si>
  <si>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</si>
  <si>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</si>
  <si>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</si>
  <si>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</si>
  <si>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</si>
  <si>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</si>
  <si>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</si>
  <si>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</si>
  <si>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</si>
  <si>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</si>
  <si>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</si>
  <si>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</si>
  <si>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</si>
  <si>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</si>
  <si>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</si>
  <si>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</si>
  <si>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</si>
  <si>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</si>
  <si>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</si>
  <si>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</si>
  <si>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</si>
  <si>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</si>
  <si>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</si>
  <si>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</si>
  <si>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</si>
  <si>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</si>
  <si>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</si>
  <si>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</si>
  <si>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</si>
  <si>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</si>
  <si>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</si>
  <si>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</si>
  <si>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</si>
  <si>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</si>
  <si>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</si>
  <si>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</si>
  <si>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</si>
  <si>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</si>
  <si>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</si>
  <si>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</si>
  <si>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</si>
  <si>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</si>
  <si>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</si>
  <si>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</si>
  <si>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</si>
  <si>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</si>
  <si>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</si>
  <si>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</si>
  <si>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</si>
  <si>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</si>
  <si>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</si>
  <si>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</si>
  <si>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</si>
  <si>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</si>
  <si>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</si>
  <si>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</si>
  <si>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</si>
  <si>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</si>
  <si>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</si>
  <si>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</si>
  <si>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</si>
  <si>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</si>
  <si>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</si>
  <si>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</si>
  <si>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</si>
  <si>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</si>
  <si>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</si>
  <si>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</si>
  <si>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</si>
  <si>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</si>
  <si>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</si>
  <si>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</si>
  <si>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</si>
  <si>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</si>
  <si>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</si>
  <si>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</si>
  <si>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</si>
  <si>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</si>
  <si>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</si>
  <si>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</si>
  <si>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</si>
  <si>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</si>
  <si>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</si>
  <si>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</si>
  <si>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</si>
  <si>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</si>
  <si>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</si>
  <si>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</si>
  <si>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</si>
  <si>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</si>
  <si>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</si>
  <si>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</si>
  <si>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</si>
  <si>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</si>
  <si>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</si>
  <si>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</si>
  <si>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</si>
  <si>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</si>
  <si>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</si>
  <si>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</si>
  <si>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</si>
  <si>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</si>
  <si>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</si>
  <si>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</si>
  <si>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</si>
  <si>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</si>
  <si>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</si>
  <si>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</si>
  <si>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</si>
  <si>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</si>
  <si>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</si>
  <si>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</si>
  <si>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</si>
  <si>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</si>
  <si>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</si>
  <si>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</si>
  <si>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</si>
  <si>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</si>
  <si>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</si>
  <si>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</si>
  <si>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</si>
  <si>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</si>
  <si>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</si>
  <si>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</si>
  <si>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</si>
  <si>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</si>
  <si>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</si>
  <si>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</si>
  <si>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</si>
  <si>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</si>
  <si>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</si>
  <si>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</si>
  <si>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</si>
  <si>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</si>
  <si>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</si>
  <si>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</si>
  <si>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</si>
  <si>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</si>
  <si>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</si>
  <si>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</si>
  <si>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</si>
  <si>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</si>
  <si>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</si>
  <si>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</si>
  <si>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</si>
  <si>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</si>
  <si>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</si>
  <si>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</si>
  <si>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</si>
  <si>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</si>
  <si>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</si>
  <si>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</si>
  <si>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</si>
  <si>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</si>
  <si>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</si>
  <si>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</si>
  <si>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</si>
  <si>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</si>
  <si>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</si>
  <si>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</si>
  <si>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</si>
  <si>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</si>
  <si>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</si>
  <si>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</si>
  <si>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</si>
  <si>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</si>
  <si>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</si>
  <si>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</si>
  <si>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</si>
  <si>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</si>
  <si>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</si>
  <si>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</si>
  <si>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</si>
  <si>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</si>
  <si>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</si>
  <si>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</si>
  <si>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</si>
  <si>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</si>
  <si>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</si>
  <si>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</si>
  <si>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</si>
  <si>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</si>
  <si>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</si>
  <si>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</si>
  <si>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</si>
  <si>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</si>
  <si>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</si>
  <si>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</si>
  <si>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</si>
  <si>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</si>
  <si>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</si>
  <si>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</si>
  <si>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</si>
  <si>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</si>
  <si>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</si>
  <si>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</si>
  <si>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</si>
  <si>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</si>
  <si>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</si>
  <si>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</si>
  <si>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</si>
  <si>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</si>
  <si>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</si>
  <si>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</si>
  <si>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</si>
  <si>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</si>
  <si>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</si>
  <si>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</si>
  <si>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</si>
  <si>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</si>
  <si>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</si>
  <si>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</si>
  <si>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</si>
  <si>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</si>
  <si>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</si>
  <si>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</si>
  <si>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</si>
  <si>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</si>
  <si>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</si>
  <si>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</si>
  <si>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</si>
  <si>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</si>
  <si>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</si>
  <si>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</si>
  <si>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</si>
  <si>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</si>
  <si>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</si>
  <si>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</si>
  <si>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</si>
  <si>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</si>
  <si>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</si>
  <si>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</si>
  <si>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</si>
  <si>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</si>
  <si>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</si>
  <si>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</si>
  <si>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</si>
  <si>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</si>
  <si>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</si>
  <si>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</si>
  <si>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</si>
  <si>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</si>
  <si>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</si>
  <si>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</si>
  <si>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</si>
  <si>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</si>
  <si>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</si>
  <si>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</si>
  <si>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</si>
  <si>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</si>
  <si>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</si>
  <si>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</si>
  <si>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</si>
  <si>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</si>
  <si>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</si>
  <si>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</si>
  <si>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</si>
  <si>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</si>
  <si>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</si>
  <si>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</si>
  <si>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</si>
  <si>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</si>
  <si>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</si>
  <si>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</si>
  <si>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</si>
  <si>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</si>
  <si>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</si>
  <si>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</si>
  <si>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</si>
  <si>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</si>
  <si>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</si>
  <si>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</si>
  <si>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</si>
  <si>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</si>
  <si>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</si>
  <si>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</si>
  <si>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</si>
  <si>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</si>
  <si>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</si>
  <si>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</si>
  <si>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</si>
  <si>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</si>
  <si>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</si>
  <si>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</si>
  <si>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</si>
  <si>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</si>
  <si>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</si>
  <si>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</si>
  <si>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</si>
  <si>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</si>
  <si>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</si>
  <si>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</si>
  <si>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</si>
  <si>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</si>
  <si>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</si>
  <si>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</si>
  <si>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</si>
  <si>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</si>
  <si>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</si>
  <si>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</si>
  <si>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</si>
  <si>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</si>
  <si>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</si>
  <si>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</si>
  <si>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</si>
  <si>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</si>
  <si>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</si>
  <si>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</si>
  <si>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</si>
  <si>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</si>
  <si>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</si>
  <si>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</si>
  <si>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</si>
  <si>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</si>
  <si>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</si>
  <si>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</si>
  <si>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</si>
  <si>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</si>
  <si>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</si>
  <si>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</si>
  <si>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</si>
  <si>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</si>
  <si>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</si>
  <si>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</si>
  <si>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</si>
  <si>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</si>
  <si>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</si>
  <si>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</si>
  <si>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</si>
  <si>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</si>
  <si>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</si>
  <si>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</si>
  <si>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</si>
  <si>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</si>
  <si>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</si>
  <si>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</si>
  <si>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</si>
  <si>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</si>
  <si>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</si>
  <si>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</si>
  <si>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</si>
  <si>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</si>
  <si>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</si>
  <si>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</si>
  <si>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</si>
  <si>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</si>
  <si>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</si>
  <si>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</si>
  <si>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</si>
  <si>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</si>
  <si>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</si>
  <si>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</si>
  <si>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</si>
  <si>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</si>
  <si>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</si>
  <si>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</si>
  <si>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</si>
  <si>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</si>
  <si>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</si>
  <si>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</si>
  <si>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</si>
  <si>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</si>
  <si>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</si>
  <si>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</si>
  <si>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</si>
  <si>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</si>
  <si>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</si>
  <si>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</si>
  <si>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</si>
  <si>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</si>
  <si>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</si>
  <si>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</si>
  <si>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</si>
  <si>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</si>
  <si>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</si>
  <si>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</si>
  <si>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</si>
  <si>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</si>
  <si>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</si>
  <si>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</si>
  <si>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</si>
  <si>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</si>
  <si>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</si>
  <si>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</si>
  <si>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</si>
  <si>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</si>
  <si>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</si>
  <si>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</si>
  <si>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</si>
  <si>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</si>
  <si>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</si>
  <si>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</si>
  <si>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</si>
  <si>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</si>
  <si>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</si>
  <si>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</si>
  <si>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</si>
  <si>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</si>
  <si>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</si>
  <si>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</si>
  <si>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</si>
  <si>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</si>
  <si>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</si>
  <si>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</si>
  <si>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</si>
  <si>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</si>
  <si>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</si>
  <si>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</si>
  <si>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</si>
  <si>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</si>
  <si>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</si>
  <si>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</si>
  <si>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</si>
  <si>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</si>
  <si>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</si>
  <si>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</si>
  <si>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</si>
  <si>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</si>
  <si>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</si>
  <si>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</si>
  <si>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</si>
  <si>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</si>
  <si>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</si>
  <si>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</si>
  <si>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</si>
  <si>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</si>
  <si>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</si>
  <si>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</si>
  <si>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</si>
  <si>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</si>
  <si>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</si>
  <si>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</si>
  <si>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</si>
  <si>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</si>
  <si>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</si>
  <si>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</si>
  <si>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</si>
  <si>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</si>
  <si>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</si>
  <si>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</si>
  <si>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</si>
  <si>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</si>
  <si>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</si>
  <si>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</si>
  <si>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</si>
  <si>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</si>
  <si>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</si>
  <si>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</si>
  <si>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</si>
  <si>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</si>
  <si>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</si>
  <si>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</si>
  <si>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</si>
  <si>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</si>
  <si>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</si>
  <si>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</si>
  <si>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</si>
  <si>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</si>
  <si>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</si>
  <si>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</si>
  <si>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</si>
  <si>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</si>
  <si>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</si>
  <si>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</si>
  <si>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</si>
  <si>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</si>
  <si>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</si>
  <si>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</si>
  <si>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</si>
  <si>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</si>
  <si>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</si>
  <si>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</si>
  <si>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</si>
  <si>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</si>
  <si>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</si>
  <si>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</si>
  <si>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</si>
  <si>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</si>
  <si>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</si>
  <si>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</si>
  <si>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</si>
  <si>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</si>
  <si>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</si>
  <si>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</si>
  <si>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</si>
  <si>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</si>
  <si>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</si>
  <si>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</si>
  <si>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</si>
  <si>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</si>
  <si>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</si>
  <si>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</si>
  <si>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</si>
  <si>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</si>
  <si>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</si>
  <si>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</si>
  <si>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</si>
  <si>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</si>
  <si>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</si>
  <si>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</si>
  <si>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</si>
  <si>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</si>
  <si>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</si>
  <si>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</si>
  <si>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</si>
  <si>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</si>
  <si>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</si>
  <si>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</si>
  <si>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</si>
  <si>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</si>
  <si>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</si>
  <si>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</si>
  <si>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</si>
  <si>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</si>
  <si>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</si>
  <si>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</si>
  <si>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</si>
  <si>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</si>
  <si>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</si>
  <si>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</si>
  <si>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</si>
  <si>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</si>
  <si>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</si>
  <si>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</si>
  <si>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</si>
  <si>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</si>
  <si>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</si>
  <si>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</si>
  <si>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</si>
  <si>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</si>
  <si>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</si>
  <si>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</si>
  <si>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</si>
  <si>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</si>
  <si>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</si>
  <si>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</si>
  <si>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</si>
  <si>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</si>
  <si>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</si>
  <si>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</si>
  <si>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</si>
  <si>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</si>
  <si>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</si>
  <si>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</si>
  <si>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</si>
  <si>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</si>
  <si>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</si>
  <si>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</si>
  <si>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</si>
  <si>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</si>
  <si>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</si>
  <si>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</si>
  <si>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</si>
  <si>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</si>
  <si>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</si>
  <si>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</si>
  <si>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</si>
  <si>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</si>
  <si>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</si>
  <si>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</si>
  <si>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</si>
  <si>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</si>
  <si>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</si>
  <si>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</si>
  <si>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</si>
  <si>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</si>
  <si>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</si>
  <si>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</si>
  <si>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</si>
  <si>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</si>
  <si>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</si>
  <si>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</si>
  <si>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</si>
  <si>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</si>
  <si>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</si>
  <si>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</si>
  <si>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</si>
  <si>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</si>
  <si>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</si>
  <si>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</si>
  <si>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</si>
  <si>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</si>
  <si>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</si>
  <si>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</si>
  <si>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</si>
  <si>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</si>
  <si>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</si>
  <si>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</si>
  <si>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</si>
  <si>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</si>
  <si>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</si>
  <si>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</si>
  <si>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</si>
  <si>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</si>
  <si>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</si>
  <si>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</si>
  <si>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</si>
  <si>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</si>
  <si>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</si>
  <si>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</si>
  <si>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</si>
  <si>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</si>
  <si>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</si>
  <si>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</si>
  <si>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</si>
  <si>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</si>
  <si>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</si>
  <si>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</si>
  <si>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</si>
  <si>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</si>
  <si>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</si>
  <si>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</si>
  <si>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</si>
  <si>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</si>
  <si>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</si>
  <si>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</si>
  <si>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</si>
  <si>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</si>
  <si>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</si>
  <si>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</si>
  <si>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</si>
  <si>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</si>
  <si>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</si>
  <si>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</si>
  <si>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</si>
  <si>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</si>
  <si>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</si>
  <si>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</si>
  <si>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</si>
  <si>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</si>
  <si>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</si>
  <si>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</si>
  <si>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</si>
  <si>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</si>
  <si>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</si>
  <si>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</si>
  <si>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</si>
  <si>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</si>
  <si>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</si>
  <si>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</si>
  <si>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</si>
  <si>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</si>
  <si>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</si>
  <si>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</si>
  <si>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</si>
  <si>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</si>
  <si>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</si>
  <si>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</si>
  <si>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</si>
  <si>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</si>
  <si>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</si>
  <si>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</si>
  <si>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</si>
  <si>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</si>
  <si>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</si>
  <si>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</si>
  <si>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</si>
  <si>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</si>
  <si>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</si>
  <si>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</si>
  <si>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</si>
  <si>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</si>
  <si>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</si>
  <si>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</si>
  <si>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</si>
  <si>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</si>
  <si>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</si>
  <si>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</si>
  <si>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</si>
  <si>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</si>
  <si>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</si>
  <si>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</si>
  <si>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</si>
  <si>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</si>
  <si>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</si>
  <si>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</si>
  <si>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</si>
  <si>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</si>
  <si>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</si>
  <si>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</si>
  <si>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</si>
  <si>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</si>
  <si>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</si>
  <si>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</si>
  <si>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</si>
  <si>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</si>
  <si>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</si>
  <si>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</si>
  <si>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</si>
  <si>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</si>
  <si>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</si>
  <si>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</si>
  <si>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</si>
  <si>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</si>
  <si>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</si>
  <si>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</si>
  <si>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</si>
  <si>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</si>
  <si>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</si>
  <si>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</si>
  <si>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</si>
  <si>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</si>
  <si>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</si>
  <si>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</si>
  <si>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</si>
  <si>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</si>
  <si>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</si>
  <si>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</si>
  <si>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</si>
  <si>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</si>
  <si>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</si>
  <si>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</si>
  <si>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</si>
  <si>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</si>
  <si>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</si>
  <si>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</si>
  <si>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</si>
  <si>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</si>
  <si>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</si>
  <si>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</si>
  <si>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</si>
  <si>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</si>
  <si>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</si>
  <si>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</si>
  <si>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</si>
  <si>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</si>
  <si>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</si>
  <si>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</si>
  <si>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</si>
  <si>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</si>
  <si>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</si>
  <si>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</si>
  <si>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</si>
  <si>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</si>
  <si>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</si>
  <si>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</si>
  <si>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</si>
  <si>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</si>
  <si>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</si>
  <si>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</si>
  <si>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</si>
  <si>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</si>
  <si>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</si>
  <si>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</si>
  <si>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</si>
  <si>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</si>
  <si>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</si>
  <si>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</si>
  <si>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</si>
  <si>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</si>
  <si>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</si>
  <si>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</si>
  <si>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</si>
  <si>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</si>
  <si>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</si>
  <si>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</si>
  <si>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</si>
  <si>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</si>
  <si>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</si>
  <si>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</si>
  <si>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</si>
  <si>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</si>
  <si>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</si>
  <si>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</si>
  <si>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</si>
  <si>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</si>
  <si>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</si>
  <si>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</si>
  <si>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</si>
  <si>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</si>
  <si>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</si>
  <si>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</si>
  <si>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</si>
  <si>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</si>
  <si>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</si>
  <si>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</si>
  <si>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</si>
  <si>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</si>
  <si>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</si>
  <si>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</si>
  <si>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</si>
  <si>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</si>
  <si>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</si>
  <si>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</si>
  <si>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</si>
  <si>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</si>
  <si>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</si>
  <si>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</si>
  <si>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</si>
  <si>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</si>
  <si>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</si>
  <si>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</si>
  <si>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</si>
  <si>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</si>
  <si>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</si>
  <si>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</si>
  <si>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</si>
  <si>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</si>
  <si>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</si>
  <si>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</si>
  <si>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</si>
  <si>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</si>
  <si>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</si>
  <si>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</si>
  <si>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</si>
  <si>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</si>
  <si>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</si>
  <si>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</si>
  <si>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</si>
  <si>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</si>
  <si>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</si>
  <si>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</si>
  <si>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</si>
  <si>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</si>
  <si>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</si>
  <si>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</si>
  <si>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</si>
  <si>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</si>
  <si>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</si>
  <si>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</si>
  <si>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</si>
  <si>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</si>
  <si>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</si>
  <si>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</si>
  <si>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</si>
  <si>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</si>
  <si>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</si>
  <si>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</si>
  <si>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</si>
  <si>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</si>
  <si>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</si>
  <si>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</si>
  <si>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</si>
  <si>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</si>
  <si>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</si>
  <si>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</si>
  <si>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</si>
  <si>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</si>
  <si>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</si>
  <si>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</si>
  <si>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</si>
  <si>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</si>
  <si>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</si>
  <si>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</si>
  <si>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</si>
  <si>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</si>
  <si>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</si>
  <si>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</si>
  <si>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</si>
  <si>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</si>
  <si>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</si>
  <si>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</si>
  <si>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</si>
  <si>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</si>
  <si>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</si>
  <si>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</si>
  <si>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</si>
  <si>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</si>
  <si>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</si>
  <si>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</si>
  <si>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</si>
  <si>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</si>
  <si>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</si>
  <si>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</si>
  <si>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</si>
  <si>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</si>
  <si>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</si>
  <si>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</si>
  <si>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</si>
  <si>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</si>
  <si>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</si>
  <si>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</si>
  <si>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</si>
  <si>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</si>
  <si>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</si>
  <si>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</si>
  <si>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</si>
  <si>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</si>
  <si>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</si>
  <si>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</si>
  <si>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</si>
  <si>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</si>
  <si>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</si>
  <si>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</si>
  <si>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</si>
  <si>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</si>
  <si>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</si>
  <si>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</si>
  <si>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</si>
  <si>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</si>
  <si>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</si>
  <si>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</si>
  <si>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</si>
  <si>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</si>
  <si>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</si>
  <si>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</si>
  <si>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</si>
  <si>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</si>
  <si>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</si>
  <si>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</si>
  <si>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</si>
  <si>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</si>
  <si>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</si>
  <si>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</si>
  <si>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</si>
  <si>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</si>
  <si>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</si>
  <si>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</si>
  <si>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</si>
  <si>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</si>
  <si>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</si>
  <si>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</si>
  <si>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</si>
  <si>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</si>
  <si>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</si>
  <si>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</si>
  <si>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</si>
  <si>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</si>
  <si>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</si>
  <si>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</si>
  <si>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</si>
  <si>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</si>
  <si>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</si>
  <si>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</si>
  <si>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</si>
  <si>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</si>
  <si>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</si>
  <si>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</si>
  <si>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</si>
  <si>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</si>
  <si>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</si>
  <si>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</si>
  <si>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</si>
  <si>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</si>
  <si>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</si>
  <si>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</si>
  <si>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</si>
  <si>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</si>
  <si>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</si>
  <si>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</si>
  <si>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</si>
  <si>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</si>
  <si>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</si>
  <si>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</si>
  <si>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</si>
  <si>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</si>
  <si>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</si>
  <si>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</si>
  <si>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</si>
  <si>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</si>
  <si>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</si>
  <si>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</si>
  <si>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</si>
  <si>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</si>
  <si>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</si>
  <si>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</si>
  <si>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</si>
  <si>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</si>
  <si>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</si>
  <si>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</si>
  <si>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</si>
  <si>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</si>
  <si>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</si>
  <si>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</si>
  <si>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</si>
  <si>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</si>
  <si>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</si>
  <si>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</si>
  <si>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</si>
  <si>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</si>
  <si>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</si>
  <si>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</si>
  <si>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</si>
  <si>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</si>
  <si>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</si>
  <si>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</si>
  <si>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</si>
  <si>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</si>
  <si>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</si>
  <si>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</si>
  <si>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</si>
  <si>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</si>
  <si>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</si>
  <si>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</si>
  <si>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</si>
  <si>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</si>
  <si>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</si>
  <si>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</si>
  <si>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</si>
  <si>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</si>
  <si>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</si>
  <si>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</si>
  <si>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</si>
  <si>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</si>
  <si>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</si>
  <si>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</si>
  <si>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</si>
  <si>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</si>
  <si>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</si>
  <si>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</si>
  <si>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</si>
  <si>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</si>
  <si>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</si>
  <si>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</si>
  <si>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</si>
  <si>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</si>
  <si>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</si>
  <si>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</si>
  <si>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</si>
  <si>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</si>
  <si>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</si>
  <si>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</si>
  <si>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</si>
  <si>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</si>
  <si>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</si>
  <si>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</si>
  <si>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</si>
  <si>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</si>
  <si>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</si>
  <si>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</si>
  <si>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</si>
  <si>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</si>
  <si>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</si>
  <si>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</si>
  <si>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</si>
  <si>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</si>
  <si>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</si>
  <si>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</si>
  <si>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</si>
  <si>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</si>
  <si>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</si>
  <si>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</si>
  <si>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</si>
  <si>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</si>
  <si>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</si>
  <si>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</si>
  <si>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</si>
  <si>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</si>
  <si>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</si>
  <si>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</si>
  <si>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</si>
  <si>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</si>
  <si>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</si>
  <si>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</si>
  <si>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</si>
  <si>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</si>
  <si>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</si>
  <si>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</si>
  <si>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</si>
  <si>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</si>
  <si>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</si>
  <si>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</si>
  <si>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</si>
  <si>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</si>
  <si>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</si>
  <si>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</si>
  <si>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</si>
  <si>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</si>
  <si>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</si>
  <si>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</si>
  <si>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</si>
  <si>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</si>
  <si>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</si>
  <si>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</si>
  <si>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</si>
  <si>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</si>
  <si>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</si>
  <si>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</si>
  <si>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</si>
  <si>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</si>
  <si>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</si>
  <si>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</si>
  <si>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</si>
  <si>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</si>
  <si>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</si>
  <si>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</si>
  <si>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</si>
  <si>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</si>
  <si>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</si>
  <si>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</si>
  <si>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</si>
  <si>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</si>
  <si>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</si>
  <si>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</si>
  <si>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</si>
  <si>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</si>
  <si>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</si>
  <si>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</si>
  <si>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</si>
  <si>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</si>
  <si>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</si>
  <si>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</si>
  <si>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</si>
  <si>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</si>
  <si>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</si>
  <si>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</si>
  <si>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</si>
  <si>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</si>
  <si>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</si>
  <si>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</si>
  <si>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</si>
  <si>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</si>
  <si>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</si>
  <si>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</si>
  <si>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</si>
  <si>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</si>
  <si>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</si>
  <si>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</si>
  <si>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</si>
  <si>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</si>
  <si>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</si>
  <si>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</si>
  <si>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</si>
  <si>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</si>
  <si>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</si>
  <si>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</si>
  <si>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</si>
  <si>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</si>
  <si>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</si>
  <si>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</si>
  <si>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</si>
  <si>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</si>
  <si>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</si>
  <si>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</si>
  <si>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</si>
  <si>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</si>
  <si>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</si>
  <si>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</si>
  <si>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</si>
  <si>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</si>
  <si>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</si>
  <si>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</si>
  <si>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</si>
  <si>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</si>
  <si>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</si>
  <si>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</si>
  <si>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</si>
  <si>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</si>
  <si>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</si>
  <si>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</si>
  <si>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</si>
  <si>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</si>
  <si>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</si>
  <si>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</si>
  <si>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</si>
  <si>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</si>
  <si>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</si>
  <si>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</si>
  <si>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</si>
  <si>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</si>
  <si>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</si>
  <si>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</si>
  <si>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</si>
  <si>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</si>
  <si>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</si>
  <si>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</si>
  <si>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</si>
  <si>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</si>
  <si>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</si>
  <si>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</si>
  <si>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</si>
  <si>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</si>
  <si>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</si>
  <si>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</si>
  <si>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</si>
  <si>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</si>
  <si>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</si>
  <si>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</si>
  <si>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</si>
  <si>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</si>
  <si>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</si>
  <si>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</si>
  <si>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</si>
  <si>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</si>
  <si>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</si>
  <si>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</si>
  <si>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</si>
  <si>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</si>
  <si>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</si>
  <si>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</si>
  <si>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</si>
  <si>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</si>
  <si>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</si>
  <si>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</si>
  <si>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</si>
  <si>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</si>
  <si>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</si>
  <si>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</si>
  <si>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</si>
  <si>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</si>
  <si>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</si>
  <si>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</si>
  <si>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</si>
  <si>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</si>
  <si>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</si>
  <si>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</si>
  <si>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</si>
  <si>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</si>
  <si>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</si>
  <si>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</si>
  <si>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</si>
  <si>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</si>
  <si>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</si>
  <si>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</si>
  <si>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</si>
  <si>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</si>
  <si>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</si>
  <si>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</si>
  <si>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</si>
  <si>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</si>
  <si>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</si>
  <si>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</si>
  <si>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</si>
  <si>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</si>
  <si>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</si>
  <si>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</si>
  <si>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</si>
  <si>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</si>
  <si>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</si>
  <si>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</si>
  <si>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</si>
  <si>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</si>
  <si>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</si>
  <si>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</si>
  <si>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</si>
  <si>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</si>
  <si>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</si>
  <si>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</si>
  <si>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</si>
  <si>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</si>
  <si>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</si>
  <si>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</si>
  <si>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</si>
  <si>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</si>
  <si>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</si>
  <si>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</si>
  <si>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</si>
  <si>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</si>
  <si>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</si>
  <si>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</si>
  <si>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</si>
  <si>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</si>
  <si>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</si>
  <si>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</si>
  <si>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</si>
  <si>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</si>
  <si>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</si>
  <si>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</si>
  <si>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</si>
  <si>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</si>
  <si>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</si>
  <si>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</si>
  <si>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</si>
  <si>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</si>
  <si>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</si>
  <si>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</si>
  <si>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</si>
  <si>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</si>
  <si>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</si>
  <si>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</si>
  <si>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</si>
  <si>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</si>
  <si>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</si>
  <si>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</si>
  <si>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</si>
  <si>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</si>
  <si>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</si>
  <si>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</si>
  <si>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</si>
  <si>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</si>
  <si>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</si>
  <si>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</si>
  <si>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</si>
  <si>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</si>
  <si>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</si>
  <si>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</si>
  <si>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</si>
  <si>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</si>
  <si>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</si>
  <si>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</si>
  <si>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</si>
  <si>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</si>
  <si>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</si>
  <si>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</si>
  <si>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</si>
  <si>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</si>
  <si>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</si>
  <si>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</si>
  <si>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</si>
  <si>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</si>
  <si>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</si>
  <si>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</si>
  <si>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</si>
  <si>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</si>
  <si>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</si>
  <si>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</si>
  <si>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</si>
  <si>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</si>
  <si>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</si>
  <si>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</si>
  <si>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</si>
  <si>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</si>
  <si>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</si>
  <si>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</si>
  <si>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</si>
  <si>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</si>
  <si>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</si>
  <si>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</si>
  <si>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</si>
  <si>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</si>
  <si>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</si>
  <si>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</si>
  <si>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</si>
  <si>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</si>
  <si>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</si>
  <si>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</si>
  <si>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</si>
  <si>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</si>
  <si>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</si>
  <si>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</si>
  <si>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</si>
  <si>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</si>
  <si>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</si>
  <si>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</si>
  <si>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</si>
  <si>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</si>
  <si>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</si>
  <si>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</si>
  <si>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</si>
  <si>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</si>
  <si>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</si>
  <si>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</si>
  <si>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</si>
  <si>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</si>
  <si>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</si>
  <si>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</si>
  <si>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</si>
  <si>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</si>
  <si>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</si>
  <si>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</si>
  <si>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</si>
  <si>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</si>
  <si>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</si>
  <si>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</si>
  <si>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</si>
  <si>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</si>
  <si>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</si>
  <si>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</si>
  <si>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</si>
  <si>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</si>
  <si>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</si>
  <si>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</si>
  <si>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</si>
  <si>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</si>
  <si>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</si>
  <si>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</si>
  <si>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</si>
  <si>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</si>
  <si>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</si>
  <si>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</si>
  <si>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</si>
  <si>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</si>
  <si>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</si>
  <si>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</si>
  <si>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</si>
  <si>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</si>
  <si>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</si>
  <si>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</si>
  <si>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</si>
  <si>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</si>
  <si>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</si>
  <si>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</si>
  <si>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</si>
  <si>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</si>
  <si>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</si>
  <si>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</si>
  <si>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</si>
  <si>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</si>
  <si>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</si>
  <si>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</si>
  <si>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</si>
  <si>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</si>
  <si>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</si>
  <si>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</si>
  <si>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</si>
  <si>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</si>
  <si>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</si>
  <si>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</si>
  <si>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</si>
  <si>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</si>
  <si>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</si>
  <si>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</si>
  <si>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</si>
  <si>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</si>
  <si>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</si>
  <si>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</si>
  <si>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</si>
  <si>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</si>
  <si>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</si>
  <si>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</si>
  <si>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</si>
  <si>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</si>
  <si>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</si>
  <si>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</si>
  <si>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</si>
  <si>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</si>
  <si>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</si>
  <si>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</si>
  <si>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</si>
  <si>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</si>
  <si>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</si>
  <si>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</si>
  <si>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</si>
  <si>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</si>
  <si>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</si>
  <si>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</si>
  <si>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</si>
  <si>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</si>
  <si>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</si>
  <si>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</si>
  <si>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</si>
  <si>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</si>
  <si>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</si>
  <si>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</si>
  <si>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</si>
  <si>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</si>
  <si>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</si>
  <si>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</si>
  <si>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</si>
  <si>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</si>
  <si>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</si>
  <si>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</si>
  <si>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</si>
  <si>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</si>
  <si>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</si>
  <si>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</si>
  <si>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</si>
  <si>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</si>
  <si>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</si>
  <si>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</si>
  <si>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</si>
  <si>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</si>
  <si>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</si>
  <si>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</si>
  <si>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</si>
  <si>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</si>
  <si>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</si>
  <si>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</si>
  <si>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</si>
  <si>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</si>
  <si>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</si>
  <si>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</si>
  <si>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</si>
  <si>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</si>
  <si>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</si>
  <si>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</si>
  <si>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</si>
  <si>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</si>
  <si>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</si>
  <si>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</si>
  <si>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</si>
  <si>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</si>
  <si>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</si>
  <si>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</si>
  <si>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</si>
  <si>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</si>
  <si>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</si>
  <si>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</si>
  <si>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</si>
  <si>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</si>
  <si>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</si>
  <si>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</si>
  <si>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</si>
  <si>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</si>
  <si>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</si>
  <si>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</si>
  <si>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</si>
  <si>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</si>
  <si>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</si>
  <si>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</si>
  <si>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</si>
  <si>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</si>
  <si>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</si>
  <si>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</si>
  <si>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</si>
  <si>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</si>
  <si>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</si>
  <si>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</si>
  <si>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</si>
  <si>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</si>
  <si>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</si>
  <si>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</si>
  <si>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</si>
  <si>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</si>
  <si>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</si>
  <si>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</si>
  <si>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</si>
  <si>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</si>
  <si>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</si>
  <si>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</si>
  <si>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</si>
  <si>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</si>
  <si>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</si>
  <si>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</si>
  <si>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</si>
  <si>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</si>
  <si>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</si>
  <si>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</si>
  <si>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</si>
  <si>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</si>
  <si>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</si>
  <si>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</si>
  <si>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</si>
  <si>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</si>
  <si>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</si>
  <si>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</si>
  <si>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</si>
  <si>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</si>
  <si>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</si>
  <si>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</si>
  <si>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</si>
  <si>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</si>
  <si>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</si>
  <si>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</si>
  <si>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</si>
  <si>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</si>
  <si>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</si>
  <si>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</si>
  <si>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</si>
  <si>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</si>
  <si>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</si>
  <si>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</si>
  <si>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</si>
  <si>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</si>
  <si>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</si>
  <si>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</si>
  <si>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</si>
  <si>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</si>
  <si>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</si>
  <si>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</si>
  <si>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</si>
  <si>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</si>
  <si>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</si>
  <si>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</si>
  <si>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</si>
  <si>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</si>
  <si>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</si>
  <si>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</si>
  <si>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</si>
  <si>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</si>
  <si>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</si>
  <si>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</si>
  <si>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</si>
  <si>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</si>
  <si>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</si>
  <si>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</si>
  <si>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</si>
  <si>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</si>
  <si>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</si>
  <si>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</si>
  <si>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</si>
  <si>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</si>
  <si>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</si>
  <si>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</si>
  <si>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</si>
  <si>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</si>
  <si>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</si>
  <si>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</si>
  <si>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</si>
  <si>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</si>
  <si>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</si>
  <si>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</si>
  <si>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</si>
  <si>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</si>
  <si>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</si>
  <si>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</si>
  <si>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</si>
  <si>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</si>
  <si>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</si>
  <si>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</si>
  <si>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</si>
  <si>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</si>
  <si>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</si>
  <si>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</si>
  <si>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</si>
  <si>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</si>
  <si>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</si>
  <si>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</si>
  <si>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</si>
  <si>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</si>
  <si>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</si>
  <si>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</si>
  <si>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</si>
  <si>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</si>
  <si>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</si>
  <si>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</si>
  <si>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</si>
  <si>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</si>
  <si>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</si>
  <si>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</si>
  <si>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</si>
  <si>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</si>
  <si>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</si>
  <si>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</si>
  <si>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</si>
  <si>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</si>
  <si>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</si>
  <si>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</si>
  <si>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</si>
  <si>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</si>
  <si>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</si>
  <si>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</si>
  <si>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</si>
  <si>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</si>
  <si>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</si>
  <si>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</si>
  <si>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</si>
  <si>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</si>
  <si>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</si>
  <si>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</si>
  <si>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</si>
  <si>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</si>
  <si>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</si>
  <si>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</si>
  <si>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</si>
  <si>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</si>
  <si>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</si>
  <si>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</si>
  <si>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</si>
  <si>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</si>
  <si>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</si>
  <si>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</si>
  <si>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</si>
  <si>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</si>
  <si>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</si>
  <si>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</si>
  <si>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</si>
  <si>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</si>
  <si>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</si>
  <si>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</si>
  <si>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</si>
  <si>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</si>
  <si>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</si>
  <si>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</si>
  <si>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</si>
  <si>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</si>
  <si>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</si>
  <si>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</si>
  <si>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</si>
  <si>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</si>
  <si>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</si>
  <si>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</si>
  <si>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</si>
  <si>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</si>
  <si>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</si>
  <si>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</si>
  <si>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</si>
  <si>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</si>
  <si>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</si>
  <si>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</si>
  <si>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</si>
  <si>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</si>
  <si>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</si>
  <si>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</si>
  <si>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</si>
  <si>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</si>
  <si>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</si>
  <si>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</si>
  <si>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</si>
  <si>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</si>
  <si>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</si>
  <si>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</si>
  <si>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</si>
  <si>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</si>
  <si>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</si>
  <si>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</si>
  <si>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</si>
  <si>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</si>
  <si>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</si>
  <si>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</si>
  <si>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</si>
  <si>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</si>
  <si>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</si>
  <si>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</si>
  <si>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</si>
  <si>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</si>
  <si>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</si>
  <si>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</si>
  <si>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</si>
  <si>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</si>
  <si>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</si>
  <si>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</si>
  <si>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</si>
  <si>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</si>
  <si>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</si>
  <si>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</si>
  <si>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</si>
  <si>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</si>
  <si>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</si>
  <si>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</si>
  <si>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</si>
  <si>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</si>
  <si>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</si>
  <si>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</si>
  <si>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</si>
  <si>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</si>
  <si>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</si>
  <si>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</si>
  <si>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</si>
  <si>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</si>
  <si>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</si>
  <si>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</si>
  <si>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</si>
  <si>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</si>
  <si>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</si>
  <si>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</si>
  <si>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</si>
  <si>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</si>
  <si>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</si>
  <si>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</si>
  <si>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</si>
  <si>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</si>
  <si>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</si>
  <si>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</si>
  <si>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</si>
  <si>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</si>
  <si>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</si>
  <si>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</si>
  <si>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</si>
  <si>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</si>
  <si>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</si>
  <si>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</si>
  <si>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</si>
  <si>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</si>
  <si>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</si>
  <si>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</si>
  <si>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</si>
  <si>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</si>
  <si>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</si>
  <si>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</si>
  <si>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</si>
  <si>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</si>
  <si>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</si>
  <si>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</si>
  <si>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</si>
  <si>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</si>
  <si>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</si>
  <si>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</si>
  <si>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</si>
  <si>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</si>
  <si>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</si>
  <si>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</si>
  <si>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</si>
  <si>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</si>
  <si>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</si>
  <si>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</si>
  <si>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</si>
  <si>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</si>
  <si>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</si>
  <si>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</si>
  <si>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</si>
  <si>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</si>
  <si>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</si>
  <si>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</si>
  <si>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</si>
  <si>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</si>
  <si>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</si>
  <si>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</si>
  <si>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</si>
  <si>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</si>
  <si>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</si>
  <si>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</si>
  <si>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</si>
  <si>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</si>
  <si>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</si>
  <si>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</si>
  <si>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</si>
  <si>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</si>
  <si>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</si>
  <si>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</si>
  <si>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</si>
  <si>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</si>
  <si>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地上</t>
  </si>
  <si>
    <t>住宅</t>
  </si>
  <si>
    <t>是</t>
  </si>
  <si>
    <t>住宅</t>
    <phoneticPr fontId="7" type="noConversion"/>
  </si>
  <si>
    <t>成新度</t>
  </si>
  <si>
    <t>比较法-住宅</t>
  </si>
  <si>
    <t>成本法 (元)</t>
  </si>
  <si>
    <t>未包含在土地购买价格中</t>
  </si>
  <si>
    <t>已包含在土地取得成本中</t>
  </si>
  <si>
    <t>城镇住宅用地</t>
  </si>
  <si>
    <t>自定义容积率</t>
  </si>
  <si>
    <t>较好</t>
  </si>
  <si>
    <t>较差</t>
  </si>
  <si>
    <t>好</t>
  </si>
  <si>
    <t>单套模式</t>
  </si>
  <si>
    <t>售价</t>
  </si>
  <si>
    <t>楼面单价</t>
  </si>
  <si>
    <t>收益法 (元)</t>
  </si>
  <si>
    <t>押一</t>
  </si>
  <si>
    <t>砖混</t>
  </si>
  <si>
    <t>通路</t>
  </si>
  <si>
    <t>通电</t>
  </si>
  <si>
    <t>通讯</t>
  </si>
  <si>
    <t>通上水</t>
  </si>
  <si>
    <t>通下水</t>
  </si>
  <si>
    <t>平整</t>
  </si>
  <si>
    <t>与级别开发程度不一致</t>
  </si>
  <si>
    <t>校场小六条</t>
    <phoneticPr fontId="3" type="noConversion"/>
  </si>
  <si>
    <t>达智桥胡同</t>
    <phoneticPr fontId="3" type="noConversion"/>
  </si>
  <si>
    <t>挂牌</t>
  </si>
  <si>
    <t>挂牌</t>
    <phoneticPr fontId="24" type="noConversion"/>
  </si>
  <si>
    <t>正常</t>
  </si>
  <si>
    <t>住宅</t>
    <phoneticPr fontId="24" type="noConversion"/>
  </si>
  <si>
    <t>七通</t>
  </si>
  <si>
    <t>平房</t>
  </si>
  <si>
    <t>平房</t>
    <phoneticPr fontId="24" type="noConversion"/>
  </si>
  <si>
    <t>南、东</t>
    <phoneticPr fontId="24" type="noConversion"/>
  </si>
  <si>
    <t>砖木</t>
    <phoneticPr fontId="24" type="noConversion"/>
  </si>
  <si>
    <t>一般</t>
  </si>
  <si>
    <t>西</t>
  </si>
  <si>
    <t>西</t>
    <phoneticPr fontId="24" type="noConversion"/>
  </si>
  <si>
    <t>南</t>
    <phoneticPr fontId="24" type="noConversion"/>
  </si>
  <si>
    <t>东</t>
    <phoneticPr fontId="24" type="noConversion"/>
  </si>
  <si>
    <t>北</t>
  </si>
  <si>
    <t>北</t>
    <phoneticPr fontId="24" type="noConversion"/>
  </si>
  <si>
    <t>南、西、北</t>
    <phoneticPr fontId="24" type="noConversion"/>
  </si>
  <si>
    <t>南、西、北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</si>
</sst>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15</xdr:col>
      <xdr:colOff>285751</xdr:colOff>
      <xdr:row>33</xdr:row>
      <xdr:rowOff>50977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1" y="171451"/>
          <a:ext cx="9886950" cy="5537376"/>
        </a:xfrm>
        <a:prstGeom prst="rect">
          <a:avLst/>
        </a:prstGeom>
      </xdr:spPr>
    </xdr:pic>
    <xdr:clientData/>
  </xdr:twoCellAnchor>
  <xdr:twoCellAnchor editAs="oneCell">
    <xdr:from>
      <xdr:col>1</xdr:col>
      <xdr:colOff>0</xdr:colOff>
      <xdr:row>34</xdr:row>
      <xdr:rowOff>76200</xdr:rowOff>
    </xdr:from>
    <xdr:to>
      <xdr:col>15</xdr:col>
      <xdr:colOff>295275</xdr:colOff>
      <xdr:row>68</xdr:row>
      <xdr:rowOff>87443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905500"/>
          <a:ext cx="9896475" cy="5840543"/>
        </a:xfrm>
        <a:prstGeom prst="rect">
          <a:avLst/>
        </a:prstGeom>
      </xdr:spPr>
    </xdr:pic>
    <xdr:clientData/>
  </xdr:twoCellAnchor>
  <xdr:twoCellAnchor editAs="oneCell">
    <xdr:from>
      <xdr:col>1</xdr:col>
      <xdr:colOff>0</xdr:colOff>
      <xdr:row>69</xdr:row>
      <xdr:rowOff>1</xdr:rowOff>
    </xdr:from>
    <xdr:to>
      <xdr:col>15</xdr:col>
      <xdr:colOff>104775</xdr:colOff>
      <xdr:row>102</xdr:row>
      <xdr:rowOff>11283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830051"/>
          <a:ext cx="9705975" cy="5669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2025年2月13日（评估专业人员实地查勘之日）</v>
      </c>
    </row>
    <row r="13" spans="1:2" s="1203" customFormat="1">
      <c r="A13" s="1201" t="s">
        <v>529</v>
      </c>
      <c r="B13" s="1202"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1398</v>
      </c>
    </row>
    <row r="21" spans="1:2" s="1203" customFormat="1">
      <c r="A21" s="1201" t="s">
        <v>537</v>
      </c>
      <c r="B21" s="1202">
        <f ca="1">'预评函-2'!D7</f>
        <v>122639</v>
      </c>
    </row>
    <row r="22" spans="1:2" s="1203" customFormat="1">
      <c r="A22" s="1201" t="s">
        <v>538</v>
      </c>
      <c r="B22" s="1202" t="str">
        <f ca="1">'预评函-2'!D6</f>
        <v>壹仟叁佰玖拾捌万元整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1398</v>
      </c>
    </row>
    <row r="31" spans="1:2" s="1203" customFormat="1">
      <c r="A31" s="1201" t="s">
        <v>576</v>
      </c>
      <c r="B31" s="1202">
        <f ca="1">'预评函-2'!D15</f>
        <v>122639</v>
      </c>
    </row>
    <row r="32" spans="1:2" s="1203" customFormat="1">
      <c r="A32" s="1201" t="s">
        <v>543</v>
      </c>
      <c r="B32" s="1202" t="str">
        <f ca="1">'预评函-2'!D14</f>
        <v>壹仟叁佰玖拾捌万元整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5" t="s">
        <v>2580</v>
      </c>
      <c r="J2" s="3505"/>
      <c r="K2" s="3505"/>
      <c r="L2" s="3505"/>
      <c r="M2" s="3505"/>
      <c r="N2" s="3505"/>
      <c r="O2" s="3505"/>
      <c r="P2" s="3505"/>
      <c r="Q2" s="3505"/>
      <c r="R2" s="3505"/>
    </row>
    <row r="3" spans="1:18">
      <c r="A3" s="3019" t="s">
        <v>2501</v>
      </c>
      <c r="B3" s="3020">
        <f>项目基本情况!D3</f>
        <v>45701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1.84</v>
      </c>
      <c r="D5" s="3024">
        <f>IF(ISERROR(ROUND(POWER(1+E5,A5-C5)*(POWER(1+E5,C5)-1)/(POWER(1+E5,A5)-1),3)),0,ROUND(POWER(1+E5,A5-C5)*(POWER(1+E5,C5)-1)/(POWER(1+E5,A5)-1),4))</f>
        <v>8.7900000000000006E-2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11.85</v>
      </c>
      <c r="D6" s="3024">
        <f>IF(ISERROR(ROUND(POWER(1+E6,A6-C6)*(POWER(1+E6,C6)-1)/(POWER(1+E6,A6)-1),3)),0,ROUND(POWER(1+E6,A6-C6)*(POWER(1+E6,C6)-1)/(POWER(1+E6,A6)-1),4))</f>
        <v>0.43259999999999998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31.86</v>
      </c>
      <c r="D7" s="3024">
        <f>IF(ISERROR(ROUND(POWER(1+E7,A7-C7)*(POWER(1+E7,C7)-1)/(POWER(1+E7,A7)-1),3)),0,ROUND(POWER(1+E7,A7-C7)*(POWER(1+E7,C7)-1)/(POWER(1+E7,A7)-1),4))</f>
        <v>0.76229999999999998</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45701</v>
      </c>
      <c r="C3" s="2373" t="s">
        <v>2171</v>
      </c>
      <c r="D3" s="2372">
        <f>B3</f>
        <v>45701</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17"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18"/>
      <c r="E9" s="2393" t="s">
        <v>43</v>
      </c>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5"/>
    </row>
    <row r="13" spans="1:30">
      <c r="A13" s="3422" t="s">
        <v>3332</v>
      </c>
      <c r="B13" s="2406" t="s">
        <v>2190</v>
      </c>
      <c r="C13" s="856">
        <v>71069</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69.5</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24"/>
      <c r="C16" s="3525"/>
      <c r="D16" s="3526"/>
      <c r="E16" s="2412" t="s">
        <v>2194</v>
      </c>
      <c r="F16" s="3527"/>
      <c r="G16" s="3528"/>
      <c r="H16" s="3528"/>
      <c r="I16" s="3529"/>
      <c r="J16" s="2438"/>
      <c r="K16" s="2616"/>
      <c r="L16" s="2450"/>
      <c r="M16" s="2450"/>
      <c r="N16" s="2508"/>
      <c r="O16" s="2450"/>
      <c r="P16" s="2508"/>
      <c r="Q16" s="2438"/>
      <c r="R16" s="2438"/>
    </row>
    <row r="17" spans="1:28">
      <c r="A17" s="313" t="s">
        <v>2195</v>
      </c>
      <c r="B17" s="302" t="s">
        <v>2196</v>
      </c>
      <c r="C17" s="8">
        <f>'数据-汇总表'!E3</f>
        <v>114</v>
      </c>
      <c r="D17" s="2321" t="s">
        <v>2197</v>
      </c>
      <c r="E17" s="3530" t="s">
        <v>2198</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33" t="s">
        <v>2202</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0" t="s">
        <v>2206</v>
      </c>
      <c r="C20" s="3521"/>
      <c r="D20" s="3522" t="s">
        <v>2207</v>
      </c>
      <c r="E20" s="3523"/>
      <c r="F20" s="2646" t="s">
        <v>1056</v>
      </c>
      <c r="G20" s="2663"/>
      <c r="H20" s="2663"/>
      <c r="I20" s="2663"/>
      <c r="J20" s="2438"/>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8"/>
      <c r="B30" s="302" t="s">
        <v>2218</v>
      </c>
      <c r="C30" s="3509"/>
      <c r="D30" s="3510"/>
      <c r="E30" s="2663"/>
      <c r="F30" s="2663"/>
      <c r="G30" s="2663"/>
      <c r="H30" s="2663"/>
      <c r="I30" s="2663"/>
      <c r="J30" s="2438"/>
      <c r="K30" s="2615"/>
      <c r="L30" s="2612"/>
      <c r="M30" s="2612"/>
      <c r="N30" s="2438"/>
      <c r="O30" s="2449"/>
      <c r="P30" s="2438"/>
      <c r="Q30" s="2438"/>
      <c r="R30" s="2438"/>
      <c r="S30" s="2438"/>
      <c r="T30" s="2438"/>
      <c r="U30" s="2438"/>
      <c r="V30" s="2438"/>
    </row>
    <row r="31" spans="1:28">
      <c r="A31" s="3511"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2"/>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6" t="s">
        <v>2228</v>
      </c>
      <c r="T34" s="2427" t="str">
        <f>NUMBERSTRING(7-K34,1)&amp;"通"</f>
        <v>七通</v>
      </c>
      <c r="U34" s="2438"/>
      <c r="V34" s="2438"/>
    </row>
    <row r="35" spans="1:30">
      <c r="A35" s="2428"/>
      <c r="B35" s="3513" t="s">
        <v>2229</v>
      </c>
      <c r="C35" s="3513"/>
      <c r="D35" s="3513"/>
      <c r="E35" s="351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184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185</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0" sqref="C4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114</v>
      </c>
      <c r="H5" s="13">
        <f t="shared" ref="H5:AT5" si="0">SUM(H13:H656)</f>
        <v>114</v>
      </c>
      <c r="I5" s="13">
        <f t="shared" si="0"/>
        <v>114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114</v>
      </c>
      <c r="BA5" s="15">
        <f t="shared" si="1"/>
        <v>114</v>
      </c>
      <c r="BB5" s="15">
        <f t="shared" si="1"/>
        <v>114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3410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3411</v>
      </c>
      <c r="E13" s="13">
        <f>IF($C$3="是",ROUND($A$3*G13/$B$3,2),ROUND($A$3*(G13-AT13)/$B$3,2))</f>
        <v>0</v>
      </c>
      <c r="F13" s="29"/>
      <c r="G13" s="30">
        <f>H13+AC13+AT13</f>
        <v>114</v>
      </c>
      <c r="H13" s="17">
        <f>SUMIF(I$12:AB$12,"总值",I13:AB13)</f>
        <v>114</v>
      </c>
      <c r="I13" s="1626">
        <v>114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114</v>
      </c>
      <c r="BA13" s="13">
        <f>SUM(BB13:BK13)</f>
        <v>114</v>
      </c>
      <c r="BB13" s="13">
        <f>IF($D13="是",I13-J13,0)</f>
        <v>114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8"/>
      <c r="G2" s="2649"/>
      <c r="H2" s="2650"/>
      <c r="I2" s="2324" t="s">
        <v>1132</v>
      </c>
      <c r="J2" s="2658"/>
      <c r="K2" s="2658"/>
      <c r="L2" s="2658"/>
      <c r="M2" s="2658"/>
      <c r="N2" s="2660"/>
      <c r="O2" s="2658"/>
      <c r="P2" s="2658"/>
    </row>
    <row r="3" spans="1:16" ht="15.75" thickBot="1">
      <c r="A3" s="3546" t="s">
        <v>1105</v>
      </c>
      <c r="B3" s="3546"/>
      <c r="C3" s="3546"/>
      <c r="D3" s="43">
        <f>'数据-基础表'!AY6</f>
        <v>0</v>
      </c>
      <c r="E3" s="43">
        <f>'数据-基础表'!AZ5</f>
        <v>114</v>
      </c>
      <c r="F3" s="2658"/>
      <c r="G3" s="1145"/>
      <c r="H3" s="1026" t="s">
        <v>1106</v>
      </c>
      <c r="I3" s="855" t="e">
        <f>ROUND('数据-基础表'!B3/'数据-基础表'!A3,2)</f>
        <v>#DIV/0!</v>
      </c>
      <c r="J3" s="2658"/>
      <c r="K3" s="2658"/>
      <c r="L3" s="2658"/>
      <c r="M3" s="2658"/>
      <c r="N3" s="2660"/>
      <c r="O3" s="2658"/>
      <c r="P3" s="2658"/>
    </row>
    <row r="4" spans="1:16" ht="15">
      <c r="A4" s="3547"/>
      <c r="B4" s="3548"/>
      <c r="C4" s="354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114</v>
      </c>
      <c r="F5" s="2658"/>
      <c r="G5" s="1145"/>
      <c r="H5" s="1026" t="s">
        <v>1106</v>
      </c>
      <c r="I5" s="855" t="e">
        <f>ROUND(E31/D31,2)</f>
        <v>#DIV/0!</v>
      </c>
      <c r="J5" s="2658"/>
      <c r="K5" s="2658"/>
      <c r="L5" s="2658"/>
      <c r="M5" s="2658"/>
      <c r="N5" s="2658"/>
      <c r="O5" s="2658"/>
      <c r="P5" s="2658"/>
    </row>
    <row r="6" spans="1:16" ht="15" thickBot="1">
      <c r="A6" s="1644"/>
      <c r="B6" s="3550" t="s">
        <v>1111</v>
      </c>
      <c r="C6" s="3550"/>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542"/>
      <c r="B7" s="3543"/>
      <c r="C7" s="3544"/>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114</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114</v>
      </c>
      <c r="F16" s="2658"/>
      <c r="G16" s="2659"/>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3412</v>
      </c>
      <c r="D19" s="45">
        <f>ROUND($D$3*E19/$E$3,2)</f>
        <v>0</v>
      </c>
      <c r="E19" s="53">
        <f t="shared" ref="E19:E26" si="1">SUM(F19:G19)</f>
        <v>114</v>
      </c>
      <c r="F19" s="2794">
        <f>'数据-基础表'!I13</f>
        <v>114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114</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114</v>
      </c>
      <c r="F27" s="1140">
        <f>IF(SUM(F19:F26)=E8,SUM(F19:F26),"地上面积有误")</f>
        <v>114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114</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114</v>
      </c>
      <c r="F31" s="677">
        <f>F27+F30</f>
        <v>114</v>
      </c>
      <c r="G31" s="678">
        <f>G27+G30</f>
        <v>0</v>
      </c>
      <c r="H31" s="2658"/>
      <c r="I31" s="2658"/>
      <c r="J31" s="2658"/>
      <c r="K31" s="2658"/>
      <c r="L31" s="2658"/>
      <c r="M31" s="2658"/>
      <c r="N31" s="2658"/>
      <c r="O31" s="2658"/>
      <c r="P31" s="2658"/>
    </row>
    <row r="32" spans="1:19">
      <c r="A32" s="1643"/>
      <c r="B32" s="1643" t="s">
        <v>1159</v>
      </c>
      <c r="C32" s="1643"/>
      <c r="D32" s="1643"/>
      <c r="E32" s="1053">
        <f>SUMIF(C19:C26,"*住宅*",E19:E26)</f>
        <v>114</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45701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3410</v>
      </c>
      <c r="D6" s="858">
        <f>SUMIF(项目基本情况!C$12:I$12,C6,项目基本情况!C$14:I$14)</f>
        <v>70</v>
      </c>
      <c r="E6" s="857">
        <f>IF(B6="","",SUMIF(项目基本情况!C$12:I$12,C6,项目基本情况!C$13:I$13))</f>
        <v>71069</v>
      </c>
      <c r="F6" s="64">
        <f>SUMIF(项目基本情况!C$12:I$12,C6,项目基本情况!C$15:I$15)</f>
        <v>69.5</v>
      </c>
      <c r="G6" s="65">
        <f>IF(ISERROR(ROUND(POWER(1+H6,D6-F6)*(POWER(1+H6,F6)-1)/(POWER(1+H6,D6)-1),3)),0,ROUND(POWER(1+H6,D6-F6)*(POWER(1+H6,F6)-1)/(POWER(1+H6,D6)-1),3))</f>
        <v>0.999</v>
      </c>
      <c r="H6" s="732">
        <v>0.05</v>
      </c>
      <c r="I6" s="732">
        <v>5.5E-2</v>
      </c>
      <c r="J6" s="66">
        <v>7.0000000000000007E-2</v>
      </c>
      <c r="K6" s="1030">
        <f>SUMIF('数据-汇总表'!C$19:C$33,A6,'数据-汇总表'!E$19:E$33)</f>
        <v>114</v>
      </c>
      <c r="L6" s="733">
        <v>2000</v>
      </c>
      <c r="M6" s="67">
        <f t="shared" ref="M6:M14" si="0">ROUND(K6*L6/10000,0)</f>
        <v>23</v>
      </c>
      <c r="N6" s="731">
        <v>0.4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v>
      </c>
      <c r="V6" s="70">
        <v>0.02</v>
      </c>
      <c r="W6" s="70">
        <v>0.1</v>
      </c>
      <c r="X6" s="1040"/>
      <c r="Y6" s="71">
        <f>N6</f>
        <v>0.4</v>
      </c>
      <c r="Z6" s="72"/>
      <c r="AA6" s="66"/>
      <c r="AB6" s="66"/>
      <c r="AC6" s="1040"/>
      <c r="AD6" s="73"/>
      <c r="AE6" s="1041">
        <f ca="1">IF(AN6="",0,SUMIF(INDIRECT("'"&amp;AN6&amp;"'"&amp;"!E:E"),$AE$5,INDIRECT("'"&amp;AN6&amp;"'"&amp;"!F:F")))</f>
        <v>69.5</v>
      </c>
      <c r="AF6" s="1348"/>
      <c r="AG6" s="138">
        <f>IF(AF6="",0,AE6-AF6)</f>
        <v>0</v>
      </c>
      <c r="AH6" s="74"/>
      <c r="AI6" s="76">
        <v>365</v>
      </c>
      <c r="AJ6" s="77"/>
      <c r="AK6" s="78">
        <v>5.0000000000000001E-3</v>
      </c>
      <c r="AL6" s="79">
        <v>1E-3</v>
      </c>
      <c r="AM6" s="80">
        <v>0.01</v>
      </c>
      <c r="AN6" s="1715" t="s">
        <v>3426</v>
      </c>
      <c r="AO6" s="52">
        <f ca="1">SUMIF(INDIRECT("'"&amp;AN6&amp;"'"&amp;"!A:A"),"总价",INDIRECT("'"&amp;AN6&amp;"'"&amp;"!B:B"))</f>
        <v>472.83350000000002</v>
      </c>
      <c r="AP6" s="1716">
        <f>IF(C6="住宅",K6*L6,0)</f>
        <v>228000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0.999</v>
      </c>
      <c r="H16" s="90">
        <f>ROUND(SUMPRODUCT(H6:H13,K6:K13)/SUMPRODUCT((H6:H13&gt;0)*(K6:K13)),3)</f>
        <v>0.05</v>
      </c>
      <c r="I16" s="91"/>
      <c r="J16" s="91"/>
      <c r="K16" s="92">
        <f>SUM(K6:K15)</f>
        <v>114</v>
      </c>
      <c r="L16" s="93">
        <f>ROUND(M16*10000/SUM(K6:K14),0)</f>
        <v>2018</v>
      </c>
      <c r="M16" s="93">
        <f>SUM(M6:M14)</f>
        <v>23</v>
      </c>
      <c r="N16" s="94">
        <f>ROUND(SUMPRODUCT(M6:M14,N6:N14)/M16,3)</f>
        <v>0.4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0.08</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f>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1" t="s">
        <v>2286</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45701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122639</v>
      </c>
      <c r="D5" s="2511" t="e">
        <f>ROUND(B5*10000/$B$2,0)</f>
        <v>#DIV/0!</v>
      </c>
      <c r="E5" s="2685"/>
      <c r="F5" s="2686"/>
      <c r="G5" s="2686"/>
      <c r="H5" s="2687"/>
      <c r="I5" s="2687"/>
      <c r="J5" s="2687"/>
      <c r="K5" s="2687"/>
    </row>
    <row r="6" spans="1:11" ht="16.5">
      <c r="A6" s="2511" t="s">
        <v>656</v>
      </c>
      <c r="B6" s="2511">
        <f>SUM(G14:G23)</f>
        <v>0</v>
      </c>
      <c r="C6" s="2511">
        <f ca="1">IF(B6=G14,结果表!H108,ROUND(B6*10000/$B$1,0))</f>
        <v>122639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4" t="s">
        <v>1265</v>
      </c>
      <c r="B4" s="1755" t="s">
        <v>1266</v>
      </c>
      <c r="C4" s="1756" t="s">
        <v>3414</v>
      </c>
      <c r="D4" s="1756" t="s">
        <v>3415</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7" t="s">
        <v>1268</v>
      </c>
      <c r="B5" s="3554">
        <v>25</v>
      </c>
      <c r="C5" s="3570"/>
      <c r="D5" s="3590"/>
      <c r="E5" s="131" t="s">
        <v>1269</v>
      </c>
      <c r="F5" s="1757"/>
      <c r="G5" s="1757"/>
      <c r="H5" s="1757"/>
      <c r="I5" s="1373"/>
    </row>
    <row r="6" spans="1:12" ht="12.75">
      <c r="A6" s="3567"/>
      <c r="B6" s="3554"/>
      <c r="C6" s="3571"/>
      <c r="D6" s="3590"/>
      <c r="E6" s="131" t="s">
        <v>1270</v>
      </c>
      <c r="F6" s="1757"/>
      <c r="G6" s="1757"/>
      <c r="H6" s="1757"/>
      <c r="I6" s="1373"/>
    </row>
    <row r="7" spans="1:12" ht="12.75">
      <c r="A7" s="3567"/>
      <c r="B7" s="3554"/>
      <c r="C7" s="3572"/>
      <c r="D7" s="3590"/>
      <c r="E7" s="131" t="s">
        <v>1271</v>
      </c>
      <c r="F7" s="1757"/>
      <c r="G7" s="1757"/>
      <c r="H7" s="1757"/>
      <c r="I7" s="1373"/>
    </row>
    <row r="8" spans="1:12" ht="12.75">
      <c r="A8" s="3567" t="s">
        <v>1272</v>
      </c>
      <c r="B8" s="3554">
        <v>15</v>
      </c>
      <c r="C8" s="3570"/>
      <c r="D8" s="3590"/>
      <c r="E8" s="131" t="s">
        <v>1273</v>
      </c>
      <c r="F8" s="1757"/>
      <c r="G8" s="1757"/>
      <c r="H8" s="1757"/>
      <c r="I8" s="1373"/>
    </row>
    <row r="9" spans="1:12" ht="12.75">
      <c r="A9" s="3567"/>
      <c r="B9" s="3554"/>
      <c r="C9" s="3572"/>
      <c r="D9" s="3590"/>
      <c r="E9" s="131" t="s">
        <v>1274</v>
      </c>
      <c r="F9" s="1757"/>
      <c r="G9" s="1757"/>
      <c r="H9" s="1757"/>
      <c r="I9" s="1373"/>
    </row>
    <row r="10" spans="1:12" ht="12.75">
      <c r="A10" s="3567" t="s">
        <v>1275</v>
      </c>
      <c r="B10" s="3554">
        <v>15</v>
      </c>
      <c r="C10" s="3570"/>
      <c r="D10" s="3590"/>
      <c r="E10" s="131" t="s">
        <v>1276</v>
      </c>
      <c r="F10" s="1757"/>
      <c r="G10" s="1757"/>
      <c r="H10" s="1757"/>
      <c r="I10" s="1373"/>
    </row>
    <row r="11" spans="1:12" ht="12.75">
      <c r="A11" s="3567"/>
      <c r="B11" s="3554"/>
      <c r="C11" s="3572"/>
      <c r="D11" s="3590"/>
      <c r="E11" s="131" t="s">
        <v>1277</v>
      </c>
      <c r="F11" s="1757"/>
      <c r="G11" s="1757"/>
      <c r="H11" s="1757"/>
      <c r="I11" s="1373"/>
    </row>
    <row r="12" spans="1:12" ht="12.75">
      <c r="A12" s="3567" t="s">
        <v>1278</v>
      </c>
      <c r="B12" s="3554">
        <v>15</v>
      </c>
      <c r="C12" s="3570"/>
      <c r="D12" s="3590"/>
      <c r="E12" s="131" t="s">
        <v>1279</v>
      </c>
      <c r="F12" s="1757"/>
      <c r="G12" s="1757"/>
      <c r="H12" s="1757"/>
      <c r="I12" s="1373"/>
    </row>
    <row r="13" spans="1:12" ht="12.75">
      <c r="A13" s="3567"/>
      <c r="B13" s="3554"/>
      <c r="C13" s="3572"/>
      <c r="D13" s="3590"/>
      <c r="E13" s="131" t="s">
        <v>1280</v>
      </c>
      <c r="F13" s="1757"/>
      <c r="G13" s="1757"/>
      <c r="H13" s="1757"/>
      <c r="I13" s="1373"/>
    </row>
    <row r="14" spans="1:12" ht="12.75">
      <c r="A14" s="3567" t="s">
        <v>1281</v>
      </c>
      <c r="B14" s="3554">
        <v>30</v>
      </c>
      <c r="C14" s="3570">
        <v>7</v>
      </c>
      <c r="D14" s="3590">
        <v>3</v>
      </c>
      <c r="E14" s="131" t="s">
        <v>1282</v>
      </c>
      <c r="F14" s="1757"/>
      <c r="G14" s="1757"/>
      <c r="H14" s="1757"/>
      <c r="I14" s="1373"/>
    </row>
    <row r="15" spans="1:12" ht="12.75">
      <c r="A15" s="3567"/>
      <c r="B15" s="3554"/>
      <c r="C15" s="3571"/>
      <c r="D15" s="3590"/>
      <c r="E15" s="131" t="s">
        <v>1283</v>
      </c>
      <c r="F15" s="1757"/>
      <c r="G15" s="1757"/>
      <c r="H15" s="1757"/>
      <c r="I15" s="1373"/>
    </row>
    <row r="16" spans="1:12" ht="12.75">
      <c r="A16" s="3567"/>
      <c r="B16" s="3554"/>
      <c r="C16" s="3572"/>
      <c r="D16" s="359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7" t="s">
        <v>2131</v>
      </c>
      <c r="F18" s="3578"/>
      <c r="G18" s="3578"/>
      <c r="H18" s="3578"/>
      <c r="I18" s="3578"/>
      <c r="K18" s="302" t="s">
        <v>1289</v>
      </c>
      <c r="L18" s="302">
        <f>IF(C1="",'数据-汇总表'!E3,SUMIF(项目类型,C1,'数据-汇总表'!E17:E26)+SUMIF(项目类型,C1,'数据-汇总表'!I17:I26))</f>
        <v>114</v>
      </c>
      <c r="M18" s="302">
        <f>IF(C1="",'数据-汇总表'!E3,SUMIF(项目类型,C1,'数据-汇总表'!E17:E26))</f>
        <v>114</v>
      </c>
    </row>
    <row r="19" spans="1:36" ht="15">
      <c r="A19" s="1761" t="s">
        <v>1290</v>
      </c>
      <c r="B19" s="1762" t="s">
        <v>1291</v>
      </c>
      <c r="C19" s="134">
        <f ca="1">SUMIF(INDIRECT("'"&amp;C4&amp;"'"&amp;"!A:A"),结果表!B19,INDIRECT("'"&amp;C4&amp;"'"&amp;"!B:B"))</f>
        <v>1710.0114000000001</v>
      </c>
      <c r="D19" s="135">
        <f ca="1">SUMIF(INDIRECT("'"&amp;D4&amp;"'"&amp;"!A:A"),结果表!B19,INDIRECT("'"&amp;D4&amp;"'"&amp;"!B:B"))</f>
        <v>670.25630000000001</v>
      </c>
      <c r="E19" s="1761" t="s">
        <v>1292</v>
      </c>
      <c r="F19" s="1762" t="s">
        <v>1291</v>
      </c>
      <c r="G19" s="136">
        <f ca="1">ROUND(C19*$C$18+D19*$D$18,0)</f>
        <v>1398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150001</v>
      </c>
      <c r="D20" s="138">
        <f ca="1">SUMIF(INDIRECT("'"&amp;D4&amp;"'"&amp;"!A:A"),结果表!B20,INDIRECT("'"&amp;D4&amp;"'"&amp;"!B:B"))</f>
        <v>58794</v>
      </c>
      <c r="E20" s="1764"/>
      <c r="F20" s="1026" t="s">
        <v>1295</v>
      </c>
      <c r="G20" s="139">
        <f ca="1">ROUND(C20*$C$18+D20*$D$18,0)</f>
        <v>122639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1.5512798611516221</v>
      </c>
      <c r="E22" s="129"/>
      <c r="F22" s="129"/>
      <c r="G22" s="129"/>
      <c r="H22" s="129"/>
      <c r="I22" s="129"/>
    </row>
    <row r="23" spans="1:36" ht="13.5" thickBot="1">
      <c r="A23" s="1747"/>
      <c r="B23" s="1747"/>
      <c r="C23" s="1747"/>
      <c r="D23" s="1747"/>
      <c r="E23" s="129"/>
      <c r="F23" s="129"/>
      <c r="G23" s="129"/>
      <c r="H23" s="129"/>
      <c r="I23" s="129"/>
    </row>
    <row r="24" spans="1:36" ht="14.25">
      <c r="A24" s="3561" t="s">
        <v>1299</v>
      </c>
      <c r="B24" s="1762" t="s">
        <v>1291</v>
      </c>
      <c r="C24" s="136">
        <f>IF(B30=0,0,D30)</f>
        <v>0</v>
      </c>
      <c r="D24" s="1769"/>
      <c r="E24" s="129"/>
      <c r="F24" s="129"/>
      <c r="G24" s="129"/>
      <c r="H24" s="129"/>
      <c r="I24" s="129"/>
    </row>
    <row r="25" spans="1:36" ht="14.25">
      <c r="A25" s="35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122639</v>
      </c>
      <c r="D32" s="1775" t="s">
        <v>3425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1" t="s">
        <v>1312</v>
      </c>
      <c r="B36" s="1787" t="s">
        <v>1313</v>
      </c>
      <c r="C36" s="145"/>
      <c r="D36" s="1788"/>
      <c r="E36" s="1789"/>
      <c r="F36" s="1790"/>
      <c r="G36" s="129"/>
      <c r="H36" s="129"/>
      <c r="I36" s="129"/>
    </row>
    <row r="37" spans="1:15" ht="15.75" thickBot="1">
      <c r="A37" s="3582"/>
      <c r="B37" s="1674" t="s">
        <v>1314</v>
      </c>
      <c r="C37" s="147"/>
      <c r="D37" s="1139"/>
      <c r="E37" s="1139"/>
      <c r="F37" s="1790"/>
      <c r="G37" s="129"/>
      <c r="H37" s="129"/>
      <c r="I37" s="129"/>
    </row>
    <row r="38" spans="1:15" ht="15.75" thickBot="1">
      <c r="A38" s="358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8" t="s">
        <v>1326</v>
      </c>
      <c r="B45" s="3559"/>
      <c r="C45" s="3560"/>
      <c r="D45" s="155">
        <f ca="1">ROUND(H101*F45,0)</f>
        <v>1398</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6"/>
      <c r="I46" s="159"/>
      <c r="J46" s="2522">
        <v>1</v>
      </c>
      <c r="K46" s="3617" t="s">
        <v>1331</v>
      </c>
      <c r="L46" s="3617"/>
      <c r="M46" s="3637"/>
      <c r="N46" s="3637"/>
      <c r="O46" s="3637"/>
    </row>
    <row r="47" spans="1:15" ht="12" customHeight="1">
      <c r="A47" s="160" t="s">
        <v>1332</v>
      </c>
      <c r="B47" s="161"/>
      <c r="C47" s="162"/>
      <c r="D47" s="1087" t="s">
        <v>1333</v>
      </c>
      <c r="E47" s="302" t="s">
        <v>1334</v>
      </c>
      <c r="F47" s="163" t="s">
        <v>1335</v>
      </c>
      <c r="G47" s="2545" t="s">
        <v>1336</v>
      </c>
      <c r="H47" s="2546"/>
      <c r="I47" s="159"/>
      <c r="J47" s="2522">
        <v>2</v>
      </c>
      <c r="K47" s="3617" t="s">
        <v>1337</v>
      </c>
      <c r="L47" s="3617"/>
      <c r="M47" s="3638">
        <f>'数据-取费表'!B2</f>
        <v>45701</v>
      </c>
      <c r="N47" s="3638"/>
      <c r="O47" s="3638"/>
    </row>
    <row r="48" spans="1:15" ht="25.5">
      <c r="A48" s="3586" t="s">
        <v>1338</v>
      </c>
      <c r="B48" s="3569"/>
      <c r="C48" s="356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17" t="s">
        <v>1340</v>
      </c>
      <c r="L48" s="3617"/>
      <c r="M48" s="3639">
        <f ca="1">H101</f>
        <v>1398</v>
      </c>
      <c r="N48" s="3639"/>
      <c r="O48" s="3639"/>
    </row>
    <row r="49" spans="1:35" ht="25.5" customHeight="1">
      <c r="A49" s="2332" t="s">
        <v>1341</v>
      </c>
      <c r="B49" s="3553" t="s">
        <v>1342</v>
      </c>
      <c r="C49" s="3553"/>
      <c r="D49" s="1590">
        <v>0</v>
      </c>
      <c r="E49" s="324" t="s">
        <v>1343</v>
      </c>
      <c r="F49" s="2423" t="s">
        <v>28</v>
      </c>
      <c r="G49" s="3623"/>
      <c r="H49" s="2309" t="s">
        <v>2134</v>
      </c>
      <c r="I49" s="2310"/>
      <c r="J49" s="2522">
        <v>4</v>
      </c>
      <c r="K49" s="3617" t="str">
        <f>IF(项目基本情况!E8="房地产抵押价值","房地产抵押价值","抵押担保权已注销时的房地产抵押价值")</f>
        <v>房地产抵押价值</v>
      </c>
      <c r="L49" s="3617"/>
      <c r="M49" s="3639">
        <f ca="1">IF(项目基本情况!E8="房地产抵押价值",H107,H109)</f>
        <v>1398</v>
      </c>
      <c r="N49" s="3639"/>
      <c r="O49" s="3639"/>
    </row>
    <row r="50" spans="1:35" ht="25.5" customHeight="1">
      <c r="A50" s="2550"/>
      <c r="B50" s="3553" t="s">
        <v>1344</v>
      </c>
      <c r="C50" s="3553"/>
      <c r="D50" s="2551"/>
      <c r="E50" s="332"/>
      <c r="F50" s="2423"/>
      <c r="G50" s="3624"/>
      <c r="H50" s="2311" t="s">
        <v>2135</v>
      </c>
      <c r="I50" s="2310"/>
      <c r="J50" s="3636" t="s">
        <v>1345</v>
      </c>
      <c r="K50" s="3636"/>
      <c r="L50" s="3636"/>
      <c r="M50" s="3636"/>
      <c r="N50" s="3636"/>
      <c r="O50" s="3636"/>
    </row>
    <row r="51" spans="1:35" ht="20.45" customHeight="1">
      <c r="A51" s="2552"/>
      <c r="B51" s="3553" t="s">
        <v>1346</v>
      </c>
      <c r="C51" s="3553"/>
      <c r="D51" s="1087"/>
      <c r="E51" s="327"/>
      <c r="F51" s="2423"/>
      <c r="G51" s="3625"/>
      <c r="H51" s="2311" t="s">
        <v>2136</v>
      </c>
      <c r="I51" s="2310"/>
      <c r="J51" s="2523" t="s">
        <v>1347</v>
      </c>
      <c r="K51" s="3617" t="s">
        <v>1348</v>
      </c>
      <c r="L51" s="3617"/>
      <c r="M51" s="2523" t="s">
        <v>1349</v>
      </c>
      <c r="N51" s="2523" t="s">
        <v>1350</v>
      </c>
      <c r="O51" s="2523" t="s">
        <v>1351</v>
      </c>
    </row>
    <row r="52" spans="1:35" ht="24" customHeight="1">
      <c r="A52" s="2334" t="s">
        <v>1352</v>
      </c>
      <c r="B52" s="3553" t="s">
        <v>1353</v>
      </c>
      <c r="C52" s="3553"/>
      <c r="D52" s="1087">
        <f ca="1">ROUND(D45*'数据-取费表'!B41/(1+'数据-取费表'!C42),0)</f>
        <v>75</v>
      </c>
      <c r="E52" s="2333" t="s">
        <v>1354</v>
      </c>
      <c r="F52" s="2553">
        <f>'数据-取费表'!B41</f>
        <v>5.6000000000000001E-2</v>
      </c>
      <c r="G52" s="2554"/>
      <c r="H52" s="2543"/>
      <c r="I52" s="1807"/>
      <c r="J52" s="2522">
        <v>1</v>
      </c>
      <c r="K52" s="3618" t="s">
        <v>1355</v>
      </c>
      <c r="L52" s="3618"/>
      <c r="M52" s="2524" t="b">
        <f>D48</f>
        <v>0</v>
      </c>
      <c r="N52" s="2522" t="str">
        <f>E48</f>
        <v>销售额×税（费）率</v>
      </c>
      <c r="O52" s="2525">
        <f>F48</f>
        <v>5.6000000000000001E-2</v>
      </c>
    </row>
    <row r="53" spans="1:35" ht="12" customHeight="1">
      <c r="A53" s="2334" t="s">
        <v>1356</v>
      </c>
      <c r="B53" s="3579" t="s">
        <v>2291</v>
      </c>
      <c r="C53" s="3580"/>
      <c r="D53" s="1087">
        <f ca="1">ROUND(D45*'数据-取费表'!B41/(1+'数据-取费表'!C42),0)</f>
        <v>75</v>
      </c>
      <c r="E53" s="2333" t="s">
        <v>1354</v>
      </c>
      <c r="F53" s="2553">
        <f>'数据-取费表'!B41</f>
        <v>5.6000000000000001E-2</v>
      </c>
      <c r="G53" s="2554"/>
      <c r="H53" s="2543"/>
      <c r="I53" s="1807"/>
      <c r="J53" s="2522">
        <v>2</v>
      </c>
      <c r="K53" s="3618" t="s">
        <v>1357</v>
      </c>
      <c r="L53" s="3618"/>
      <c r="M53" s="2524">
        <f t="shared" ref="M53:O54" ca="1" si="0">D55</f>
        <v>1</v>
      </c>
      <c r="N53" s="2522" t="str">
        <f t="shared" si="0"/>
        <v>销售额×税（费）率</v>
      </c>
      <c r="O53" s="2525" t="str">
        <f t="shared" si="0"/>
        <v>免征</v>
      </c>
    </row>
    <row r="54" spans="1:35" ht="12" customHeight="1">
      <c r="A54" s="2334" t="s">
        <v>1358</v>
      </c>
      <c r="B54" s="3579" t="s">
        <v>2292</v>
      </c>
      <c r="C54" s="3580"/>
      <c r="D54" s="1087">
        <f ca="1">C68</f>
        <v>75</v>
      </c>
      <c r="E54" s="327" t="s">
        <v>1359</v>
      </c>
      <c r="F54" s="2553">
        <f>'数据-取费表'!B41</f>
        <v>5.6000000000000001E-2</v>
      </c>
      <c r="G54" s="2554"/>
      <c r="H54" s="2555"/>
      <c r="I54" s="1807"/>
      <c r="J54" s="2522">
        <v>3</v>
      </c>
      <c r="K54" s="3618" t="s">
        <v>1360</v>
      </c>
      <c r="L54" s="3618"/>
      <c r="M54" s="2524">
        <f t="shared" ca="1" si="0"/>
        <v>791</v>
      </c>
      <c r="N54" s="2522" t="str">
        <f t="shared" si="0"/>
        <v>增值额×税（费）率</v>
      </c>
      <c r="O54" s="2526" t="str">
        <f t="shared" si="0"/>
        <v>免征</v>
      </c>
    </row>
    <row r="55" spans="1:35" ht="24" customHeight="1">
      <c r="A55" s="3568" t="s">
        <v>1361</v>
      </c>
      <c r="B55" s="3569"/>
      <c r="C55" s="3569"/>
      <c r="D55" s="2323">
        <f ca="1">IF(H55="个人住宅",0,ROUND(D45*I55,0))</f>
        <v>1</v>
      </c>
      <c r="E55" s="2333" t="s">
        <v>1362</v>
      </c>
      <c r="F55" s="2553" t="str">
        <f>IF(H55="正常",I55,"免征")</f>
        <v>免征</v>
      </c>
      <c r="G55" s="2554"/>
      <c r="H55" s="2549"/>
      <c r="I55" s="165">
        <f>'数据-取费表'!B49</f>
        <v>5.0000000000000001E-4</v>
      </c>
      <c r="J55" s="2522">
        <f>IF(H59="非个人房产","",4)</f>
        <v>4</v>
      </c>
      <c r="K55" s="3618" t="str">
        <f>IF(H59="非个人房产","——","个人所得税")</f>
        <v>个人所得税</v>
      </c>
      <c r="L55" s="3618"/>
      <c r="M55" s="2527">
        <f ca="1">D59</f>
        <v>13</v>
      </c>
      <c r="N55" s="2039" t="str">
        <f>E59</f>
        <v>差额计税</v>
      </c>
      <c r="O55" s="2528">
        <f>F59</f>
        <v>0.01</v>
      </c>
    </row>
    <row r="56" spans="1:35" ht="24.75">
      <c r="A56" s="3568" t="s">
        <v>1363</v>
      </c>
      <c r="B56" s="3569"/>
      <c r="C56" s="3569"/>
      <c r="D56" s="2323">
        <f ca="1">IF(H56="个人住宅",D57,D58)</f>
        <v>791</v>
      </c>
      <c r="E56" s="2333" t="s">
        <v>1364</v>
      </c>
      <c r="F56" s="2553" t="str">
        <f>IF(H56="正常",F58,"免征")</f>
        <v>免征</v>
      </c>
      <c r="G56" s="2556" t="s">
        <v>1365</v>
      </c>
      <c r="H56" s="2557"/>
      <c r="I56" s="1808"/>
      <c r="J56" s="2522" t="str">
        <f>IF(项目基本情况!K6="上海银行",IF(J55="",4,J55+1),"")</f>
        <v/>
      </c>
      <c r="K56" s="3641" t="str">
        <f>IF(项目基本情况!K6="上海银行","其他处置费用","")</f>
        <v/>
      </c>
      <c r="L56" s="3642"/>
      <c r="M56" s="2524" t="str">
        <f>IF(项目基本情况!K6="上海银行",M69,"")</f>
        <v/>
      </c>
      <c r="N56" s="3641" t="str">
        <f>IF(项目基本情况!K6="上海银行","包含处置中涉及的律师、诉讼、拍卖、评估等费用","")</f>
        <v/>
      </c>
      <c r="O56" s="3644"/>
    </row>
    <row r="57" spans="1:35" ht="12.75">
      <c r="A57" s="2334" t="s">
        <v>1341</v>
      </c>
      <c r="B57" s="3579" t="s">
        <v>1366</v>
      </c>
      <c r="C57" s="3580"/>
      <c r="D57" s="1590">
        <v>0</v>
      </c>
      <c r="E57" s="324" t="s">
        <v>1343</v>
      </c>
      <c r="F57" s="302"/>
      <c r="G57" s="2554"/>
      <c r="H57" s="2558"/>
      <c r="I57" s="1808"/>
      <c r="J57" s="3618">
        <f>IF(AND(J55="",J56=""),4,IF(项目基本情况!K6="上海银行",结果表!J56+1,结果表!J55+1))</f>
        <v>5</v>
      </c>
      <c r="K57" s="3618" t="s">
        <v>1367</v>
      </c>
      <c r="L57" s="2529" t="s">
        <v>1368</v>
      </c>
      <c r="M57" s="2530"/>
      <c r="N57" s="2531">
        <f ca="1">SUMIF(M52:M56,"&lt;9e307")</f>
        <v>805</v>
      </c>
      <c r="O57" s="2532"/>
      <c r="P57" s="2689">
        <f ca="1">N57/M49</f>
        <v>0.57582260371959948</v>
      </c>
    </row>
    <row r="58" spans="1:35" ht="24.75">
      <c r="A58" s="2334" t="s">
        <v>1352</v>
      </c>
      <c r="B58" s="3579" t="s">
        <v>1369</v>
      </c>
      <c r="C58" s="3553"/>
      <c r="D58" s="2323">
        <f ca="1">IF(H58="转让取得",C81,C97)</f>
        <v>791</v>
      </c>
      <c r="E58" s="2333" t="s">
        <v>1364</v>
      </c>
      <c r="F58" s="302" t="s">
        <v>28</v>
      </c>
      <c r="G58" s="2554"/>
      <c r="H58" s="2557"/>
      <c r="I58" s="1808"/>
      <c r="J58" s="3618"/>
      <c r="K58" s="3618"/>
      <c r="L58" s="2529" t="s">
        <v>1370</v>
      </c>
      <c r="M58" s="2533"/>
      <c r="N58" s="2534" t="str">
        <f ca="1">NUMBERSTRING(INT(N57*10000),2)&amp;"元整"</f>
        <v>捌佰零伍万元整</v>
      </c>
      <c r="O58" s="2535"/>
    </row>
    <row r="59" spans="1:35" ht="24.75" thickBot="1">
      <c r="A59" s="3621" t="s">
        <v>1371</v>
      </c>
      <c r="B59" s="3622"/>
      <c r="C59" s="3622"/>
      <c r="D59" s="2559">
        <f ca="1">IF(H59="非个人房产","——",IF(H59="个人住宅（满五唯一有凭证）",0,IF(H59="个人其他（无凭证）",ROUND(D45*F59,0),ROUND(C67*F59,0))))</f>
        <v>13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9">
        <f>J57+1</f>
        <v>6</v>
      </c>
      <c r="K59" s="3618" t="s">
        <v>1372</v>
      </c>
      <c r="L59" s="2522" t="s">
        <v>1368</v>
      </c>
      <c r="M59" s="2536"/>
      <c r="N59" s="2537">
        <f ca="1">M49-N57</f>
        <v>593</v>
      </c>
      <c r="O59" s="2538"/>
    </row>
    <row r="60" spans="1:35" ht="12" customHeight="1">
      <c r="A60" s="1809"/>
      <c r="B60" s="1747"/>
      <c r="C60" s="1747"/>
      <c r="D60" s="1747"/>
      <c r="E60" s="1578"/>
      <c r="F60" s="1808"/>
      <c r="G60" s="1808"/>
      <c r="H60" s="1810"/>
      <c r="I60" s="129"/>
      <c r="J60" s="3620"/>
      <c r="K60" s="3618"/>
      <c r="L60" s="2529" t="s">
        <v>1370</v>
      </c>
      <c r="M60" s="2533"/>
      <c r="N60" s="2534" t="str">
        <f ca="1">NUMBERSTRING(INT(N59*10000),2)&amp;"元整"</f>
        <v>伍佰玖拾叁万元整</v>
      </c>
      <c r="O60" s="2535"/>
    </row>
    <row r="61" spans="1:35" ht="13.5" thickBot="1">
      <c r="A61" s="3566" t="s">
        <v>1373</v>
      </c>
      <c r="B61" s="3566"/>
      <c r="C61" s="3566"/>
      <c r="D61" s="3566"/>
      <c r="E61" s="3566"/>
      <c r="F61" s="1808"/>
      <c r="G61" s="1808"/>
      <c r="H61" s="1810"/>
      <c r="I61" s="129"/>
      <c r="J61" s="2522">
        <f>J59+1</f>
        <v>7</v>
      </c>
      <c r="K61" s="3618" t="s">
        <v>1374</v>
      </c>
      <c r="L61" s="3618"/>
      <c r="M61" s="2539"/>
      <c r="N61" s="2540">
        <f ca="1">ROUND(N59*10000/'数据-汇总表'!E3,0)</f>
        <v>52018</v>
      </c>
      <c r="O61" s="2541"/>
    </row>
    <row r="62" spans="1:35" ht="12.75">
      <c r="A62" s="3584" t="s">
        <v>1375</v>
      </c>
      <c r="B62" s="3585"/>
      <c r="C62" s="2020"/>
      <c r="D62" s="2020" t="s">
        <v>1376</v>
      </c>
      <c r="E62" s="166" t="s">
        <v>1377</v>
      </c>
      <c r="F62" s="1808"/>
      <c r="G62" s="1808"/>
      <c r="H62" s="1810"/>
      <c r="I62" s="129"/>
    </row>
    <row r="63" spans="1:35" ht="12.75">
      <c r="A63" s="173" t="s">
        <v>330</v>
      </c>
      <c r="B63" s="167" t="s">
        <v>1378</v>
      </c>
      <c r="C63" s="2563">
        <f ca="1">ROUND((C64+C65)/(1+'数据-取费表'!C42),0)</f>
        <v>1331</v>
      </c>
      <c r="D63" s="167"/>
      <c r="E63" s="168"/>
      <c r="F63" s="1808"/>
      <c r="G63" s="1808"/>
      <c r="H63" s="1810"/>
      <c r="I63" s="129"/>
      <c r="J63" s="3643" t="s">
        <v>1379</v>
      </c>
      <c r="K63" s="1332" t="s">
        <v>1380</v>
      </c>
      <c r="L63" s="1332">
        <f ca="1">IF(M49&gt;10000,M49*0.5%,IF(AND(M49&gt;1000,M49&lt;=10000),M49*1%,IF(AND(M49&gt;100,M49&lt;=1000),M49*3%,IF(AND(M49&gt;10,M49&lt;=100),M49*5%,M49*8%))))</f>
        <v>13.98</v>
      </c>
      <c r="M63" s="302">
        <f ca="1">ROUND(L63,1)</f>
        <v>14</v>
      </c>
      <c r="N63" s="2542"/>
      <c r="Z63" s="1752"/>
      <c r="AI63" s="1753"/>
    </row>
    <row r="64" spans="1:35" ht="14.25" customHeight="1">
      <c r="A64" s="169" t="s">
        <v>325</v>
      </c>
      <c r="B64" s="170" t="s">
        <v>1381</v>
      </c>
      <c r="C64" s="2564">
        <f ca="1">D45</f>
        <v>1398</v>
      </c>
      <c r="D64" s="170" t="s">
        <v>26</v>
      </c>
      <c r="E64" s="172"/>
      <c r="F64" s="1808"/>
      <c r="G64" s="1808"/>
      <c r="H64" s="1810"/>
      <c r="I64" s="129"/>
      <c r="J64" s="3643"/>
      <c r="K64" s="1332" t="s">
        <v>1382</v>
      </c>
      <c r="L64" s="1332">
        <f ca="1">IF(M49&gt;2000,M49*0.5%,IF(AND(M49&gt;1000,M49&lt;=2000),M49*0.6%,IF(AND(M49&gt;500,M49&lt;=1000),M49*0.7%,IF(AND(M49&gt;200,M49&lt;=500),M49*0.8%,IF(AND(M49&gt;100,M49&lt;=200),M49*0.9%,IF(AND(M49&gt;50,M49&lt;=100),M49*1%,IF(AND(M49&gt;20,M49&lt;=50),M49*1.5%,IF(AND(M49&gt;10,M49&lt;=20),M49*2%,IF(AND(M49&gt;1,M49&lt;=10),M49*2.5%)))))))))</f>
        <v>8.3879999999999999</v>
      </c>
      <c r="M64" s="302">
        <f t="shared" ref="M64:M65" ca="1" si="1">ROUND(L64,1)</f>
        <v>8.4</v>
      </c>
      <c r="N64" s="2543" t="s">
        <v>1383</v>
      </c>
      <c r="Z64" s="1752"/>
      <c r="AI64" s="1753"/>
    </row>
    <row r="65" spans="1:35" ht="14.25" customHeight="1">
      <c r="A65" s="169" t="s">
        <v>326</v>
      </c>
      <c r="B65" s="170" t="s">
        <v>1384</v>
      </c>
      <c r="C65" s="2565"/>
      <c r="D65" s="170"/>
      <c r="E65" s="172"/>
      <c r="F65" s="1808"/>
      <c r="G65" s="1808"/>
      <c r="H65" s="1810"/>
      <c r="I65" s="129"/>
      <c r="J65" s="3643"/>
      <c r="K65" s="1332" t="s">
        <v>1385</v>
      </c>
      <c r="L65" s="1332">
        <f ca="1">IF(M49&gt;1000,M49*0.1%,IF(AND(M49&gt;500,M49&lt;=1000),M49*0.5%,IF(AND(M49&gt;50,M49&lt;=500),M49*1%,IF(AND(M49&gt;1,M49&lt;=50),M49*1.5%))))</f>
        <v>1.3980000000000001</v>
      </c>
      <c r="M65" s="302">
        <f t="shared" ca="1" si="1"/>
        <v>1.4</v>
      </c>
      <c r="N65" s="2543" t="s">
        <v>1383</v>
      </c>
      <c r="Z65" s="1752"/>
      <c r="AI65" s="1753"/>
    </row>
    <row r="66" spans="1:35" ht="14.25" customHeight="1">
      <c r="A66" s="173" t="s">
        <v>327</v>
      </c>
      <c r="B66" s="174" t="s">
        <v>1386</v>
      </c>
      <c r="C66" s="2566"/>
      <c r="D66" s="174" t="s">
        <v>26</v>
      </c>
      <c r="E66" s="1338" t="s">
        <v>671</v>
      </c>
      <c r="F66" s="1808"/>
      <c r="G66" s="1808"/>
      <c r="H66" s="1810"/>
      <c r="I66" s="129"/>
      <c r="J66" s="3643"/>
      <c r="K66" s="1332" t="s">
        <v>1387</v>
      </c>
      <c r="L66" s="1332">
        <f ca="1">M49*0.5%</f>
        <v>6.99</v>
      </c>
      <c r="M66" s="302">
        <f ca="1">IF(L66&gt;0.5,0.5,ROUND(L66,0))</f>
        <v>0.5</v>
      </c>
      <c r="N66" s="2543" t="s">
        <v>1388</v>
      </c>
      <c r="Z66" s="1752"/>
      <c r="AI66" s="1753"/>
    </row>
    <row r="67" spans="1:35" ht="14.25" customHeight="1">
      <c r="A67" s="173" t="s">
        <v>328</v>
      </c>
      <c r="B67" s="174" t="s">
        <v>1389</v>
      </c>
      <c r="C67" s="2567">
        <f ca="1">C63-C66</f>
        <v>1331</v>
      </c>
      <c r="D67" s="170" t="s">
        <v>26</v>
      </c>
      <c r="E67" s="172"/>
      <c r="F67" s="1808"/>
      <c r="G67" s="1808"/>
      <c r="H67" s="1810"/>
      <c r="I67" s="129"/>
      <c r="J67" s="3643"/>
      <c r="K67" s="1332" t="s">
        <v>1390</v>
      </c>
      <c r="L67" s="1332">
        <f ca="1">IF(M49&gt;=10000,(8.25+(M49-10000)*0.01%),IF(AND(M49&gt;=8000,M49&lt;10000),(7.85+(M49-8000)*0.02%),IF(AND(M49&gt;=5000,M49&lt;8000),(6.65+(M49-5000)*0.04%),IF(AND(M49&gt;=2000,M49&lt;5000),(4.25+(PM49-2000)*0.08%),IF(AND(M49&gt;=1000,M49&lt;2000),(2.75+(M49-1000)*0.15%),IF(AND(M49&gt;=100,M49&lt;1000),(0.5+(M49-100)*0.25%),IF(AND(M49&gt;0,M49&lt;100),M49*0.5%)))))))</f>
        <v>3.347</v>
      </c>
      <c r="M67" s="302">
        <f ca="1">ROUND(L67*0.9,1)</f>
        <v>3</v>
      </c>
      <c r="N67" s="2542"/>
      <c r="Z67" s="1752"/>
      <c r="AI67" s="1753"/>
    </row>
    <row r="68" spans="1:35" ht="14.25" customHeight="1" thickBot="1">
      <c r="A68" s="176" t="s">
        <v>329</v>
      </c>
      <c r="B68" s="177" t="s">
        <v>1391</v>
      </c>
      <c r="C68" s="2568">
        <f ca="1">IF(C67&lt;=0,0,ROUND(C67*D68,0))</f>
        <v>75</v>
      </c>
      <c r="D68" s="2569">
        <f>'数据-取费表'!B41</f>
        <v>5.6000000000000001E-2</v>
      </c>
      <c r="E68" s="178"/>
      <c r="F68" s="1808"/>
      <c r="G68" s="1808"/>
      <c r="H68" s="1810"/>
      <c r="I68" s="129"/>
      <c r="J68" s="3643"/>
      <c r="K68" s="1332" t="s">
        <v>1392</v>
      </c>
      <c r="L68" s="1332">
        <f ca="1">IF(M49&gt;10000,M49*0.5%,IF(AND(M49&gt;5000,M49&lt;=10000),M49*1%,IF(AND(M49&gt;1000,M49&lt;=5000),M49*2%,IF(AND(M49&gt;200,M49&lt;=1000),M49*3%,M49*5%))))</f>
        <v>27.96</v>
      </c>
      <c r="M68" s="302">
        <f ca="1">ROUND(L68,1)</f>
        <v>28</v>
      </c>
      <c r="N68" s="2542"/>
      <c r="Z68" s="1752"/>
      <c r="AI68" s="1753"/>
    </row>
    <row r="69" spans="1:35" s="1772" customFormat="1" ht="16.5" customHeight="1">
      <c r="A69" s="1811"/>
      <c r="B69" s="1812"/>
      <c r="C69" s="1813"/>
      <c r="D69" s="1814"/>
      <c r="E69" s="1815"/>
      <c r="F69" s="1578"/>
      <c r="G69" s="1578"/>
      <c r="H69" s="1577"/>
      <c r="I69" s="1747"/>
      <c r="J69" s="3643"/>
      <c r="K69" s="1332" t="s">
        <v>1393</v>
      </c>
      <c r="L69" s="1332"/>
      <c r="M69" s="302">
        <f ca="1">ROUND(SUM(M63:M68),0)</f>
        <v>55</v>
      </c>
      <c r="N69" s="2544">
        <f ca="1">M69/M49</f>
        <v>3.9341917024320459E-2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1331</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8</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9" t="s">
        <v>1402</v>
      </c>
      <c r="F76" s="3553"/>
      <c r="G76" s="3553"/>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8</v>
      </c>
      <c r="D78" s="2576">
        <f>'数据-取费表'!B43</f>
        <v>6.000000000000001E-3</v>
      </c>
      <c r="E78" s="3563" t="s">
        <v>1406</v>
      </c>
      <c r="F78" s="3564"/>
      <c r="G78" s="3564"/>
      <c r="H78" s="35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1323</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165.375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791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1331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8</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45" t="s">
        <v>2129</v>
      </c>
      <c r="H90" s="3646"/>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3" t="s">
        <v>1419</v>
      </c>
      <c r="F91" s="3564"/>
      <c r="G91" s="35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3" t="s">
        <v>1422</v>
      </c>
      <c r="F92" s="3564"/>
      <c r="G92" s="3564"/>
      <c r="H92" s="3573"/>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8</v>
      </c>
      <c r="D93" s="2576">
        <f>'数据-取费表'!B43</f>
        <v>6.000000000000001E-3</v>
      </c>
      <c r="E93" s="3563" t="s">
        <v>1406</v>
      </c>
      <c r="F93" s="3564"/>
      <c r="G93" s="3564"/>
      <c r="H93" s="35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4" t="s">
        <v>1426</v>
      </c>
      <c r="F94" s="3575"/>
      <c r="G94" s="3575"/>
      <c r="H94" s="35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1323</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165.375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791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4" t="str">
        <f>C4</f>
        <v>比较法-住宅</v>
      </c>
      <c r="D101" s="2585" t="str">
        <f>D4</f>
        <v>成本法 (元)</v>
      </c>
      <c r="E101" s="3640" t="s">
        <v>1431</v>
      </c>
      <c r="F101" s="3597"/>
      <c r="G101" s="1827" t="s">
        <v>1432</v>
      </c>
      <c r="H101" s="2594">
        <f ca="1">H118</f>
        <v>1398</v>
      </c>
      <c r="I101" s="129"/>
    </row>
    <row r="102" spans="1:35" ht="18.75" customHeight="1">
      <c r="A102" s="3599" t="s">
        <v>1433</v>
      </c>
      <c r="B102" s="2583" t="s">
        <v>1432</v>
      </c>
      <c r="C102" s="2584">
        <f ca="1">IF(D32="楼面单价",ROUND(C19,0),C19)</f>
        <v>1710</v>
      </c>
      <c r="D102" s="2585">
        <f ca="1">IF(D32="楼面单价",ROUND(D19,0),D19)</f>
        <v>670</v>
      </c>
      <c r="E102" s="3640"/>
      <c r="F102" s="3597"/>
      <c r="G102" s="1827" t="s">
        <v>1434</v>
      </c>
      <c r="H102" s="2554">
        <f ca="1">I118</f>
        <v>122639</v>
      </c>
      <c r="I102" s="129"/>
    </row>
    <row r="103" spans="1:35" ht="42.75" customHeight="1">
      <c r="A103" s="3599"/>
      <c r="B103" s="2583" t="s">
        <v>1434</v>
      </c>
      <c r="C103" s="2586">
        <f ca="1">C20</f>
        <v>150001</v>
      </c>
      <c r="D103" s="2587">
        <f ca="1">D20</f>
        <v>58794</v>
      </c>
      <c r="E103" s="3634" t="s">
        <v>1435</v>
      </c>
      <c r="F103" s="3635"/>
      <c r="G103" s="1828" t="s">
        <v>1436</v>
      </c>
      <c r="H103" s="2594">
        <f>IF(D36="正常操作",H104+H105+H106,H105+H106)</f>
        <v>0</v>
      </c>
      <c r="I103" s="129"/>
    </row>
    <row r="104" spans="1:35" ht="18.75" customHeight="1">
      <c r="A104" s="3599" t="s">
        <v>1437</v>
      </c>
      <c r="B104" s="2588" t="s">
        <v>1432</v>
      </c>
      <c r="C104" s="2589">
        <f ca="1">H118</f>
        <v>1398</v>
      </c>
      <c r="D104" s="2590"/>
      <c r="E104" s="1674" t="s">
        <v>1438</v>
      </c>
      <c r="F104" s="1666"/>
      <c r="G104" s="1828" t="s">
        <v>1436</v>
      </c>
      <c r="H104" s="2595">
        <f>IF(D36="同一抵押权人同一抵押物续贷",C36&amp;"（续贷，未扣减，详见特别提示）",C36)</f>
        <v>0</v>
      </c>
      <c r="I104" s="129"/>
    </row>
    <row r="105" spans="1:35" ht="18.75" customHeight="1" thickBot="1">
      <c r="A105" s="3600"/>
      <c r="B105" s="2591" t="s">
        <v>1434</v>
      </c>
      <c r="C105" s="2592">
        <f ca="1">I118</f>
        <v>122639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6" t="str">
        <f>IF(项目基本情况!E8="已注销","——","3.房地产抵押价值")</f>
        <v>3.房地产抵押价值</v>
      </c>
      <c r="F107" s="3597"/>
      <c r="G107" s="1827" t="s">
        <v>1432</v>
      </c>
      <c r="H107" s="2594">
        <f ca="1">IF(E107="——","——",H101-H103)</f>
        <v>1398</v>
      </c>
      <c r="I107" s="129"/>
    </row>
    <row r="108" spans="1:35" ht="18.75" customHeight="1">
      <c r="A108" s="129"/>
      <c r="B108" s="129"/>
      <c r="C108" s="129"/>
      <c r="D108" s="129"/>
      <c r="E108" s="3596"/>
      <c r="F108" s="3597"/>
      <c r="G108" s="1827" t="s">
        <v>1434</v>
      </c>
      <c r="H108" s="2554">
        <f ca="1">IF(H107=H101,H102,ROUND(H107*10000/'数据-汇总表'!E3,0))</f>
        <v>122639</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7" t="s">
        <v>1432</v>
      </c>
      <c r="H109" s="2597" t="str">
        <f>IF(E109="——","——",H101-H105-H106)</f>
        <v>——</v>
      </c>
      <c r="I109" s="129"/>
    </row>
    <row r="110" spans="1:35" ht="18.75" customHeight="1">
      <c r="A110" s="129"/>
      <c r="B110" s="129"/>
      <c r="C110" s="129"/>
      <c r="D110" s="129"/>
      <c r="E110" s="3596"/>
      <c r="F110" s="3597"/>
      <c r="G110" s="1827" t="s">
        <v>1434</v>
      </c>
      <c r="H110" s="2554"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7" t="s">
        <v>1432</v>
      </c>
      <c r="H111" s="2594" t="str">
        <f>IF(E111="——","——",N59)</f>
        <v>——</v>
      </c>
      <c r="I111" s="129"/>
    </row>
    <row r="112" spans="1:35" ht="18.75" customHeight="1" thickBot="1">
      <c r="A112" s="129"/>
      <c r="B112" s="129"/>
      <c r="C112" s="129"/>
      <c r="D112" s="129"/>
      <c r="E112" s="3629"/>
      <c r="F112" s="3630"/>
      <c r="G112" s="1830"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114</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1398</v>
      </c>
      <c r="I118" s="2328">
        <f ca="1">ROUND(IF(D32="楼面单价",C32,H118*10000/B118),0)</f>
        <v>122639</v>
      </c>
    </row>
    <row r="119" spans="1:27" ht="18.75" customHeight="1">
      <c r="A119" s="3567" t="s">
        <v>1452</v>
      </c>
      <c r="B119" s="3567"/>
      <c r="C119" s="3567"/>
      <c r="D119" s="3607" t="e">
        <f ca="1">NUMBERSTRING(INT(D118*10000),2)&amp;"元整"</f>
        <v>#REF!</v>
      </c>
      <c r="E119" s="3609"/>
      <c r="F119" s="3607" t="e">
        <f ca="1">NUMBERSTRING(INT(F118*10000),2)&amp;"元整"</f>
        <v>#REF!</v>
      </c>
      <c r="G119" s="3609"/>
      <c r="H119" s="3607" t="str">
        <f ca="1">NUMBERSTRING(INT(H118*10000),2)&amp;"元整"</f>
        <v>壹仟叁佰玖拾捌万元整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f ca="1">H107</f>
        <v>1398</v>
      </c>
      <c r="E122" s="3632"/>
      <c r="F122" s="3632"/>
      <c r="G122" s="3632"/>
      <c r="H122" s="3632"/>
      <c r="I122" s="3633"/>
      <c r="AA122" s="725"/>
    </row>
    <row r="123" spans="1:27" ht="18.75" customHeight="1">
      <c r="A123" s="3567" t="s">
        <v>1452</v>
      </c>
      <c r="B123" s="3567"/>
      <c r="C123" s="3567"/>
      <c r="D123" s="3607" t="str">
        <f ca="1">NUMBERSTRING(INT(D122*10000),2)&amp;"元整"</f>
        <v>壹仟叁佰玖拾捌万元整</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1491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114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114</v>
      </c>
      <c r="E37" s="249">
        <f>'数据-取费表'!B35</f>
        <v>200</v>
      </c>
      <c r="F37" s="259"/>
      <c r="G37" s="261" t="s">
        <v>1532</v>
      </c>
    </row>
    <row r="38" spans="1:7" ht="13.5" customHeight="1">
      <c r="A38" s="780" t="s">
        <v>354</v>
      </c>
      <c r="B38" s="215" t="s">
        <v>1533</v>
      </c>
      <c r="C38" s="220">
        <f ca="1">ROUND(C34*F38,0)</f>
        <v>1</v>
      </c>
      <c r="D38" s="220"/>
      <c r="E38" s="220"/>
      <c r="F38" s="259">
        <f>'数据-取费表'!B36</f>
        <v>0.03</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0</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5.0000000000000001E-4</v>
      </c>
      <c r="D44" s="238"/>
      <c r="E44" s="238"/>
      <c r="F44" s="239"/>
      <c r="G44" s="3649"/>
    </row>
    <row r="45" spans="1:7" s="214" customFormat="1" ht="13.5" customHeight="1">
      <c r="A45" s="255" t="s">
        <v>1547</v>
      </c>
      <c r="B45" s="244" t="s">
        <v>1513</v>
      </c>
      <c r="C45" s="245">
        <f ca="1">C46</f>
        <v>5</v>
      </c>
      <c r="D45" s="235">
        <f ca="1">C47</f>
        <v>4.4999999999999997E-3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38</v>
      </c>
      <c r="D49" s="232"/>
      <c r="E49" s="232"/>
      <c r="F49" s="264"/>
      <c r="G49" s="234" t="s">
        <v>1554</v>
      </c>
    </row>
    <row r="50" spans="1:7" s="258" customFormat="1" ht="24">
      <c r="A50" s="255" t="s">
        <v>1555</v>
      </c>
      <c r="B50" s="210" t="s">
        <v>1556</v>
      </c>
      <c r="C50" s="232"/>
      <c r="D50" s="232"/>
      <c r="E50" s="232"/>
      <c r="F50" s="264">
        <f>IF('数据-取费表'!B24=0,'数据-取费表'!N16,1)</f>
        <v>0.4</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17</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115" zoomScaleNormal="60" zoomScaleSheetLayoutView="115" workbookViewId="0">
      <selection activeCell="N4" sqref="N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3410</v>
      </c>
      <c r="E1" s="3425" t="s">
        <v>3423</v>
      </c>
      <c r="F1" s="1879" t="s">
        <v>3424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1710.0114000000001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150001</v>
      </c>
      <c r="C3" s="354" t="s">
        <v>1665</v>
      </c>
      <c r="D3" s="353">
        <f>IF(D1="",'数据-汇总表'!E3,SUMIF('数据-汇总表'!$C19:$C33,D1,'数据-汇总表'!$E19:$E33))</f>
        <v>114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4"/>
      <c r="M4" s="2715"/>
      <c r="N4" s="2715"/>
      <c r="O4" s="2715"/>
      <c r="P4" s="3672" t="s">
        <v>1672</v>
      </c>
      <c r="Q4" s="3673"/>
      <c r="R4" s="3678" t="s">
        <v>1668</v>
      </c>
      <c r="S4" s="3679"/>
      <c r="T4" s="3678" t="s">
        <v>1669</v>
      </c>
      <c r="U4" s="3679"/>
      <c r="V4" s="3684" t="s">
        <v>1670</v>
      </c>
      <c r="W4" s="3684"/>
      <c r="X4" s="1355"/>
      <c r="Y4" s="3678" t="s">
        <v>1672</v>
      </c>
      <c r="Z4" s="3679"/>
      <c r="AA4" s="3665" t="s">
        <v>1668</v>
      </c>
      <c r="AB4" s="3665" t="s">
        <v>1669</v>
      </c>
      <c r="AC4" s="3665" t="s">
        <v>1670</v>
      </c>
    </row>
    <row r="5" spans="1:29" ht="15">
      <c r="A5" s="358"/>
      <c r="B5" s="359"/>
      <c r="C5" s="3687" t="s">
        <v>1673</v>
      </c>
      <c r="D5" s="3688"/>
      <c r="E5" s="3695" t="s">
        <v>3436</v>
      </c>
      <c r="F5" s="3696"/>
      <c r="G5" s="3687" t="str">
        <f>E5</f>
        <v>校场小六条</v>
      </c>
      <c r="H5" s="3688"/>
      <c r="I5" s="3692" t="s">
        <v>3437</v>
      </c>
      <c r="J5" s="3688"/>
      <c r="K5" s="1890"/>
      <c r="L5" s="2714"/>
      <c r="M5" s="2715"/>
      <c r="N5" s="2715"/>
      <c r="O5" s="2715"/>
      <c r="P5" s="3674"/>
      <c r="Q5" s="3675"/>
      <c r="R5" s="3680"/>
      <c r="S5" s="3681"/>
      <c r="T5" s="3680"/>
      <c r="U5" s="3681"/>
      <c r="V5" s="3684"/>
      <c r="W5" s="3684"/>
      <c r="X5" s="1355"/>
      <c r="Y5" s="3680"/>
      <c r="Z5" s="3681"/>
      <c r="AA5" s="3666"/>
      <c r="AB5" s="3666"/>
      <c r="AC5" s="3666"/>
    </row>
    <row r="6" spans="1:29" ht="15.75" thickBot="1">
      <c r="A6" s="360"/>
      <c r="B6" s="361"/>
      <c r="C6" s="3685" t="s">
        <v>1677</v>
      </c>
      <c r="D6" s="3686"/>
      <c r="E6" s="3693" t="s">
        <v>1677</v>
      </c>
      <c r="F6" s="3694"/>
      <c r="G6" s="3685" t="s">
        <v>1677</v>
      </c>
      <c r="H6" s="3686"/>
      <c r="I6" s="3685" t="s">
        <v>1677</v>
      </c>
      <c r="J6" s="3686"/>
      <c r="K6" s="1890" t="s">
        <v>1678</v>
      </c>
      <c r="L6" s="2714"/>
      <c r="M6" s="2715"/>
      <c r="N6" s="2715"/>
      <c r="O6" s="2715"/>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45701</v>
      </c>
      <c r="D7" s="365">
        <v>100</v>
      </c>
      <c r="E7" s="366">
        <f>C7</f>
        <v>45701</v>
      </c>
      <c r="F7" s="367">
        <f>SUMIF(58:58,YEAR(E7)&amp;"-"&amp;MONTH(E7),59:59)</f>
        <v>100</v>
      </c>
      <c r="G7" s="366">
        <f>C7</f>
        <v>45701</v>
      </c>
      <c r="H7" s="365">
        <f>SUMIF(58:58,YEAR(G7)&amp;"-"&amp;MONTH(G7),59:59)</f>
        <v>100</v>
      </c>
      <c r="I7" s="366">
        <f>C7</f>
        <v>45701</v>
      </c>
      <c r="J7" s="365">
        <f>SUMIF(58:58,YEAR(I7)&amp;"-"&amp;MONTH(I7),59:59)</f>
        <v>100</v>
      </c>
      <c r="K7" s="1891"/>
      <c r="L7" s="2716"/>
      <c r="M7" s="2717"/>
      <c r="N7" s="2717"/>
      <c r="O7" s="2717"/>
      <c r="P7" s="3689" t="s">
        <v>1680</v>
      </c>
      <c r="Q7" s="3691"/>
      <c r="R7" s="701" t="s">
        <v>20</v>
      </c>
      <c r="S7" s="702">
        <f t="shared" ref="S7:S15" si="0">F7</f>
        <v>100</v>
      </c>
      <c r="T7" s="701" t="s">
        <v>20</v>
      </c>
      <c r="U7" s="702">
        <f t="shared" ref="U7:U15" si="1">H7</f>
        <v>100</v>
      </c>
      <c r="V7" s="701" t="s">
        <v>20</v>
      </c>
      <c r="W7" s="702">
        <f t="shared" ref="W7:W15" si="2">J7</f>
        <v>100</v>
      </c>
      <c r="X7" s="703"/>
      <c r="Y7" s="3689" t="s">
        <v>1680</v>
      </c>
      <c r="Z7" s="3690"/>
      <c r="AA7" s="704">
        <f>D7/F7</f>
        <v>1</v>
      </c>
      <c r="AB7" s="704">
        <f>D7/H7</f>
        <v>1</v>
      </c>
      <c r="AC7" s="704">
        <f>D7/J7</f>
        <v>1</v>
      </c>
    </row>
    <row r="8" spans="1:29" s="108" customFormat="1" ht="15.75" thickBot="1">
      <c r="A8" s="362" t="s">
        <v>1681</v>
      </c>
      <c r="B8" s="363"/>
      <c r="C8" s="368" t="s">
        <v>3440</v>
      </c>
      <c r="D8" s="365">
        <v>100</v>
      </c>
      <c r="E8" s="1892" t="s">
        <v>3438</v>
      </c>
      <c r="F8" s="367">
        <f>SUMIF(61:61,E8,62:62)-SUMIF(61:61,C8,62:62)+100</f>
        <v>105</v>
      </c>
      <c r="G8" s="1892" t="s">
        <v>3438</v>
      </c>
      <c r="H8" s="365">
        <f>SUMIF(61:61,G8,62:62)-SUMIF(61:61,C8,62:62)+100</f>
        <v>105</v>
      </c>
      <c r="I8" s="1892" t="s">
        <v>3438</v>
      </c>
      <c r="J8" s="365">
        <f>SUMIF(61:61,I8,62:62)-SUMIF(61:61,C8,62:62)+100</f>
        <v>105</v>
      </c>
      <c r="K8" s="1891"/>
      <c r="L8" s="2716"/>
      <c r="M8" s="2717"/>
      <c r="N8" s="2717"/>
      <c r="O8" s="2717"/>
      <c r="P8" s="3689" t="s">
        <v>1683</v>
      </c>
      <c r="Q8" s="3690"/>
      <c r="R8" s="701" t="s">
        <v>20</v>
      </c>
      <c r="S8" s="702">
        <f t="shared" si="0"/>
        <v>105</v>
      </c>
      <c r="T8" s="701" t="s">
        <v>20</v>
      </c>
      <c r="U8" s="702">
        <f t="shared" si="1"/>
        <v>105</v>
      </c>
      <c r="V8" s="701" t="s">
        <v>20</v>
      </c>
      <c r="W8" s="702">
        <f t="shared" si="2"/>
        <v>105</v>
      </c>
      <c r="X8" s="703"/>
      <c r="Y8" s="3689" t="s">
        <v>1683</v>
      </c>
      <c r="Z8" s="3690"/>
      <c r="AA8" s="704">
        <f t="shared" ref="AA8:AA19" si="3">D8/F8</f>
        <v>0.95238095238095233</v>
      </c>
      <c r="AB8" s="704">
        <f t="shared" ref="AB8:AB19" si="4">D8/H8</f>
        <v>0.95238095238095233</v>
      </c>
      <c r="AC8" s="704">
        <f t="shared" ref="AC8:AC19" si="5">D8/J8</f>
        <v>0.95238095238095233</v>
      </c>
    </row>
    <row r="9" spans="1:29" s="108" customFormat="1">
      <c r="A9" s="369" t="s">
        <v>1684</v>
      </c>
      <c r="B9" s="63" t="s">
        <v>1685</v>
      </c>
      <c r="C9" s="3458" t="s">
        <v>3441</v>
      </c>
      <c r="D9" s="126">
        <v>100</v>
      </c>
      <c r="E9" s="371" t="s">
        <v>3410</v>
      </c>
      <c r="F9" s="372">
        <f>SUMIF(63:63,E9,64:64)-SUMIF(63:63,C9,64:64)+100</f>
        <v>100</v>
      </c>
      <c r="G9" s="371" t="s">
        <v>3410</v>
      </c>
      <c r="H9" s="126">
        <f>SUMIF(63:63,G9,64:64)-SUMIF(63:63,C9,64:64)+100</f>
        <v>100</v>
      </c>
      <c r="I9" s="371" t="s">
        <v>3410</v>
      </c>
      <c r="J9" s="126">
        <f>SUMIF(63:63,I9,64:64)-SUMIF(63:63,C9,64:64)+100</f>
        <v>100</v>
      </c>
      <c r="K9" s="1891"/>
      <c r="L9" s="2716"/>
      <c r="M9" s="2717"/>
      <c r="N9" s="2717"/>
      <c r="O9" s="2717"/>
      <c r="P9" s="3664"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0"/>
      <c r="M11" s="2715"/>
      <c r="N11" s="2715"/>
      <c r="O11" s="2715"/>
      <c r="P11" s="3664"/>
      <c r="Q11" s="1343" t="str">
        <f t="shared" si="6"/>
        <v>容积率</v>
      </c>
      <c r="R11" s="701" t="s">
        <v>18</v>
      </c>
      <c r="S11" s="702">
        <f t="shared" si="0"/>
        <v>100</v>
      </c>
      <c r="T11" s="701" t="s">
        <v>18</v>
      </c>
      <c r="U11" s="702">
        <f t="shared" si="1"/>
        <v>100</v>
      </c>
      <c r="V11" s="701" t="s">
        <v>18</v>
      </c>
      <c r="W11" s="702">
        <f t="shared" si="2"/>
        <v>100</v>
      </c>
      <c r="X11" s="703"/>
      <c r="Y11" s="3554"/>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4"/>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4"/>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4"/>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662" t="s">
        <v>1691</v>
      </c>
      <c r="Q15" s="1352" t="str">
        <f t="shared" si="6"/>
        <v>居住社区成熟度</v>
      </c>
      <c r="R15" s="705" t="s">
        <v>18</v>
      </c>
      <c r="S15" s="706">
        <f t="shared" si="0"/>
        <v>100</v>
      </c>
      <c r="T15" s="705" t="s">
        <v>18</v>
      </c>
      <c r="U15" s="706">
        <f t="shared" si="1"/>
        <v>100</v>
      </c>
      <c r="V15" s="705" t="s">
        <v>18</v>
      </c>
      <c r="W15" s="706">
        <f t="shared" si="2"/>
        <v>100</v>
      </c>
      <c r="X15" s="1355"/>
      <c r="Y15" s="3655" t="s">
        <v>1691</v>
      </c>
      <c r="Z15" s="1356" t="str">
        <f t="shared" si="7"/>
        <v>居住社区成熟度</v>
      </c>
      <c r="AA15" s="1353">
        <f t="shared" si="3"/>
        <v>1</v>
      </c>
      <c r="AB15" s="1353">
        <f t="shared" si="4"/>
        <v>1</v>
      </c>
      <c r="AC15" s="1353">
        <f t="shared" si="5"/>
        <v>1</v>
      </c>
    </row>
    <row r="16" spans="1:29" ht="15">
      <c r="A16" s="379"/>
      <c r="B16" s="397"/>
      <c r="C16" s="398" t="s">
        <v>3420</v>
      </c>
      <c r="D16" s="399"/>
      <c r="E16" s="398" t="s">
        <v>3420</v>
      </c>
      <c r="F16" s="399"/>
      <c r="G16" s="398" t="s">
        <v>3420</v>
      </c>
      <c r="H16" s="401"/>
      <c r="I16" s="398" t="s">
        <v>3420</v>
      </c>
      <c r="J16" s="399"/>
      <c r="K16" s="1899"/>
      <c r="L16" s="2721"/>
      <c r="M16" s="2715"/>
      <c r="N16" s="2715"/>
      <c r="O16" s="2715"/>
      <c r="P16" s="3663"/>
      <c r="Q16" s="1352"/>
      <c r="R16" s="705"/>
      <c r="S16" s="706"/>
      <c r="T16" s="705"/>
      <c r="U16" s="706"/>
      <c r="V16" s="705"/>
      <c r="W16" s="706"/>
      <c r="X16" s="1355"/>
      <c r="Y16" s="365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663"/>
      <c r="Q17" s="1352" t="str">
        <f>B17</f>
        <v>交通便捷度</v>
      </c>
      <c r="R17" s="705" t="s">
        <v>18</v>
      </c>
      <c r="S17" s="706">
        <f>F17</f>
        <v>100</v>
      </c>
      <c r="T17" s="705" t="s">
        <v>18</v>
      </c>
      <c r="U17" s="706">
        <f>H17</f>
        <v>100</v>
      </c>
      <c r="V17" s="705" t="s">
        <v>18</v>
      </c>
      <c r="W17" s="706">
        <f>J17</f>
        <v>100</v>
      </c>
      <c r="X17" s="1355"/>
      <c r="Y17" s="3656"/>
      <c r="Z17" s="1356" t="str">
        <f>Q17</f>
        <v>交通便捷度</v>
      </c>
      <c r="AA17" s="1353">
        <f t="shared" si="3"/>
        <v>1</v>
      </c>
      <c r="AB17" s="1353">
        <f t="shared" si="4"/>
        <v>1</v>
      </c>
      <c r="AC17" s="1353">
        <f t="shared" si="5"/>
        <v>1</v>
      </c>
    </row>
    <row r="18" spans="1:29" ht="15">
      <c r="A18" s="379"/>
      <c r="B18" s="407"/>
      <c r="C18" s="1901" t="s">
        <v>3420</v>
      </c>
      <c r="D18" s="401"/>
      <c r="E18" s="1901" t="s">
        <v>3420</v>
      </c>
      <c r="F18" s="401"/>
      <c r="G18" s="1901" t="s">
        <v>3420</v>
      </c>
      <c r="H18" s="399"/>
      <c r="I18" s="1901" t="s">
        <v>3420</v>
      </c>
      <c r="J18" s="399"/>
      <c r="K18" s="1899"/>
      <c r="L18" s="2721"/>
      <c r="M18" s="2715"/>
      <c r="N18" s="2715"/>
      <c r="O18" s="2715"/>
      <c r="P18" s="3663"/>
      <c r="Q18" s="1352"/>
      <c r="R18" s="705"/>
      <c r="S18" s="706"/>
      <c r="T18" s="705"/>
      <c r="U18" s="706"/>
      <c r="V18" s="705"/>
      <c r="W18" s="706"/>
      <c r="X18" s="1355"/>
      <c r="Y18" s="365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663"/>
      <c r="Q19" s="1352" t="str">
        <f>B19</f>
        <v>公共配套设施</v>
      </c>
      <c r="R19" s="705" t="s">
        <v>18</v>
      </c>
      <c r="S19" s="706">
        <f>F19</f>
        <v>100</v>
      </c>
      <c r="T19" s="705" t="s">
        <v>18</v>
      </c>
      <c r="U19" s="706">
        <f>H19</f>
        <v>100</v>
      </c>
      <c r="V19" s="705" t="s">
        <v>18</v>
      </c>
      <c r="W19" s="706">
        <f>J19</f>
        <v>100</v>
      </c>
      <c r="X19" s="1355"/>
      <c r="Y19" s="3656"/>
      <c r="Z19" s="1356" t="str">
        <f>Q19</f>
        <v>公共配套设施</v>
      </c>
      <c r="AA19" s="1353">
        <f t="shared" si="3"/>
        <v>1</v>
      </c>
      <c r="AB19" s="1353">
        <f t="shared" si="4"/>
        <v>1</v>
      </c>
      <c r="AC19" s="1353">
        <f t="shared" si="5"/>
        <v>1</v>
      </c>
    </row>
    <row r="20" spans="1:29" ht="15">
      <c r="A20" s="379"/>
      <c r="B20" s="407"/>
      <c r="C20" s="398" t="s">
        <v>3420</v>
      </c>
      <c r="D20" s="399"/>
      <c r="E20" s="398" t="s">
        <v>3420</v>
      </c>
      <c r="F20" s="399"/>
      <c r="G20" s="398" t="s">
        <v>3420</v>
      </c>
      <c r="H20" s="399"/>
      <c r="I20" s="398" t="s">
        <v>3420</v>
      </c>
      <c r="J20" s="399"/>
      <c r="K20" s="1899"/>
      <c r="L20" s="2721"/>
      <c r="M20" s="2715"/>
      <c r="N20" s="2715"/>
      <c r="O20" s="2715"/>
      <c r="P20" s="3663"/>
      <c r="Q20" s="1352"/>
      <c r="R20" s="705"/>
      <c r="S20" s="706"/>
      <c r="T20" s="705"/>
      <c r="U20" s="706"/>
      <c r="V20" s="705"/>
      <c r="W20" s="706"/>
      <c r="X20" s="1355"/>
      <c r="Y20" s="365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663"/>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t="s">
        <v>3442</v>
      </c>
      <c r="D22" s="399"/>
      <c r="E22" s="1901" t="s">
        <v>3442</v>
      </c>
      <c r="F22" s="399"/>
      <c r="G22" s="1901" t="s">
        <v>3442</v>
      </c>
      <c r="H22" s="399"/>
      <c r="I22" s="1901" t="s">
        <v>3442</v>
      </c>
      <c r="J22" s="399"/>
      <c r="K22" s="1905"/>
      <c r="L22" s="2721"/>
      <c r="M22" s="2715"/>
      <c r="N22" s="2715"/>
      <c r="O22" s="2715"/>
      <c r="P22" s="3663"/>
      <c r="Q22" s="1352"/>
      <c r="R22" s="705"/>
      <c r="S22" s="706"/>
      <c r="T22" s="705"/>
      <c r="U22" s="706"/>
      <c r="V22" s="705"/>
      <c r="W22" s="706"/>
      <c r="X22" s="1355"/>
      <c r="Y22" s="365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663"/>
      <c r="Q23" s="1352" t="str">
        <f>B23</f>
        <v>自然及人文环境</v>
      </c>
      <c r="R23" s="705" t="s">
        <v>18</v>
      </c>
      <c r="S23" s="706">
        <f>F23</f>
        <v>100</v>
      </c>
      <c r="T23" s="705" t="s">
        <v>18</v>
      </c>
      <c r="U23" s="706">
        <f>H23</f>
        <v>100</v>
      </c>
      <c r="V23" s="705" t="s">
        <v>18</v>
      </c>
      <c r="W23" s="706">
        <f>J23</f>
        <v>100</v>
      </c>
      <c r="X23" s="1355"/>
      <c r="Y23" s="3656"/>
      <c r="Z23" s="1356" t="str">
        <f>Q23</f>
        <v>自然及人文环境</v>
      </c>
      <c r="AA23" s="1353">
        <f>D23/F23</f>
        <v>1</v>
      </c>
      <c r="AB23" s="1353">
        <f>D23/H23</f>
        <v>1</v>
      </c>
      <c r="AC23" s="1353">
        <f>D23/J23</f>
        <v>1</v>
      </c>
    </row>
    <row r="24" spans="1:29" ht="15">
      <c r="A24" s="379"/>
      <c r="B24" s="407"/>
      <c r="C24" s="398" t="s">
        <v>3420</v>
      </c>
      <c r="D24" s="399"/>
      <c r="E24" s="398" t="s">
        <v>3420</v>
      </c>
      <c r="F24" s="399"/>
      <c r="G24" s="398" t="s">
        <v>3420</v>
      </c>
      <c r="H24" s="399"/>
      <c r="I24" s="398" t="s">
        <v>3420</v>
      </c>
      <c r="J24" s="399"/>
      <c r="K24" s="1899"/>
      <c r="L24" s="2721"/>
      <c r="M24" s="2715"/>
      <c r="N24" s="2715"/>
      <c r="O24" s="2715"/>
      <c r="P24" s="3663"/>
      <c r="Q24" s="1352"/>
      <c r="R24" s="705"/>
      <c r="S24" s="706"/>
      <c r="T24" s="705"/>
      <c r="U24" s="706"/>
      <c r="V24" s="705"/>
      <c r="W24" s="706"/>
      <c r="X24" s="1355"/>
      <c r="Y24" s="365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6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6"/>
      <c r="Z25" s="1356" t="str">
        <f>Q25</f>
        <v>楼层-1</v>
      </c>
      <c r="AA25" s="1353">
        <f t="shared" ref="AA25:AA46" si="15">D25/F25</f>
        <v>1</v>
      </c>
      <c r="AB25" s="1353">
        <f t="shared" ref="AB25:AB46" si="16">D25/H25</f>
        <v>1</v>
      </c>
      <c r="AC25" s="1353">
        <f t="shared" ref="AC25:AC46" si="17">D25/J25</f>
        <v>1</v>
      </c>
    </row>
    <row r="26" spans="1:29" ht="15">
      <c r="A26" s="379"/>
      <c r="B26" s="375" t="s">
        <v>1693</v>
      </c>
      <c r="C26" s="411" t="s">
        <v>3455</v>
      </c>
      <c r="D26" s="386">
        <v>100</v>
      </c>
      <c r="E26" s="1906" t="s">
        <v>3448</v>
      </c>
      <c r="F26" s="386">
        <f>SUMIF(88:88,E26,89:89)-SUMIF(88:88,C26,89:89)+100</f>
        <v>98</v>
      </c>
      <c r="G26" s="1907" t="s">
        <v>3452</v>
      </c>
      <c r="H26" s="386">
        <f>SUMIF(88:88,G26,89:89)-SUMIF(88:88,C26,89:89)+100</f>
        <v>96</v>
      </c>
      <c r="I26" s="1907" t="s">
        <v>3452</v>
      </c>
      <c r="J26" s="386">
        <f>SUMIF(88:88,I26,89:89)-SUMIF(88:88,C26,89:89)+100</f>
        <v>96</v>
      </c>
      <c r="K26" s="377">
        <v>2</v>
      </c>
      <c r="L26" s="2721"/>
      <c r="M26" s="2715"/>
      <c r="N26" s="2715"/>
      <c r="O26" s="2715"/>
      <c r="P26" s="3663"/>
      <c r="Q26" s="1352" t="str">
        <f t="shared" si="11"/>
        <v>朝向</v>
      </c>
      <c r="R26" s="705" t="s">
        <v>18</v>
      </c>
      <c r="S26" s="706">
        <f t="shared" si="12"/>
        <v>98</v>
      </c>
      <c r="T26" s="705" t="s">
        <v>18</v>
      </c>
      <c r="U26" s="706">
        <f t="shared" si="13"/>
        <v>96</v>
      </c>
      <c r="V26" s="705" t="s">
        <v>18</v>
      </c>
      <c r="W26" s="706">
        <f t="shared" si="14"/>
        <v>96</v>
      </c>
      <c r="X26" s="1355"/>
      <c r="Y26" s="3656"/>
      <c r="Z26" s="1356" t="str">
        <f>Q26</f>
        <v>朝向</v>
      </c>
      <c r="AA26" s="1353">
        <f t="shared" si="15"/>
        <v>1.0204081632653061</v>
      </c>
      <c r="AB26" s="1353">
        <f t="shared" si="16"/>
        <v>1.0416666666666667</v>
      </c>
      <c r="AC26" s="1353">
        <f t="shared" si="17"/>
        <v>1.0416666666666667</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63"/>
      <c r="Q27" s="1343">
        <f t="shared" si="11"/>
        <v>111</v>
      </c>
      <c r="R27" s="701" t="s">
        <v>18</v>
      </c>
      <c r="S27" s="702">
        <f t="shared" si="12"/>
        <v>100</v>
      </c>
      <c r="T27" s="701" t="s">
        <v>18</v>
      </c>
      <c r="U27" s="702">
        <f t="shared" si="13"/>
        <v>100</v>
      </c>
      <c r="V27" s="701" t="s">
        <v>18</v>
      </c>
      <c r="W27" s="702">
        <f t="shared" si="14"/>
        <v>100</v>
      </c>
      <c r="X27" s="703"/>
      <c r="Y27" s="365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63"/>
      <c r="Q28" s="1352">
        <f t="shared" si="11"/>
        <v>111</v>
      </c>
      <c r="R28" s="705" t="s">
        <v>18</v>
      </c>
      <c r="S28" s="706">
        <f t="shared" si="12"/>
        <v>100</v>
      </c>
      <c r="T28" s="705" t="s">
        <v>18</v>
      </c>
      <c r="U28" s="706">
        <f t="shared" si="13"/>
        <v>100</v>
      </c>
      <c r="V28" s="705" t="s">
        <v>18</v>
      </c>
      <c r="W28" s="706">
        <f t="shared" si="14"/>
        <v>100</v>
      </c>
      <c r="X28" s="1355"/>
      <c r="Y28" s="365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63"/>
      <c r="Q29" s="1352">
        <f t="shared" si="11"/>
        <v>111</v>
      </c>
      <c r="R29" s="705" t="s">
        <v>18</v>
      </c>
      <c r="S29" s="706">
        <f t="shared" si="12"/>
        <v>100</v>
      </c>
      <c r="T29" s="705" t="s">
        <v>18</v>
      </c>
      <c r="U29" s="706">
        <f t="shared" si="13"/>
        <v>100</v>
      </c>
      <c r="V29" s="705" t="s">
        <v>18</v>
      </c>
      <c r="W29" s="706">
        <f t="shared" si="14"/>
        <v>100</v>
      </c>
      <c r="X29" s="1355"/>
      <c r="Y29" s="365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63"/>
      <c r="Q30" s="1352">
        <f t="shared" si="11"/>
        <v>111</v>
      </c>
      <c r="R30" s="705" t="s">
        <v>18</v>
      </c>
      <c r="S30" s="706">
        <f t="shared" si="12"/>
        <v>100</v>
      </c>
      <c r="T30" s="705" t="s">
        <v>18</v>
      </c>
      <c r="U30" s="706">
        <f t="shared" si="13"/>
        <v>100</v>
      </c>
      <c r="V30" s="705" t="s">
        <v>18</v>
      </c>
      <c r="W30" s="706">
        <f t="shared" si="14"/>
        <v>100</v>
      </c>
      <c r="X30" s="1355"/>
      <c r="Y30" s="365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63"/>
      <c r="Q31" s="1352">
        <f t="shared" si="11"/>
        <v>111</v>
      </c>
      <c r="R31" s="705" t="s">
        <v>18</v>
      </c>
      <c r="S31" s="706">
        <f t="shared" si="12"/>
        <v>100</v>
      </c>
      <c r="T31" s="705" t="s">
        <v>18</v>
      </c>
      <c r="U31" s="706">
        <f t="shared" si="13"/>
        <v>100</v>
      </c>
      <c r="V31" s="705" t="s">
        <v>18</v>
      </c>
      <c r="W31" s="706">
        <f t="shared" si="14"/>
        <v>100</v>
      </c>
      <c r="X31" s="1355"/>
      <c r="Y31" s="3656"/>
      <c r="Z31" s="1356">
        <f t="shared" si="18"/>
        <v>111</v>
      </c>
      <c r="AA31" s="1353">
        <f t="shared" si="15"/>
        <v>1</v>
      </c>
      <c r="AB31" s="1353">
        <f t="shared" si="16"/>
        <v>1</v>
      </c>
      <c r="AC31" s="1353">
        <f t="shared" si="17"/>
        <v>1</v>
      </c>
    </row>
    <row r="32" spans="1:29" ht="15">
      <c r="A32" s="391" t="s">
        <v>1694</v>
      </c>
      <c r="B32" s="63" t="s">
        <v>1695</v>
      </c>
      <c r="C32" s="1910" t="s">
        <v>3443</v>
      </c>
      <c r="D32" s="418">
        <v>100</v>
      </c>
      <c r="E32" s="1910" t="s">
        <v>3443</v>
      </c>
      <c r="F32" s="412">
        <f>SUMIF(100:100,E32,101:101)-SUMIF(100:100,C32,101:101)+100</f>
        <v>100</v>
      </c>
      <c r="G32" s="1910" t="s">
        <v>3443</v>
      </c>
      <c r="H32" s="418">
        <f>SUMIF(100:100,G32,101:101)-SUMIF(100:100,C32,101:101)+100</f>
        <v>100</v>
      </c>
      <c r="I32" s="1910" t="s">
        <v>3443</v>
      </c>
      <c r="J32" s="386">
        <f>SUMIF(100:100,I32,101:101)-SUMIF(100:100,C32,101:101)+100</f>
        <v>100</v>
      </c>
      <c r="K32" s="377">
        <v>1</v>
      </c>
      <c r="L32" s="2721"/>
      <c r="M32" s="2715"/>
      <c r="N32" s="2715"/>
      <c r="O32" s="2715"/>
      <c r="P32" s="3657" t="s">
        <v>1696</v>
      </c>
      <c r="Q32" s="1352" t="str">
        <f t="shared" si="11"/>
        <v>建筑类型</v>
      </c>
      <c r="R32" s="705" t="s">
        <v>18</v>
      </c>
      <c r="S32" s="706">
        <f t="shared" si="12"/>
        <v>100</v>
      </c>
      <c r="T32" s="705" t="s">
        <v>18</v>
      </c>
      <c r="U32" s="706">
        <f t="shared" si="13"/>
        <v>100</v>
      </c>
      <c r="V32" s="705" t="s">
        <v>18</v>
      </c>
      <c r="W32" s="706">
        <f t="shared" si="14"/>
        <v>100</v>
      </c>
      <c r="X32" s="1355"/>
      <c r="Y32" s="3660" t="s">
        <v>1696</v>
      </c>
      <c r="Z32" s="1356" t="str">
        <f t="shared" si="18"/>
        <v>建筑类型</v>
      </c>
      <c r="AA32" s="1353">
        <f t="shared" si="15"/>
        <v>1</v>
      </c>
      <c r="AB32" s="1353">
        <f t="shared" si="16"/>
        <v>1</v>
      </c>
      <c r="AC32" s="1353">
        <f t="shared" si="17"/>
        <v>1</v>
      </c>
    </row>
    <row r="33" spans="1:29" s="422" customFormat="1" ht="15">
      <c r="A33" s="419"/>
      <c r="B33" s="375" t="s">
        <v>1697</v>
      </c>
      <c r="C33" s="420">
        <v>114</v>
      </c>
      <c r="D33" s="127">
        <v>100</v>
      </c>
      <c r="E33" s="381">
        <v>14.9</v>
      </c>
      <c r="F33" s="376">
        <f>LOOKUP(E33,103:103,104:104)-LOOKUP(C33,103:103,104:104)+100</f>
        <v>104</v>
      </c>
      <c r="G33" s="380">
        <v>14.79</v>
      </c>
      <c r="H33" s="127">
        <f>LOOKUP(G33,103:103,104:104)-LOOKUP(C33,103:103,104:104)+100</f>
        <v>104</v>
      </c>
      <c r="I33" s="381">
        <v>14</v>
      </c>
      <c r="J33" s="127">
        <f>LOOKUP(I33,103:103,104:104)-LOOKUP(C33,103:103,104:104)+100</f>
        <v>104</v>
      </c>
      <c r="K33" s="1894"/>
      <c r="L33" s="2720"/>
      <c r="M33" s="2722"/>
      <c r="N33" s="2722"/>
      <c r="O33" s="2722"/>
      <c r="P33" s="3658"/>
      <c r="Q33" s="707" t="str">
        <f t="shared" si="11"/>
        <v>项目建筑规模</v>
      </c>
      <c r="R33" s="708" t="s">
        <v>18</v>
      </c>
      <c r="S33" s="709">
        <f t="shared" si="12"/>
        <v>104</v>
      </c>
      <c r="T33" s="708" t="s">
        <v>18</v>
      </c>
      <c r="U33" s="709">
        <f t="shared" si="13"/>
        <v>104</v>
      </c>
      <c r="V33" s="708" t="s">
        <v>18</v>
      </c>
      <c r="W33" s="709">
        <f t="shared" si="14"/>
        <v>104</v>
      </c>
      <c r="X33" s="710"/>
      <c r="Y33" s="3660"/>
      <c r="Z33" s="711" t="str">
        <f t="shared" si="18"/>
        <v>项目建筑规模</v>
      </c>
      <c r="AA33" s="1353">
        <f t="shared" si="15"/>
        <v>0.96153846153846156</v>
      </c>
      <c r="AB33" s="1353">
        <f t="shared" si="16"/>
        <v>0.96153846153846156</v>
      </c>
      <c r="AC33" s="1353">
        <f t="shared" si="17"/>
        <v>0.96153846153846156</v>
      </c>
    </row>
    <row r="34" spans="1:29" ht="15" hidden="1">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8"/>
      <c r="Q34" s="1352" t="str">
        <f t="shared" si="11"/>
        <v>建筑结构</v>
      </c>
      <c r="R34" s="705" t="s">
        <v>18</v>
      </c>
      <c r="S34" s="706">
        <f t="shared" si="12"/>
        <v>100</v>
      </c>
      <c r="T34" s="705" t="s">
        <v>18</v>
      </c>
      <c r="U34" s="706">
        <f t="shared" si="13"/>
        <v>100</v>
      </c>
      <c r="V34" s="705" t="s">
        <v>18</v>
      </c>
      <c r="W34" s="706">
        <f t="shared" si="14"/>
        <v>100</v>
      </c>
      <c r="X34" s="1355"/>
      <c r="Y34" s="3660"/>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58"/>
      <c r="Q35" s="1352" t="str">
        <f t="shared" si="11"/>
        <v>建筑品质</v>
      </c>
      <c r="R35" s="705" t="s">
        <v>18</v>
      </c>
      <c r="S35" s="706">
        <f t="shared" si="12"/>
        <v>100</v>
      </c>
      <c r="T35" s="705" t="s">
        <v>18</v>
      </c>
      <c r="U35" s="706">
        <f t="shared" si="13"/>
        <v>100</v>
      </c>
      <c r="V35" s="705" t="s">
        <v>18</v>
      </c>
      <c r="W35" s="706">
        <f t="shared" si="14"/>
        <v>100</v>
      </c>
      <c r="X35" s="1355"/>
      <c r="Y35" s="3660"/>
      <c r="Z35" s="1356" t="str">
        <f t="shared" si="18"/>
        <v>建筑品质</v>
      </c>
      <c r="AA35" s="1353">
        <f t="shared" si="15"/>
        <v>1</v>
      </c>
      <c r="AB35" s="1353">
        <f t="shared" si="16"/>
        <v>1</v>
      </c>
      <c r="AC35" s="1353">
        <f t="shared" si="17"/>
        <v>1</v>
      </c>
    </row>
    <row r="36" spans="1:29" ht="15" hidden="1">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58"/>
      <c r="Q36" s="1352" t="str">
        <f t="shared" si="11"/>
        <v>公共部分装修</v>
      </c>
      <c r="R36" s="705" t="s">
        <v>18</v>
      </c>
      <c r="S36" s="706">
        <f t="shared" si="12"/>
        <v>100</v>
      </c>
      <c r="T36" s="705" t="s">
        <v>18</v>
      </c>
      <c r="U36" s="706">
        <f t="shared" si="13"/>
        <v>100</v>
      </c>
      <c r="V36" s="705" t="s">
        <v>18</v>
      </c>
      <c r="W36" s="706">
        <f t="shared" si="14"/>
        <v>100</v>
      </c>
      <c r="X36" s="1355"/>
      <c r="Y36" s="3660"/>
      <c r="Z36" s="1356" t="str">
        <f t="shared" si="18"/>
        <v>公共部分装修</v>
      </c>
      <c r="AA36" s="1353">
        <f t="shared" si="15"/>
        <v>1</v>
      </c>
      <c r="AB36" s="1353">
        <f t="shared" si="16"/>
        <v>1</v>
      </c>
      <c r="AC36" s="1353">
        <f t="shared" si="17"/>
        <v>1</v>
      </c>
    </row>
    <row r="37" spans="1:29" s="108" customFormat="1" ht="15">
      <c r="A37" s="424"/>
      <c r="B37" s="375" t="s">
        <v>1701</v>
      </c>
      <c r="C37" s="425">
        <f>'数据-取费表'!N6</f>
        <v>0.4</v>
      </c>
      <c r="D37" s="127">
        <v>100</v>
      </c>
      <c r="E37" s="425">
        <v>0.6</v>
      </c>
      <c r="F37" s="376">
        <f>LOOKUP(E37,112:112,113:113)-LOOKUP(C37,112:112,113:113)+100</f>
        <v>104</v>
      </c>
      <c r="G37" s="427">
        <v>0.5</v>
      </c>
      <c r="H37" s="127">
        <f>LOOKUP(G37,112:112,113:113)-LOOKUP(C37,112:112,113:113)+100</f>
        <v>102</v>
      </c>
      <c r="I37" s="426">
        <f>C37</f>
        <v>0.4</v>
      </c>
      <c r="J37" s="127">
        <f>LOOKUP(I37,112:112,113:113)-LOOKUP(C37,112:112,113:113)+100</f>
        <v>100</v>
      </c>
      <c r="K37" s="377">
        <v>2</v>
      </c>
      <c r="L37" s="2716"/>
      <c r="M37" s="2717"/>
      <c r="N37" s="2717"/>
      <c r="O37" s="2717"/>
      <c r="P37" s="3658"/>
      <c r="Q37" s="1343" t="str">
        <f t="shared" si="11"/>
        <v>成新度</v>
      </c>
      <c r="R37" s="701" t="s">
        <v>18</v>
      </c>
      <c r="S37" s="702">
        <f t="shared" si="12"/>
        <v>104</v>
      </c>
      <c r="T37" s="701" t="s">
        <v>18</v>
      </c>
      <c r="U37" s="702">
        <f t="shared" si="13"/>
        <v>102</v>
      </c>
      <c r="V37" s="701" t="s">
        <v>18</v>
      </c>
      <c r="W37" s="702">
        <f t="shared" si="14"/>
        <v>100</v>
      </c>
      <c r="X37" s="703"/>
      <c r="Y37" s="3660"/>
      <c r="Z37" s="52" t="str">
        <f t="shared" si="18"/>
        <v>成新度</v>
      </c>
      <c r="AA37" s="704">
        <f t="shared" si="15"/>
        <v>0.96153846153846156</v>
      </c>
      <c r="AB37" s="704">
        <f t="shared" si="16"/>
        <v>0.98039215686274506</v>
      </c>
      <c r="AC37" s="704">
        <f t="shared" si="17"/>
        <v>1</v>
      </c>
    </row>
    <row r="38" spans="1:29" ht="15" hidden="1">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58" t="s">
        <v>1696</v>
      </c>
      <c r="Q38" s="1352" t="str">
        <f t="shared" si="11"/>
        <v>物业管理</v>
      </c>
      <c r="R38" s="705" t="s">
        <v>18</v>
      </c>
      <c r="S38" s="706">
        <f t="shared" si="12"/>
        <v>100</v>
      </c>
      <c r="T38" s="705" t="s">
        <v>18</v>
      </c>
      <c r="U38" s="706">
        <f t="shared" si="13"/>
        <v>100</v>
      </c>
      <c r="V38" s="705" t="s">
        <v>18</v>
      </c>
      <c r="W38" s="706">
        <f t="shared" si="14"/>
        <v>100</v>
      </c>
      <c r="X38" s="1355"/>
      <c r="Y38" s="3660" t="s">
        <v>1696</v>
      </c>
      <c r="Z38" s="1356" t="str">
        <f t="shared" si="18"/>
        <v>物业管理</v>
      </c>
      <c r="AA38" s="1353">
        <f t="shared" si="15"/>
        <v>1</v>
      </c>
      <c r="AB38" s="1353">
        <f t="shared" si="16"/>
        <v>1</v>
      </c>
      <c r="AC38" s="1353">
        <f t="shared" si="17"/>
        <v>1</v>
      </c>
    </row>
    <row r="39" spans="1:29" ht="15" hidden="1">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58"/>
      <c r="Q39" s="1352" t="str">
        <f t="shared" si="11"/>
        <v>市政基础设施</v>
      </c>
      <c r="R39" s="705" t="s">
        <v>18</v>
      </c>
      <c r="S39" s="706">
        <f t="shared" si="12"/>
        <v>100</v>
      </c>
      <c r="T39" s="705" t="s">
        <v>18</v>
      </c>
      <c r="U39" s="706">
        <f t="shared" si="13"/>
        <v>100</v>
      </c>
      <c r="V39" s="705" t="s">
        <v>18</v>
      </c>
      <c r="W39" s="706">
        <f t="shared" si="14"/>
        <v>100</v>
      </c>
      <c r="X39" s="1355"/>
      <c r="Y39" s="3660"/>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58"/>
      <c r="Q40" s="1352" t="str">
        <f t="shared" si="11"/>
        <v>房型</v>
      </c>
      <c r="R40" s="705" t="s">
        <v>18</v>
      </c>
      <c r="S40" s="706">
        <f t="shared" si="12"/>
        <v>100</v>
      </c>
      <c r="T40" s="705" t="s">
        <v>18</v>
      </c>
      <c r="U40" s="706">
        <f t="shared" si="13"/>
        <v>100</v>
      </c>
      <c r="V40" s="705" t="s">
        <v>18</v>
      </c>
      <c r="W40" s="706">
        <f t="shared" si="14"/>
        <v>100</v>
      </c>
      <c r="X40" s="1355"/>
      <c r="Y40" s="3660"/>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58"/>
      <c r="Q41" s="707" t="str">
        <f t="shared" si="11"/>
        <v>单套/主力户型建筑面积</v>
      </c>
      <c r="R41" s="708" t="s">
        <v>18</v>
      </c>
      <c r="S41" s="709">
        <f t="shared" si="12"/>
        <v>100</v>
      </c>
      <c r="T41" s="708" t="s">
        <v>18</v>
      </c>
      <c r="U41" s="709">
        <f t="shared" si="13"/>
        <v>100</v>
      </c>
      <c r="V41" s="708" t="s">
        <v>18</v>
      </c>
      <c r="W41" s="709">
        <f t="shared" si="14"/>
        <v>100</v>
      </c>
      <c r="X41" s="710"/>
      <c r="Y41" s="3660"/>
      <c r="Z41" s="711" t="str">
        <f t="shared" si="18"/>
        <v>单套/主力户型建筑面积</v>
      </c>
      <c r="AA41" s="1353">
        <f t="shared" si="15"/>
        <v>1</v>
      </c>
      <c r="AB41" s="1353">
        <f t="shared" si="16"/>
        <v>1</v>
      </c>
      <c r="AC41" s="1353">
        <f t="shared" si="17"/>
        <v>1</v>
      </c>
    </row>
    <row r="42" spans="1:29" ht="15" hidden="1">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58"/>
      <c r="Q42" s="1352" t="str">
        <f t="shared" si="11"/>
        <v>内部装修</v>
      </c>
      <c r="R42" s="705" t="s">
        <v>18</v>
      </c>
      <c r="S42" s="706">
        <f t="shared" si="12"/>
        <v>100</v>
      </c>
      <c r="T42" s="705" t="s">
        <v>18</v>
      </c>
      <c r="U42" s="706">
        <f t="shared" si="13"/>
        <v>100</v>
      </c>
      <c r="V42" s="705" t="s">
        <v>18</v>
      </c>
      <c r="W42" s="706">
        <f t="shared" si="14"/>
        <v>100</v>
      </c>
      <c r="X42" s="1355"/>
      <c r="Y42" s="3660"/>
      <c r="Z42" s="1356" t="str">
        <f t="shared" si="18"/>
        <v>内部装修</v>
      </c>
      <c r="AA42" s="1353">
        <f t="shared" si="15"/>
        <v>1</v>
      </c>
      <c r="AB42" s="1353">
        <f t="shared" si="16"/>
        <v>1</v>
      </c>
      <c r="AC42" s="1353">
        <f t="shared" si="17"/>
        <v>1</v>
      </c>
    </row>
    <row r="43" spans="1:29" ht="15">
      <c r="A43" s="423"/>
      <c r="B43" s="375" t="s">
        <v>1707</v>
      </c>
      <c r="C43" s="1906" t="s">
        <v>3421</v>
      </c>
      <c r="D43" s="386">
        <v>100</v>
      </c>
      <c r="E43" s="1907" t="s">
        <v>3447</v>
      </c>
      <c r="F43" s="412">
        <f>SUMIF(124:124,E43,125:125)-SUMIF(124:124,C43,125:125)+100</f>
        <v>102</v>
      </c>
      <c r="G43" s="1906" t="s">
        <v>3447</v>
      </c>
      <c r="H43" s="386">
        <f>SUMIF(124:124,G43,125:125)-SUMIF(124:124,C43,125:125)+100</f>
        <v>102</v>
      </c>
      <c r="I43" s="1907" t="s">
        <v>3421</v>
      </c>
      <c r="J43" s="386">
        <f>SUMIF(124:124,I43,125:125)-SUMIF(124:124,C43,125:125)+100</f>
        <v>100</v>
      </c>
      <c r="K43" s="377">
        <v>2</v>
      </c>
      <c r="L43" s="2721"/>
      <c r="M43" s="2715"/>
      <c r="N43" s="2715"/>
      <c r="O43" s="2715"/>
      <c r="P43" s="3658"/>
      <c r="Q43" s="1352" t="str">
        <f t="shared" si="11"/>
        <v>内部装修维护情况</v>
      </c>
      <c r="R43" s="705" t="s">
        <v>18</v>
      </c>
      <c r="S43" s="706">
        <f t="shared" si="12"/>
        <v>102</v>
      </c>
      <c r="T43" s="705" t="s">
        <v>18</v>
      </c>
      <c r="U43" s="706">
        <f t="shared" si="13"/>
        <v>102</v>
      </c>
      <c r="V43" s="705" t="s">
        <v>18</v>
      </c>
      <c r="W43" s="706">
        <f t="shared" si="14"/>
        <v>100</v>
      </c>
      <c r="X43" s="1355"/>
      <c r="Y43" s="3660"/>
      <c r="Z43" s="1356" t="str">
        <f t="shared" si="18"/>
        <v>内部装修维护情况</v>
      </c>
      <c r="AA43" s="1353">
        <f t="shared" si="15"/>
        <v>0.98039215686274506</v>
      </c>
      <c r="AB43" s="1353">
        <f t="shared" si="16"/>
        <v>0.98039215686274506</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58"/>
      <c r="Q44" s="1343">
        <f t="shared" si="11"/>
        <v>111</v>
      </c>
      <c r="R44" s="701" t="s">
        <v>18</v>
      </c>
      <c r="S44" s="702">
        <f t="shared" si="12"/>
        <v>100</v>
      </c>
      <c r="T44" s="701" t="s">
        <v>18</v>
      </c>
      <c r="U44" s="702">
        <f t="shared" si="13"/>
        <v>100</v>
      </c>
      <c r="V44" s="701" t="s">
        <v>18</v>
      </c>
      <c r="W44" s="702">
        <f t="shared" si="14"/>
        <v>100</v>
      </c>
      <c r="X44" s="703"/>
      <c r="Y44" s="366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58"/>
      <c r="Q45" s="1352">
        <f t="shared" si="11"/>
        <v>111</v>
      </c>
      <c r="R45" s="705" t="s">
        <v>18</v>
      </c>
      <c r="S45" s="706">
        <f t="shared" si="12"/>
        <v>100</v>
      </c>
      <c r="T45" s="705" t="s">
        <v>18</v>
      </c>
      <c r="U45" s="706">
        <f t="shared" si="13"/>
        <v>100</v>
      </c>
      <c r="V45" s="705" t="s">
        <v>18</v>
      </c>
      <c r="W45" s="706">
        <f t="shared" si="14"/>
        <v>100</v>
      </c>
      <c r="X45" s="1355"/>
      <c r="Y45" s="366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59"/>
      <c r="Q46" s="1352">
        <f t="shared" si="11"/>
        <v>111</v>
      </c>
      <c r="R46" s="705" t="s">
        <v>17</v>
      </c>
      <c r="S46" s="706">
        <f t="shared" si="12"/>
        <v>100</v>
      </c>
      <c r="T46" s="705" t="s">
        <v>17</v>
      </c>
      <c r="U46" s="706">
        <f t="shared" si="13"/>
        <v>100</v>
      </c>
      <c r="V46" s="705" t="s">
        <v>17</v>
      </c>
      <c r="W46" s="706">
        <f t="shared" si="14"/>
        <v>100</v>
      </c>
      <c r="X46" s="1355"/>
      <c r="Y46" s="3661"/>
      <c r="Z46" s="1356">
        <f t="shared" si="18"/>
        <v>111</v>
      </c>
      <c r="AA46" s="1353">
        <f t="shared" si="15"/>
        <v>1</v>
      </c>
      <c r="AB46" s="1353">
        <f t="shared" si="16"/>
        <v>1</v>
      </c>
      <c r="AC46" s="1353">
        <f t="shared" si="17"/>
        <v>1</v>
      </c>
    </row>
    <row r="47" spans="1:29" ht="15">
      <c r="A47" s="430" t="s">
        <v>1708</v>
      </c>
      <c r="B47" s="431"/>
      <c r="C47" s="1154" t="s">
        <v>16</v>
      </c>
      <c r="D47" s="1155"/>
      <c r="E47" s="1156">
        <v>179866</v>
      </c>
      <c r="F47" s="1157"/>
      <c r="G47" s="1158">
        <v>165653</v>
      </c>
      <c r="H47" s="1159"/>
      <c r="I47" s="1156">
        <v>146429</v>
      </c>
      <c r="J47" s="1159"/>
      <c r="K47" s="1913"/>
      <c r="L47" s="2723"/>
      <c r="M47" s="2724"/>
      <c r="N47" s="2715"/>
      <c r="O47" s="2724"/>
      <c r="P47" s="3653" t="str">
        <f>A47</f>
        <v>成交单价（元/平方米）</v>
      </c>
      <c r="Q47" s="3653"/>
      <c r="R47" s="3654">
        <f>E47</f>
        <v>179866</v>
      </c>
      <c r="S47" s="3654"/>
      <c r="T47" s="3654">
        <f>G47</f>
        <v>165653</v>
      </c>
      <c r="U47" s="3654"/>
      <c r="V47" s="3654">
        <f>I47</f>
        <v>146429</v>
      </c>
      <c r="W47" s="3654"/>
      <c r="X47" s="690"/>
      <c r="Y47" s="712"/>
      <c r="Z47" s="690"/>
      <c r="AA47" s="690"/>
      <c r="AB47" s="690"/>
      <c r="AC47" s="690"/>
    </row>
    <row r="48" spans="1:29" ht="15.75" thickBot="1">
      <c r="A48" s="437" t="s">
        <v>1709</v>
      </c>
      <c r="B48" s="438"/>
      <c r="C48" s="1160">
        <f>R49</f>
        <v>150001</v>
      </c>
      <c r="D48" s="2316" t="s">
        <v>2138</v>
      </c>
      <c r="E48" s="1161">
        <f>R48</f>
        <v>158441</v>
      </c>
      <c r="F48" s="2317"/>
      <c r="G48" s="1160">
        <f>T48</f>
        <v>151882</v>
      </c>
      <c r="H48" s="2317"/>
      <c r="I48" s="1161">
        <f>V48</f>
        <v>139680</v>
      </c>
      <c r="J48" s="2317"/>
      <c r="K48" s="2318">
        <f>F48+H48+J48</f>
        <v>0</v>
      </c>
      <c r="L48" s="2723"/>
      <c r="M48" s="2724"/>
      <c r="N48" s="2724"/>
      <c r="O48" s="2724"/>
      <c r="P48" s="3653" t="str">
        <f>A48</f>
        <v>比较价值（元/平方米）</v>
      </c>
      <c r="Q48" s="3653"/>
      <c r="R48" s="3654">
        <f>IF(F1="售价",ROUND(PRODUCT(R47,AA7:AA46),0),ROUND(PRODUCT(R47,AA7:AA46),1))</f>
        <v>158441</v>
      </c>
      <c r="S48" s="3654"/>
      <c r="T48" s="3654">
        <f>IF(F1="售价",ROUND(PRODUCT(T47,AB7:AB46),0),ROUND(PRODUCT(T47,AB7:AB46),1))</f>
        <v>151882</v>
      </c>
      <c r="U48" s="3654"/>
      <c r="V48" s="3654">
        <f>IF(F1="售价",ROUND(PRODUCT(V47,AC7:AC46),0),ROUND(PRODUCT(V47,AC7:AC46),1))</f>
        <v>139680</v>
      </c>
      <c r="W48" s="3654"/>
      <c r="X48" s="690"/>
      <c r="Y48" s="690"/>
      <c r="Z48" s="690"/>
      <c r="AA48" s="690"/>
      <c r="AB48" s="690"/>
      <c r="AC48" s="690"/>
    </row>
    <row r="49" spans="1:29" ht="15.75" thickBot="1">
      <c r="A49" s="441" t="s">
        <v>1710</v>
      </c>
      <c r="B49" s="442"/>
      <c r="C49" s="1162">
        <f>R49</f>
        <v>150001</v>
      </c>
      <c r="D49" s="1163"/>
      <c r="E49" s="1163"/>
      <c r="F49" s="1163"/>
      <c r="G49" s="1163"/>
      <c r="H49" s="1163"/>
      <c r="I49" s="1163"/>
      <c r="J49" s="1163"/>
      <c r="K49" s="1914"/>
      <c r="L49" s="2723"/>
      <c r="M49" s="2724"/>
      <c r="N49" s="2724"/>
      <c r="O49" s="2724"/>
      <c r="P49" s="3650" t="str">
        <f>A49</f>
        <v>估价对象XX用房的比较价值（楼面单价，元/平方米）</v>
      </c>
      <c r="Q49" s="3651"/>
      <c r="R49" s="3652">
        <f>IF(F1="售价",ROUND(IF(D48="简单平均",AVERAGE(R48:V48),R48*F48+T48*H48+V48*J48),0),ROUND(IF(D48="简单平均",AVERAGE(R48:V48),R48*F48+T48*H48+V48*J48),1))</f>
        <v>150001</v>
      </c>
      <c r="S49" s="3652"/>
      <c r="T49" s="3652"/>
      <c r="U49" s="3652"/>
      <c r="V49" s="3652"/>
      <c r="W49" s="365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0.13522383726434439</v>
      </c>
      <c r="F52" s="449" t="str">
        <f>IF(OR(E52&gt;=0.3,E52&lt;=-0.3),"超过30%","")</f>
        <v/>
      </c>
      <c r="G52" s="448">
        <f>IF(G47&lt;G48,G48/G47-1,G47/G48-1)</f>
        <v>9.0669072042770082E-2</v>
      </c>
      <c r="H52" s="449" t="str">
        <f>IF(OR(G52&gt;=0.3,G52&lt;=-0.3),"超过30%","")</f>
        <v/>
      </c>
      <c r="I52" s="448">
        <f>IF(I47&lt;I48,I48/I47-1,I47/I48-1)</f>
        <v>4.831758304696443E-2</v>
      </c>
      <c r="J52" s="449" t="str">
        <f>IF(OR(I52&gt;=0.3,I52&lt;=-0.3),"超过30%","")</f>
        <v/>
      </c>
      <c r="K52" s="2729"/>
      <c r="L52" s="2725"/>
      <c r="M52" s="2724"/>
      <c r="N52" s="2724"/>
      <c r="O52" s="2724"/>
    </row>
    <row r="53" spans="1:29" ht="13.5" customHeight="1">
      <c r="A53" s="2724"/>
      <c r="B53" s="2724"/>
      <c r="C53" s="446" t="s">
        <v>1712</v>
      </c>
      <c r="D53" s="450"/>
      <c r="E53" s="448">
        <f>IF(E48&lt;G48,G48/E48-1,E48/G48-1)</f>
        <v>4.3184840863301766E-2</v>
      </c>
      <c r="F53" s="449" t="str">
        <f>IF(OR(E53&gt;=0.2,E53&lt;=-0.2),"超过20%","")</f>
        <v/>
      </c>
      <c r="G53" s="448">
        <f>IF(G48&lt;I48,I48/G48-1,G48/I48-1)</f>
        <v>8.7356815578464975E-2</v>
      </c>
      <c r="H53" s="449" t="str">
        <f>IF(OR(G53&gt;=0.2,G53&lt;=-0.2),"超过20%","")</f>
        <v/>
      </c>
      <c r="I53" s="448">
        <f>IF(I48&lt;E48,E48/I48-1,I48/E48-1)</f>
        <v>0.13431414662084773</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8.5799834594000757E-2</v>
      </c>
      <c r="F54" s="449" t="str">
        <f>IF(OR(E54&gt;=0.3,E54&lt;=-0.3),"超过30%","")</f>
        <v/>
      </c>
      <c r="G54" s="448">
        <f>IF(G47&lt;I47,I47/G47-1,G47/I47-1)</f>
        <v>0.13128546940838226</v>
      </c>
      <c r="H54" s="449" t="str">
        <f>IF(OR(G54&gt;=0.3,G54&lt;=-0.3),"超过30%","")</f>
        <v/>
      </c>
      <c r="I54" s="448">
        <f>IF(I47&lt;E47,E47/I47-1,I47/E47-1)</f>
        <v>0.2283495755622178</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57" t="s">
        <v>3439</v>
      </c>
      <c r="E61" s="472"/>
      <c r="F61" s="472"/>
      <c r="G61" s="472"/>
      <c r="H61" s="472"/>
      <c r="I61" s="472"/>
      <c r="J61" s="472"/>
      <c r="K61" s="472"/>
      <c r="L61" s="473"/>
      <c r="M61" s="474"/>
      <c r="N61" s="932"/>
      <c r="O61" s="932"/>
      <c r="P61" s="1920"/>
      <c r="Q61" s="453"/>
    </row>
    <row r="62" spans="1:29" s="108" customFormat="1" ht="15.75" thickBot="1">
      <c r="A62" s="470"/>
      <c r="B62" s="459"/>
      <c r="C62" s="460">
        <v>100</v>
      </c>
      <c r="D62" s="461">
        <v>105</v>
      </c>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3461" t="s">
        <v>3450</v>
      </c>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3462" t="s">
        <v>3451</v>
      </c>
      <c r="O87" s="934"/>
      <c r="P87" s="1921"/>
      <c r="Q87" s="453"/>
    </row>
    <row r="88" spans="1:17" s="108" customFormat="1" ht="15.75" thickTop="1">
      <c r="A88" s="528"/>
      <c r="B88" s="487" t="s">
        <v>1735</v>
      </c>
      <c r="C88" s="3460" t="s">
        <v>3445</v>
      </c>
      <c r="D88" s="3460" t="s">
        <v>3454</v>
      </c>
      <c r="E88" s="3460" t="s">
        <v>3449</v>
      </c>
      <c r="F88" s="3463" t="s">
        <v>3453</v>
      </c>
      <c r="G88" s="503"/>
      <c r="H88" s="503"/>
      <c r="I88" s="503"/>
      <c r="J88" s="503"/>
      <c r="K88" s="503"/>
      <c r="L88" s="503"/>
      <c r="M88" s="530"/>
      <c r="N88" s="3461" t="s">
        <v>3449</v>
      </c>
      <c r="O88" s="932"/>
      <c r="P88" s="1921"/>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3462" t="s">
        <v>3453</v>
      </c>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59" t="s">
        <v>3444</v>
      </c>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1"/>
      <c r="Q101" s="453"/>
    </row>
    <row r="102" spans="1:17" ht="15.75" thickTop="1">
      <c r="A102" s="483"/>
      <c r="B102" s="487" t="s">
        <v>1737</v>
      </c>
      <c r="C102" s="527" t="str">
        <f>C103&amp;"(含)"&amp;"-"&amp;D103</f>
        <v>0(含)-50</v>
      </c>
      <c r="D102" s="527" t="str">
        <f t="shared" ref="D102:L102" si="26">D103&amp;"(含)"&amp;"-"&amp;E103</f>
        <v>50(含)-100</v>
      </c>
      <c r="E102" s="527" t="str">
        <f t="shared" si="26"/>
        <v>100(含)-200</v>
      </c>
      <c r="F102" s="527" t="str">
        <f t="shared" si="26"/>
        <v>200(含)-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50</v>
      </c>
      <c r="E103" s="544">
        <v>100</v>
      </c>
      <c r="F103" s="544">
        <v>200</v>
      </c>
      <c r="G103" s="544"/>
      <c r="H103" s="544"/>
      <c r="I103" s="544"/>
      <c r="J103" s="545"/>
      <c r="K103" s="545"/>
      <c r="L103" s="546"/>
      <c r="M103" s="547"/>
      <c r="N103" s="935"/>
      <c r="O103" s="935"/>
      <c r="P103" s="1922"/>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1738</v>
      </c>
      <c r="C105" s="3460" t="s">
        <v>3446</v>
      </c>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0.4(含)-0.5</v>
      </c>
      <c r="D111" s="527" t="str">
        <f>D112&amp;"(含)"&amp;"-"&amp;E112</f>
        <v>0.5(含)-0.6</v>
      </c>
      <c r="E111" s="527" t="str">
        <f>E112&amp;"(含)"&amp;"-"&amp;F112</f>
        <v>0.6(含)-0.7</v>
      </c>
      <c r="F111" s="527" t="str">
        <f>F112&amp;"(含)"&amp;"-"&amp;G112</f>
        <v>0.7(含)-0.8</v>
      </c>
      <c r="G111" s="527" t="str">
        <f>G112&amp;"(含)"&amp;"-"&amp;ROUND(H112,0)&amp;"(含)"</f>
        <v>0.8(含)-1(含)</v>
      </c>
      <c r="H111" s="527" t="str">
        <f>H112&amp;"(含)"&amp;"-"&amp;ROUND(I112,0)&amp;"(含)"</f>
        <v>0.9(含)-1(含)</v>
      </c>
      <c r="I111" s="527" t="str">
        <f>ROUND(I112,0)&amp;"(含)"&amp;"-"&amp;J112</f>
        <v>1(含)-</v>
      </c>
      <c r="J111" s="549"/>
      <c r="K111" s="549"/>
      <c r="L111" s="550"/>
      <c r="M111" s="551"/>
      <c r="N111" s="935"/>
      <c r="O111" s="935"/>
      <c r="P111" s="1922"/>
      <c r="Q111" s="508"/>
    </row>
    <row r="112" spans="1:17" s="422" customFormat="1">
      <c r="A112" s="542"/>
      <c r="B112" s="495"/>
      <c r="C112" s="552">
        <v>0.4</v>
      </c>
      <c r="D112" s="552">
        <v>0.5</v>
      </c>
      <c r="E112" s="552">
        <v>0.6</v>
      </c>
      <c r="F112" s="552">
        <v>0.7</v>
      </c>
      <c r="G112" s="552">
        <v>0.8</v>
      </c>
      <c r="H112" s="552">
        <v>0.9</v>
      </c>
      <c r="I112" s="552">
        <v>1.0001</v>
      </c>
      <c r="J112" s="553"/>
      <c r="K112" s="553"/>
      <c r="L112" s="554"/>
      <c r="M112" s="555"/>
      <c r="N112" s="935"/>
      <c r="O112" s="935"/>
      <c r="P112" s="1922"/>
      <c r="Q112" s="508"/>
    </row>
    <row r="113" spans="1:17" s="422" customFormat="1" ht="15.75" thickBot="1">
      <c r="A113" s="502"/>
      <c r="B113" s="492"/>
      <c r="C113" s="531">
        <v>100</v>
      </c>
      <c r="D113" s="493">
        <f t="shared" ref="D113:I113" si="30">C113+$K37</f>
        <v>102</v>
      </c>
      <c r="E113" s="493">
        <f t="shared" si="30"/>
        <v>104</v>
      </c>
      <c r="F113" s="493">
        <f t="shared" si="30"/>
        <v>106</v>
      </c>
      <c r="G113" s="493">
        <f t="shared" si="30"/>
        <v>108</v>
      </c>
      <c r="H113" s="493">
        <f t="shared" si="30"/>
        <v>110</v>
      </c>
      <c r="I113" s="493">
        <f t="shared" si="30"/>
        <v>112</v>
      </c>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H35" sqref="H3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670.25630000000001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58794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4960615</v>
      </c>
      <c r="D5" s="211" t="s">
        <v>1469</v>
      </c>
      <c r="E5" s="212" t="s">
        <v>1470</v>
      </c>
      <c r="F5" s="212" t="s">
        <v>1471</v>
      </c>
      <c r="G5" s="213"/>
    </row>
    <row r="6" spans="1:8" s="214" customFormat="1" ht="13.5" customHeight="1">
      <c r="A6" s="778" t="s">
        <v>1472</v>
      </c>
      <c r="B6" s="215" t="s">
        <v>1473</v>
      </c>
      <c r="C6" s="216">
        <f>基准地价修正!C33*基准地价修正!D33</f>
        <v>4796094</v>
      </c>
      <c r="D6" s="217"/>
      <c r="E6" s="218"/>
      <c r="F6" s="218"/>
      <c r="G6" s="219"/>
    </row>
    <row r="7" spans="1:8" s="214" customFormat="1" ht="13.5" customHeight="1">
      <c r="A7" s="778" t="s">
        <v>1474</v>
      </c>
      <c r="B7" s="215" t="s">
        <v>1475</v>
      </c>
      <c r="C7" s="220">
        <f>ROUND(C6*F7,0)</f>
        <v>146281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18240</v>
      </c>
      <c r="D8" s="222"/>
      <c r="E8" s="220"/>
      <c r="F8" s="221"/>
      <c r="G8" s="1856" t="s">
        <v>3416</v>
      </c>
    </row>
    <row r="9" spans="1:8" s="214" customFormat="1" ht="13.5" customHeight="1">
      <c r="A9" s="779" t="s">
        <v>355</v>
      </c>
      <c r="B9" s="224" t="s">
        <v>1478</v>
      </c>
      <c r="C9" s="225">
        <f ca="1">ROUND(D9*E9,0)</f>
        <v>18240</v>
      </c>
      <c r="D9" s="845">
        <f ca="1">IF(B1="",'数据-汇总表'!E5,IF(INDIRECT("'数据-取费表'!c"&amp;$G$1)="住宅",INDIRECT("'数据-取费表'!k"&amp;$G$1),0))</f>
        <v>114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114</v>
      </c>
      <c r="E19" s="211">
        <f>'数据-取费表'!B31</f>
        <v>200</v>
      </c>
      <c r="F19" s="231"/>
      <c r="G19" s="1856" t="s">
        <v>3417</v>
      </c>
    </row>
    <row r="20" spans="1:7" s="214" customFormat="1" ht="13.5" customHeight="1">
      <c r="A20" s="255" t="s">
        <v>1574</v>
      </c>
      <c r="B20" s="210" t="s">
        <v>1575</v>
      </c>
      <c r="C20" s="232">
        <f ca="1">ROUND((C5+C19)*F20,0)</f>
        <v>99212</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155317</v>
      </c>
      <c r="D22" s="235">
        <f ca="1">C26</f>
        <v>5.0000000000000001E-4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153779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1538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758974</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758974</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6552723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287280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228000</v>
      </c>
      <c r="D34" s="217"/>
      <c r="E34" s="220"/>
      <c r="F34" s="257"/>
      <c r="G34" s="219"/>
    </row>
    <row r="35" spans="1:7" ht="13.5" customHeight="1">
      <c r="A35" s="780" t="s">
        <v>351</v>
      </c>
      <c r="B35" s="215" t="s">
        <v>1527</v>
      </c>
      <c r="C35" s="220">
        <f ca="1">ROUND(C34*F35,0)</f>
        <v>18240</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11400</v>
      </c>
      <c r="D36" s="220"/>
      <c r="E36" s="220"/>
      <c r="F36" s="259">
        <f>'数据-取费表'!B34</f>
        <v>0.05</v>
      </c>
      <c r="G36" s="260" t="s">
        <v>1530</v>
      </c>
    </row>
    <row r="37" spans="1:7" s="258" customFormat="1" ht="13.5" customHeight="1">
      <c r="A37" s="780" t="s">
        <v>353</v>
      </c>
      <c r="B37" s="215" t="s">
        <v>1531</v>
      </c>
      <c r="C37" s="249">
        <f ca="1">ROUND(E37*D37,0)</f>
        <v>22800</v>
      </c>
      <c r="D37" s="217">
        <f ca="1">D19</f>
        <v>114</v>
      </c>
      <c r="E37" s="249">
        <f>'数据-取费表'!B35</f>
        <v>200</v>
      </c>
      <c r="F37" s="259"/>
      <c r="G37" s="261"/>
    </row>
    <row r="38" spans="1:7" ht="13.5" customHeight="1">
      <c r="A38" s="780" t="s">
        <v>354</v>
      </c>
      <c r="B38" s="215" t="s">
        <v>1533</v>
      </c>
      <c r="C38" s="220">
        <f ca="1">ROUND(C34*F38,0)</f>
        <v>6840</v>
      </c>
      <c r="D38" s="220"/>
      <c r="E38" s="220"/>
      <c r="F38" s="259">
        <f>'数据-取费表'!B36</f>
        <v>0.03</v>
      </c>
      <c r="G38" s="219" t="s">
        <v>1528</v>
      </c>
    </row>
    <row r="39" spans="1:7" s="214" customFormat="1" ht="13.5" customHeight="1">
      <c r="A39" s="255" t="s">
        <v>1534</v>
      </c>
      <c r="B39" s="210" t="s">
        <v>1535</v>
      </c>
      <c r="C39" s="232">
        <f ca="1">ROUND(C33*F20,0)</f>
        <v>5746</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4542</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4453</v>
      </c>
      <c r="D42" s="238"/>
      <c r="E42" s="238"/>
      <c r="F42" s="239"/>
      <c r="G42" s="3647" t="s">
        <v>1591</v>
      </c>
    </row>
    <row r="43" spans="1:7" ht="13.5" customHeight="1">
      <c r="A43" s="780" t="s">
        <v>347</v>
      </c>
      <c r="B43" s="215" t="s">
        <v>1545</v>
      </c>
      <c r="C43" s="238">
        <f ca="1">ROUND(IF('数据-取费表'!B22&lt;=1,C39*F22*'数据-取费表'!B20/2,C39*(POWER((1+F22),'数据-取费表'!B20/2)-1)),0)</f>
        <v>89</v>
      </c>
      <c r="D43" s="238"/>
      <c r="E43" s="238"/>
      <c r="F43" s="239"/>
      <c r="G43" s="3648"/>
    </row>
    <row r="44" spans="1:7" ht="13.5" customHeight="1">
      <c r="A44" s="780" t="s">
        <v>348</v>
      </c>
      <c r="B44" s="215" t="s">
        <v>1546</v>
      </c>
      <c r="C44" s="238">
        <f ca="1">ROUND(IF('数据-取费表'!B22&lt;=1,C40*F22*'数据-取费表'!B20/2,C40*(POWER((1+F22),'数据-取费表'!B20/2)-1)),4)</f>
        <v>5.0000000000000001E-4</v>
      </c>
      <c r="D44" s="238"/>
      <c r="E44" s="238"/>
      <c r="F44" s="239"/>
      <c r="G44" s="3649"/>
    </row>
    <row r="45" spans="1:7" s="214" customFormat="1" ht="13.5" customHeight="1">
      <c r="A45" s="255" t="s">
        <v>1547</v>
      </c>
      <c r="B45" s="244" t="s">
        <v>1513</v>
      </c>
      <c r="C45" s="245">
        <f ca="1">C46</f>
        <v>43954</v>
      </c>
      <c r="D45" s="235">
        <f ca="1">C47</f>
        <v>4.4999999999999997E-3</v>
      </c>
      <c r="E45" s="236" t="s">
        <v>1539</v>
      </c>
      <c r="F45" s="246">
        <f ca="1">F27</f>
        <v>0.15</v>
      </c>
      <c r="G45" s="247" t="s">
        <v>1548</v>
      </c>
    </row>
    <row r="46" spans="1:7" s="214" customFormat="1" ht="13.5" customHeight="1">
      <c r="A46" s="780" t="s">
        <v>346</v>
      </c>
      <c r="B46" s="248" t="s">
        <v>1549</v>
      </c>
      <c r="C46" s="249">
        <f ca="1">ROUND((C33+C39)*F27,0)</f>
        <v>43954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374599</v>
      </c>
      <c r="D49" s="232"/>
      <c r="E49" s="232"/>
      <c r="F49" s="264"/>
      <c r="G49" s="234" t="s">
        <v>1554</v>
      </c>
    </row>
    <row r="50" spans="1:7" s="258" customFormat="1">
      <c r="A50" s="255" t="s">
        <v>1555</v>
      </c>
      <c r="B50" s="210" t="s">
        <v>1556</v>
      </c>
      <c r="C50" s="232"/>
      <c r="D50" s="232"/>
      <c r="E50" s="232"/>
      <c r="F50" s="264">
        <f>IF('数据-取费表'!B24=0,'数据-取费表'!N16,1)</f>
        <v>0.4</v>
      </c>
      <c r="G50" s="247"/>
    </row>
    <row r="51" spans="1:7" ht="16.5" customHeight="1">
      <c r="A51" s="255" t="s">
        <v>1558</v>
      </c>
      <c r="B51" s="210" t="s">
        <v>1593</v>
      </c>
      <c r="C51" s="232">
        <f ca="1">ROUND(C49*F50,0)</f>
        <v>149840</v>
      </c>
      <c r="D51" s="232"/>
      <c r="E51" s="232"/>
      <c r="F51" s="264"/>
      <c r="G51" s="234" t="s">
        <v>1560</v>
      </c>
    </row>
    <row r="52" spans="1:7" s="208" customFormat="1" ht="16.5" thickBot="1">
      <c r="A52" s="265" t="s">
        <v>1561</v>
      </c>
      <c r="B52" s="266"/>
      <c r="C52" s="267">
        <f ca="1">C31+C51</f>
        <v>6702563</v>
      </c>
      <c r="D52" s="266"/>
      <c r="E52" s="266"/>
      <c r="F52" s="266"/>
      <c r="G52" s="268"/>
    </row>
    <row r="55" spans="1:7" ht="15">
      <c r="B55" s="270" t="s">
        <v>1562</v>
      </c>
      <c r="C55" s="271"/>
    </row>
    <row r="56" spans="1:7">
      <c r="B56" s="273" t="s">
        <v>802</v>
      </c>
      <c r="C56" s="275">
        <f ca="1">1-C57</f>
        <v>0.97799999999999998</v>
      </c>
    </row>
    <row r="57" spans="1:7">
      <c r="B57" s="273" t="s">
        <v>803</v>
      </c>
      <c r="C57" s="274">
        <f ca="1">ROUND(C51/C52,3)</f>
        <v>2.1999999999999999E-2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-175</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114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9" t="s">
        <v>694</v>
      </c>
      <c r="C6" s="1074">
        <f ca="1">ROUND(F6*F8*F7*(1-F9)/10000,0)</f>
        <v>0</v>
      </c>
      <c r="D6" s="155" t="s">
        <v>2109</v>
      </c>
      <c r="E6" s="302" t="s">
        <v>696</v>
      </c>
      <c r="F6" s="303">
        <f ca="1">INDIRECT("'数据-取费表'!u"&amp;$G$1)</f>
        <v>0</v>
      </c>
      <c r="G6" s="1384"/>
      <c r="H6" s="1069" t="s">
        <v>398</v>
      </c>
      <c r="I6" s="3699" t="s">
        <v>694</v>
      </c>
      <c r="J6" s="301">
        <f ca="1">ROUND(M6*M8*M7*(1-M9)/10000,0)</f>
        <v>0</v>
      </c>
      <c r="K6" s="155" t="s">
        <v>2108</v>
      </c>
      <c r="L6" s="302" t="s">
        <v>696</v>
      </c>
      <c r="M6" s="303">
        <f ca="1">INDIRECT("'数据-取费表'!z"&amp;$G$1)</f>
        <v>0</v>
      </c>
    </row>
    <row r="7" spans="1:37" ht="18" customHeight="1">
      <c r="A7" s="1073"/>
      <c r="B7" s="3700"/>
      <c r="C7" s="1075"/>
      <c r="D7" s="307"/>
      <c r="E7" s="1076" t="s">
        <v>697</v>
      </c>
      <c r="F7" s="303">
        <f ca="1">IF(INDIRECT("'数据-取费表'!ah"&amp;$G$1)="",INDIRECT("'数据-取费表'!k"&amp;$G$1),INDIRECT("'数据-取费表'!ah"&amp;$G$1))</f>
        <v>0</v>
      </c>
      <c r="G7" s="1384"/>
      <c r="H7" s="304"/>
      <c r="I7" s="3700"/>
      <c r="J7" s="306"/>
      <c r="K7" s="307"/>
      <c r="L7" s="302" t="s">
        <v>697</v>
      </c>
      <c r="M7" s="303">
        <f ca="1">F7</f>
        <v>0</v>
      </c>
    </row>
    <row r="8" spans="1:37" ht="18" customHeight="1">
      <c r="A8" s="304"/>
      <c r="B8" s="3700"/>
      <c r="C8" s="306"/>
      <c r="D8" s="307"/>
      <c r="E8" s="302" t="s">
        <v>698</v>
      </c>
      <c r="F8" s="303">
        <f ca="1">INDIRECT("'数据-取费表'!ai"&amp;$G$1)</f>
        <v>0</v>
      </c>
      <c r="G8" s="1384"/>
      <c r="H8" s="304"/>
      <c r="I8" s="3700"/>
      <c r="J8" s="306"/>
      <c r="K8" s="307"/>
      <c r="L8" s="302" t="s">
        <v>698</v>
      </c>
      <c r="M8" s="303">
        <f ca="1">INDIRECT("'数据-取费表'!ai"&amp;$G$1)</f>
        <v>0</v>
      </c>
    </row>
    <row r="9" spans="1:37" ht="18" customHeight="1">
      <c r="A9" s="304"/>
      <c r="B9" s="3701"/>
      <c r="C9" s="306"/>
      <c r="D9" s="307"/>
      <c r="E9" s="302" t="s">
        <v>699</v>
      </c>
      <c r="F9" s="312">
        <f ca="1">INDIRECT("'数据-取费表'!w"&amp;$G$1)</f>
        <v>0</v>
      </c>
      <c r="G9" s="1384"/>
      <c r="H9" s="304"/>
      <c r="I9" s="370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97" t="s">
        <v>837</v>
      </c>
      <c r="L53" s="369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35" sqref="G3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114</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480</v>
      </c>
      <c r="C2" s="1998" t="s">
        <v>1935</v>
      </c>
      <c r="D2" s="1999" t="s">
        <v>1936</v>
      </c>
      <c r="E2" s="3421" t="s">
        <v>3410</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Ⅱ—09</v>
      </c>
      <c r="J2" s="2001"/>
      <c r="K2" s="1119"/>
      <c r="L2" s="2002" t="s">
        <v>1939</v>
      </c>
      <c r="M2" s="864">
        <f>SUMPRODUCT((区片价!B10:B29=I2)*(区片价!C3:G3=E2)*(区片价!C10:G29))</f>
        <v>28820</v>
      </c>
      <c r="N2" s="866">
        <f>SUMPRODUCT((因素修正幅度!B10:B29=I2)*(因素修正幅度!C3:G3=E2)*(因素修正幅度!C10:G29))</f>
        <v>9.8000000000000004E-2</v>
      </c>
      <c r="O2" s="1119"/>
      <c r="P2" s="1119"/>
      <c r="Q2" s="1119"/>
      <c r="R2" s="1212">
        <v>1</v>
      </c>
      <c r="S2" s="3360">
        <f>ROUND(SUMPRODUCT((B106:B110=R2)*(C105:N105=G2)*(C106:N110)),4)</f>
        <v>1.5206</v>
      </c>
      <c r="T2" s="3360">
        <f t="shared" ref="T2:T16" si="0">ROUND($C$5*$C$22*$C$23*$C$24*S2*$C$28,0)</f>
        <v>53751</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42105</v>
      </c>
      <c r="C3" s="1998" t="s">
        <v>1941</v>
      </c>
      <c r="D3" s="1999" t="s">
        <v>1942</v>
      </c>
      <c r="E3" s="3419" t="s">
        <v>3418</v>
      </c>
      <c r="F3" s="2003" t="s">
        <v>3419</v>
      </c>
      <c r="G3" s="752">
        <f>IF(F3="宗地容积率",'数据-汇总表'!I4,IF(F3="估价对象容积率",'数据-汇总表'!I6,'数据-汇总表'!I7))</f>
        <v>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42672</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09"/>
      <c r="B4" s="3710"/>
      <c r="C4" s="3710"/>
      <c r="D4" s="3711"/>
      <c r="E4" s="3711"/>
      <c r="F4" s="3711"/>
      <c r="G4" s="3711"/>
      <c r="H4" s="3711"/>
      <c r="I4" s="3711"/>
      <c r="J4" s="3712"/>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36872</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31658</v>
      </c>
      <c r="D5" s="1339">
        <f>ROUND(C6*C17+C20,0)</f>
        <v>28776</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33365</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28820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31799</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3237</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1</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06" t="s">
        <v>1960</v>
      </c>
      <c r="X8" s="370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08"/>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0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3" t="s">
        <v>1982</v>
      </c>
      <c r="C13" s="755">
        <f>ROUND(C16*D16*E16*F16*G16*H16*I16*J16,4)</f>
        <v>1.1000000000000001</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v>
      </c>
      <c r="D16" s="3317">
        <v>1</v>
      </c>
      <c r="E16" s="3317">
        <v>1.1000000000000001</v>
      </c>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13" t="s">
        <v>3254</v>
      </c>
      <c r="B20" s="167" t="s">
        <v>1994</v>
      </c>
      <c r="C20" s="3324">
        <f>ROUND(IF(F21="与级别开发程度一致",0,(G21-E21)/C21),0)</f>
        <v>-44</v>
      </c>
      <c r="D20" s="3340" t="s">
        <v>1998</v>
      </c>
      <c r="E20" s="3341"/>
      <c r="F20" s="3719" t="s">
        <v>1995</v>
      </c>
      <c r="G20" s="3720"/>
      <c r="H20" s="3325" t="s">
        <v>3429</v>
      </c>
      <c r="I20" s="3325" t="s">
        <v>3430</v>
      </c>
      <c r="J20" s="3326" t="s">
        <v>3431</v>
      </c>
      <c r="K20" s="2046" t="s">
        <v>3432</v>
      </c>
      <c r="L20" s="2046" t="s">
        <v>3433</v>
      </c>
      <c r="M20" s="2046"/>
      <c r="N20" s="2046"/>
      <c r="O20" s="2047" t="s">
        <v>3434</v>
      </c>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14"/>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3435</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0</v>
      </c>
      <c r="N21" s="2164">
        <f>SUMPRODUCT((七通一平=N20)*(修正!B1:M1=G2)*(修正!B8:M16))</f>
        <v>0</v>
      </c>
      <c r="O21" s="2166">
        <f>SUMPRODUCT((七通一平=O20)*(修正!B1:M1=G2)*(修正!B8:M16))</f>
        <v>20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2053" t="s">
        <v>2002</v>
      </c>
      <c r="E23" s="761">
        <v>44197</v>
      </c>
      <c r="F23" s="2053" t="s">
        <v>2003</v>
      </c>
      <c r="G23" s="762">
        <f>'数据-取费表'!B2</f>
        <v>45701</v>
      </c>
      <c r="H23" s="3342" t="s">
        <v>3256</v>
      </c>
      <c r="I23" s="3343" t="str">
        <f>IF(H23="季度增幅（自定义）",SUMIF(N25:N28,E2,O25:O28),"")</f>
        <v/>
      </c>
      <c r="J23" s="3445" t="s">
        <v>3255</v>
      </c>
      <c r="K23" s="1125"/>
      <c r="L23" s="2054" t="s">
        <v>2004</v>
      </c>
      <c r="M23" s="1328">
        <f>ROUND(SUMIF(地价!B2:G2,E2,地价!B16:G16),0)</f>
        <v>687</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0.99919999999999998</v>
      </c>
      <c r="D24" s="2059" t="s">
        <v>2007</v>
      </c>
      <c r="E24" s="1335">
        <f>存贷款利率!E27/100</f>
        <v>4.3499999999999997E-2</v>
      </c>
      <c r="F24" s="2059" t="s">
        <v>1999</v>
      </c>
      <c r="G24" s="768">
        <f>SUMIF(M30:Q30,E2,M33:Q33)</f>
        <v>0.05</v>
      </c>
      <c r="H24" s="2059" t="s">
        <v>2008</v>
      </c>
      <c r="I24" s="769">
        <f>SUMIF('数据-取费表'!C6:C15,E2,'数据-取费表'!F6:F15)/COUNTIF('数据-取费表'!C6:C15,E2)</f>
        <v>69.5</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1.1901999999999999</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2">
        <f>IF(E26=G26,F26,IF(G3&lt;10,ROUND(F26+(H26-F26)*(G3-E26)/(G26-E26),4),"——"))</f>
        <v>1.1901999999999999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1.0581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480</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42071</v>
      </c>
      <c r="D33" s="2097">
        <f>'数据-汇总表'!F31</f>
        <v>114</v>
      </c>
      <c r="E33" s="773">
        <f>ROUND(C33*D33/10000,0)</f>
        <v>480</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10518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17"/>
      <c r="B37" s="2112" t="s">
        <v>2036</v>
      </c>
      <c r="C37" s="175">
        <f>ROUND(D5*C22*C23*C24*C28*F37,0)</f>
        <v>22491</v>
      </c>
      <c r="D37" s="2097"/>
      <c r="E37" s="171">
        <f>ROUND(C37*D37/10000,0)</f>
        <v>0</v>
      </c>
      <c r="F37" s="171">
        <f>SUMIF(修正!A57:A68,G2,修正!B57:B68)</f>
        <v>0.7</v>
      </c>
      <c r="G37" s="171">
        <f>ROUND(IF(E2="工业",C37*$M$42,C37*$M$41),0)</f>
        <v>5623</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18"/>
      <c r="B38" s="2040" t="s">
        <v>2037</v>
      </c>
      <c r="C38" s="175">
        <f>ROUND(D5*C22*C23*C24*C28*F38,0)</f>
        <v>12852</v>
      </c>
      <c r="D38" s="2097"/>
      <c r="E38" s="171">
        <f t="shared" ref="E38:E42" si="4">ROUND(C38*D38/10000,0)</f>
        <v>0</v>
      </c>
      <c r="F38" s="171">
        <f>SUMIF(修正!A57:A68,G2,修正!C57:C68)</f>
        <v>0.4</v>
      </c>
      <c r="G38" s="171">
        <f>ROUND(IF(E2="工业",C38*$M$42,C38*$M$41),0)</f>
        <v>3213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18"/>
      <c r="B39" s="2040" t="s">
        <v>3259</v>
      </c>
      <c r="C39" s="175">
        <f>ROUND(D5*C22*C23*C24*C28*F39,0)</f>
        <v>9639</v>
      </c>
      <c r="D39" s="2097"/>
      <c r="E39" s="171">
        <f t="shared" si="4"/>
        <v>0</v>
      </c>
      <c r="F39" s="171">
        <f>SUMIF(修正!A57:A68,G2,修正!D57:D68)</f>
        <v>0.3</v>
      </c>
      <c r="G39" s="171">
        <f>ROUND(IF(E2="工业",C39*$M$42,C39*$M$41),0)</f>
        <v>2410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9639</v>
      </c>
      <c r="D40" s="2097"/>
      <c r="E40" s="171">
        <f t="shared" si="4"/>
        <v>0</v>
      </c>
      <c r="F40" s="175">
        <f>SUMIF(修正!A57:A68,G2,修正!E57:E68)</f>
        <v>0.3</v>
      </c>
      <c r="G40" s="171">
        <f>ROUND(IF(E2="工业",C40*$M$42,C40*$M$41),0)</f>
        <v>2410</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3269</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3269</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1.0581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t="s">
        <v>3422</v>
      </c>
      <c r="D72" s="1065">
        <f t="shared" ref="D72:D80" si="17">SUMIF($J$71:$N$71,C72,J72:N72)</f>
        <v>1.9599999999999999E-2</v>
      </c>
      <c r="E72" s="744">
        <f>ROUND(SUM(D72:D80),4)</f>
        <v>5.8099999999999999E-2</v>
      </c>
      <c r="F72" s="1814">
        <f>IF(E2="住宅",SUMIF(L1:L12,G2,N1:N12),"——")</f>
        <v>9.8000000000000004E-2</v>
      </c>
      <c r="G72" s="1063">
        <f>H72</f>
        <v>9.7999999999999997E-3</v>
      </c>
      <c r="H72" s="1066">
        <f t="shared" ref="H72:H80" si="18">IFERROR(ROUNDDOWN($F$72*I72/2,4),"——")</f>
        <v>9.7999999999999997E-3</v>
      </c>
      <c r="I72" s="3366">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t="s">
        <v>3420</v>
      </c>
      <c r="D73" s="1065">
        <f t="shared" si="17"/>
        <v>1.2699999999999999E-2</v>
      </c>
      <c r="E73" s="747"/>
      <c r="F73" s="1814"/>
      <c r="G73" s="1063">
        <f t="shared" ref="G73:G80" si="22">H73</f>
        <v>1.2699999999999999E-2</v>
      </c>
      <c r="H73" s="1066">
        <f t="shared" si="18"/>
        <v>1.2699999999999999E-2</v>
      </c>
      <c r="I73" s="3366">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t="s">
        <v>3420</v>
      </c>
      <c r="D74" s="1065">
        <f t="shared" si="17"/>
        <v>4.8999999999999998E-3</v>
      </c>
      <c r="E74" s="747"/>
      <c r="F74" s="1814"/>
      <c r="G74" s="1063">
        <f t="shared" si="22"/>
        <v>4.8999999999999998E-3</v>
      </c>
      <c r="H74" s="1066">
        <f t="shared" si="18"/>
        <v>4.8999999999999998E-3</v>
      </c>
      <c r="I74" s="3366">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t="s">
        <v>3421</v>
      </c>
      <c r="D75" s="1065">
        <f t="shared" si="17"/>
        <v>-2.3999999999999998E-3</v>
      </c>
      <c r="E75" s="747"/>
      <c r="F75" s="1814"/>
      <c r="G75" s="1063">
        <f t="shared" si="22"/>
        <v>2.3999999999999998E-3</v>
      </c>
      <c r="H75" s="1066">
        <f t="shared" si="18"/>
        <v>2.3999999999999998E-3</v>
      </c>
      <c r="I75" s="3366">
        <v>0.05</v>
      </c>
      <c r="J75" s="1064">
        <f t="shared" si="19"/>
        <v>4.7999999999999996E-3</v>
      </c>
      <c r="K75" s="1064">
        <f t="shared" si="20"/>
        <v>2.3999999999999998E-3</v>
      </c>
      <c r="L75" s="1064">
        <v>0</v>
      </c>
      <c r="M75" s="1064">
        <f t="shared" si="21"/>
        <v>-2.3999999999999998E-3</v>
      </c>
      <c r="N75" s="1064">
        <f t="shared" si="21"/>
        <v>-4.7999999999999996E-3</v>
      </c>
      <c r="O75" s="1119"/>
      <c r="P75" s="1119"/>
      <c r="Q75" s="1996"/>
      <c r="Z75" s="1997"/>
      <c r="AA75" s="2052"/>
      <c r="AG75" s="1121"/>
      <c r="AK75" s="2052"/>
    </row>
    <row r="76" spans="1:37" ht="25.5">
      <c r="A76" s="2129" t="s">
        <v>2059</v>
      </c>
      <c r="B76" s="1326" t="str">
        <f>估价对象房地状况!C21</f>
        <v>估价对象所在区域公共配套设施齐备情况</v>
      </c>
      <c r="C76" s="2043" t="s">
        <v>3420</v>
      </c>
      <c r="D76" s="1065">
        <f t="shared" si="17"/>
        <v>3.8999999999999998E-3</v>
      </c>
      <c r="E76" s="747"/>
      <c r="F76" s="1814"/>
      <c r="G76" s="1063">
        <f t="shared" si="22"/>
        <v>3.8999999999999998E-3</v>
      </c>
      <c r="H76" s="1066">
        <f t="shared" si="18"/>
        <v>3.8999999999999998E-3</v>
      </c>
      <c r="I76" s="3366">
        <v>0.08</v>
      </c>
      <c r="J76" s="1064">
        <f t="shared" si="19"/>
        <v>7.7999999999999996E-3</v>
      </c>
      <c r="K76" s="1064">
        <f t="shared" si="20"/>
        <v>3.8999999999999998E-3</v>
      </c>
      <c r="L76" s="1064">
        <v>0</v>
      </c>
      <c r="M76" s="1064">
        <f t="shared" si="21"/>
        <v>-3.8999999999999998E-3</v>
      </c>
      <c r="N76" s="1064">
        <f t="shared" si="21"/>
        <v>-7.7999999999999996E-3</v>
      </c>
      <c r="O76" s="1119"/>
      <c r="P76" s="1119"/>
      <c r="Z76" s="1997"/>
      <c r="AA76" s="2052"/>
      <c r="AG76" s="1121"/>
      <c r="AK76" s="2052"/>
    </row>
    <row r="77" spans="1:37" ht="25.5">
      <c r="A77" s="2129" t="s">
        <v>2060</v>
      </c>
      <c r="B77" s="1326" t="str">
        <f>估价对象房地状况!C22</f>
        <v>估价对象所在区域基础设施水平</v>
      </c>
      <c r="C77" s="2043" t="s">
        <v>3422</v>
      </c>
      <c r="D77" s="1065">
        <f t="shared" si="17"/>
        <v>8.8000000000000005E-3</v>
      </c>
      <c r="E77" s="747"/>
      <c r="F77" s="1814"/>
      <c r="G77" s="1063">
        <f t="shared" si="22"/>
        <v>4.4000000000000003E-3</v>
      </c>
      <c r="H77" s="1066">
        <f t="shared" si="18"/>
        <v>4.4000000000000003E-3</v>
      </c>
      <c r="I77" s="3366">
        <v>0.09</v>
      </c>
      <c r="J77" s="1064">
        <f t="shared" si="19"/>
        <v>8.8000000000000005E-3</v>
      </c>
      <c r="K77" s="1064">
        <f t="shared" si="20"/>
        <v>4.4000000000000003E-3</v>
      </c>
      <c r="L77" s="1064">
        <v>0</v>
      </c>
      <c r="M77" s="1064">
        <f t="shared" si="21"/>
        <v>-4.4000000000000003E-3</v>
      </c>
      <c r="N77" s="1064">
        <f t="shared" si="21"/>
        <v>-8.8000000000000005E-3</v>
      </c>
      <c r="O77" s="1119"/>
      <c r="P77" s="1119"/>
      <c r="Z77" s="1997"/>
      <c r="AA77" s="2052"/>
      <c r="AG77" s="1121"/>
      <c r="AK77" s="2052"/>
    </row>
    <row r="78" spans="1:37" ht="24">
      <c r="A78" s="2129" t="s">
        <v>2057</v>
      </c>
      <c r="B78" s="2135" t="s">
        <v>2058</v>
      </c>
      <c r="C78" s="2043" t="s">
        <v>3420</v>
      </c>
      <c r="D78" s="1065">
        <f t="shared" si="17"/>
        <v>2.3999999999999998E-3</v>
      </c>
      <c r="E78" s="747"/>
      <c r="F78" s="1814"/>
      <c r="G78" s="1063">
        <f t="shared" si="22"/>
        <v>2.3999999999999998E-3</v>
      </c>
      <c r="H78" s="1066">
        <f t="shared" si="18"/>
        <v>2.3999999999999998E-3</v>
      </c>
      <c r="I78" s="3366">
        <v>0.05</v>
      </c>
      <c r="J78" s="1064">
        <f t="shared" si="19"/>
        <v>4.7999999999999996E-3</v>
      </c>
      <c r="K78" s="1064">
        <f t="shared" si="20"/>
        <v>2.3999999999999998E-3</v>
      </c>
      <c r="L78" s="1064">
        <v>0</v>
      </c>
      <c r="M78" s="1064">
        <f t="shared" si="21"/>
        <v>-2.3999999999999998E-3</v>
      </c>
      <c r="N78" s="1064">
        <f t="shared" si="21"/>
        <v>-4.7999999999999996E-3</v>
      </c>
      <c r="O78" s="1996"/>
      <c r="P78" s="1996"/>
      <c r="Z78" s="1997"/>
      <c r="AA78" s="2052"/>
      <c r="AG78" s="1121"/>
      <c r="AK78" s="2052"/>
    </row>
    <row r="79" spans="1:37" ht="25.5">
      <c r="A79" s="2129" t="s">
        <v>2061</v>
      </c>
      <c r="B79" s="2132" t="str">
        <f>估价对象房地状况!C20</f>
        <v>区域自然环境：；人文环境；综合评价环境状况一般</v>
      </c>
      <c r="C79" s="2043" t="s">
        <v>3420</v>
      </c>
      <c r="D79" s="1065">
        <f t="shared" si="17"/>
        <v>5.7999999999999996E-3</v>
      </c>
      <c r="E79" s="747"/>
      <c r="F79" s="1814"/>
      <c r="G79" s="1063">
        <f t="shared" si="22"/>
        <v>5.7999999999999996E-3</v>
      </c>
      <c r="H79" s="1066">
        <f t="shared" si="18"/>
        <v>5.7999999999999996E-3</v>
      </c>
      <c r="I79" s="3366">
        <v>0.12</v>
      </c>
      <c r="J79" s="1064">
        <f t="shared" si="19"/>
        <v>1.1599999999999999E-2</v>
      </c>
      <c r="K79" s="1064">
        <f t="shared" si="20"/>
        <v>5.7999999999999996E-3</v>
      </c>
      <c r="L79" s="1064">
        <v>0</v>
      </c>
      <c r="M79" s="1064">
        <f t="shared" si="21"/>
        <v>-5.7999999999999996E-3</v>
      </c>
      <c r="N79" s="1064">
        <f t="shared" si="21"/>
        <v>-1.1599999999999999E-2</v>
      </c>
      <c r="Z79" s="1997"/>
      <c r="AA79" s="2052"/>
      <c r="AG79" s="1121"/>
      <c r="AK79" s="2052"/>
    </row>
    <row r="80" spans="1:37" ht="24.75" thickBot="1">
      <c r="A80" s="2137" t="s">
        <v>2068</v>
      </c>
      <c r="B80" s="2141"/>
      <c r="C80" s="2043" t="s">
        <v>3420</v>
      </c>
      <c r="D80" s="1065">
        <f t="shared" si="17"/>
        <v>2.3999999999999998E-3</v>
      </c>
      <c r="E80" s="748"/>
      <c r="F80" s="1814"/>
      <c r="G80" s="1063">
        <f t="shared" si="22"/>
        <v>2.3999999999999998E-3</v>
      </c>
      <c r="H80" s="1066">
        <f t="shared" si="18"/>
        <v>2.3999999999999998E-3</v>
      </c>
      <c r="I80" s="3367">
        <v>0.05</v>
      </c>
      <c r="J80" s="1064">
        <f t="shared" si="19"/>
        <v>4.7999999999999996E-3</v>
      </c>
      <c r="K80" s="1064">
        <f t="shared" si="20"/>
        <v>2.3999999999999998E-3</v>
      </c>
      <c r="L80" s="1064">
        <v>0</v>
      </c>
      <c r="M80" s="1064">
        <f t="shared" si="21"/>
        <v>-2.3999999999999998E-3</v>
      </c>
      <c r="N80" s="1064">
        <f t="shared" si="21"/>
        <v>-4.7999999999999996E-3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3270</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15" t="s">
        <v>3294</v>
      </c>
      <c r="B103" s="3715"/>
      <c r="C103" s="3715"/>
      <c r="D103" s="3715"/>
      <c r="E103" s="3715"/>
      <c r="F103" s="3715"/>
      <c r="G103" s="3715"/>
      <c r="H103" s="3715"/>
      <c r="I103" s="3715"/>
      <c r="J103" s="3715"/>
      <c r="K103" s="3389"/>
      <c r="L103" s="3389"/>
      <c r="M103" s="3389"/>
      <c r="N103" s="3389"/>
    </row>
    <row r="104" spans="1:14">
      <c r="A104" s="3716" t="s">
        <v>3295</v>
      </c>
      <c r="B104" s="3716" t="s">
        <v>3296</v>
      </c>
      <c r="C104" s="3390" t="s">
        <v>3297</v>
      </c>
      <c r="D104" s="3391"/>
      <c r="E104" s="3391"/>
      <c r="F104" s="3391"/>
      <c r="G104" s="3391"/>
      <c r="H104" s="3391"/>
      <c r="I104" s="3391"/>
      <c r="J104" s="3392"/>
      <c r="K104" s="3393"/>
      <c r="L104" s="3393"/>
      <c r="M104" s="3393"/>
      <c r="N104" s="3393"/>
    </row>
    <row r="105" spans="1:14">
      <c r="A105" s="3716"/>
      <c r="B105" s="3716"/>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02"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0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0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0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0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03"/>
      <c r="B111" s="3394" t="s">
        <v>3268</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04"/>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05" t="s">
        <v>3311</v>
      </c>
      <c r="B113" s="3705"/>
      <c r="C113" s="3705"/>
      <c r="D113" s="3705"/>
      <c r="E113" s="3705"/>
      <c r="F113" s="3705"/>
      <c r="G113" s="3705"/>
      <c r="H113" s="3705"/>
      <c r="I113" s="3705"/>
      <c r="J113" s="370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v>
      </c>
      <c r="C116" s="3399" t="s">
        <v>3313</v>
      </c>
      <c r="D116" s="3400">
        <f>SUMPRODUCT((A118:A122=F116)*(B117:M117=H116)*B118:M122)</f>
        <v>0.93330000000000002</v>
      </c>
      <c r="E116" s="1999" t="s">
        <v>3314</v>
      </c>
      <c r="F116" s="3401" t="str">
        <f>E2</f>
        <v>住宅</v>
      </c>
      <c r="G116" s="1999" t="s">
        <v>3315</v>
      </c>
      <c r="H116" s="3401" t="str">
        <f>G2</f>
        <v>二级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3329</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3330</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3331</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2612</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3" priority="6" stopIfTrue="1" operator="notEqual">
      <formula>"——"</formula>
    </cfRule>
  </conditionalFormatting>
  <conditionalFormatting sqref="F61">
    <cfRule type="cellIs" dxfId="142" priority="5" stopIfTrue="1" operator="notEqual">
      <formula>"——"</formula>
    </cfRule>
  </conditionalFormatting>
  <conditionalFormatting sqref="F72">
    <cfRule type="cellIs" dxfId="141" priority="4" stopIfTrue="1" operator="notEqual">
      <formula>"——"</formula>
    </cfRule>
  </conditionalFormatting>
  <conditionalFormatting sqref="F83">
    <cfRule type="cellIs" dxfId="140" priority="3" stopIfTrue="1" operator="notEqual">
      <formula>"——"</formula>
    </cfRule>
  </conditionalFormatting>
  <conditionalFormatting sqref="H50:H58 H61:H69 H72:H80 H83:H91">
    <cfRule type="cellIs" dxfId="139" priority="2" operator="notEqual">
      <formula>"——"</formula>
    </cfRule>
  </conditionalFormatting>
  <conditionalFormatting sqref="H93:H101">
    <cfRule type="cellIs" dxfId="1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48" sqref="J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3410</v>
      </c>
      <c r="D1" s="1362" t="s">
        <v>43</v>
      </c>
      <c r="E1" s="1363" t="s">
        <v>678</v>
      </c>
      <c r="F1" s="1062">
        <f ca="1">J53</f>
        <v>69.5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472.83350000000002</v>
      </c>
      <c r="C2" s="1387" t="s">
        <v>879</v>
      </c>
      <c r="D2" s="1471">
        <f ca="1">C40+J29+L46</f>
        <v>4728335</v>
      </c>
      <c r="E2" s="1388" t="s">
        <v>880</v>
      </c>
      <c r="F2" s="1389"/>
      <c r="G2" s="2705"/>
      <c r="H2" s="2694"/>
      <c r="I2" s="2694"/>
      <c r="J2" s="2694"/>
      <c r="K2" s="2695"/>
      <c r="L2" s="2694"/>
      <c r="M2" s="2694"/>
    </row>
    <row r="3" spans="1:37" ht="18" customHeight="1" thickBot="1">
      <c r="A3" s="1390" t="s">
        <v>881</v>
      </c>
      <c r="B3" s="1391">
        <f ca="1">IF(ISERROR(D2/F43),0,ROUND(D2/F43,0))</f>
        <v>41477</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224975</v>
      </c>
      <c r="D5" s="1364" t="s">
        <v>889</v>
      </c>
      <c r="E5" s="1071"/>
      <c r="F5" s="1072"/>
      <c r="G5" s="1384"/>
      <c r="H5" s="299">
        <v>1</v>
      </c>
      <c r="I5" s="300" t="s">
        <v>888</v>
      </c>
      <c r="J5" s="1070">
        <f ca="1">J6+J10+J12</f>
        <v>0</v>
      </c>
      <c r="K5" s="1364" t="s">
        <v>889</v>
      </c>
      <c r="L5" s="1071"/>
      <c r="M5" s="1072"/>
    </row>
    <row r="6" spans="1:37" ht="18" customHeight="1">
      <c r="A6" s="1069" t="s">
        <v>398</v>
      </c>
      <c r="B6" s="3699" t="s">
        <v>694</v>
      </c>
      <c r="C6" s="1074">
        <f ca="1">ROUND(F6*F8*F7*(1-F9),0)</f>
        <v>224694</v>
      </c>
      <c r="D6" s="155" t="s">
        <v>2106</v>
      </c>
      <c r="E6" s="302" t="s">
        <v>696</v>
      </c>
      <c r="F6" s="303">
        <f ca="1">INDIRECT("'数据-取费表'!u"&amp;$G$1)</f>
        <v>6</v>
      </c>
      <c r="G6" s="1384"/>
      <c r="H6" s="1069" t="s">
        <v>398</v>
      </c>
      <c r="I6" s="3699" t="s">
        <v>694</v>
      </c>
      <c r="J6" s="301">
        <f ca="1">ROUND(M6*M8*M7*(1-M9),0)</f>
        <v>0</v>
      </c>
      <c r="K6" s="1376" t="s">
        <v>2107</v>
      </c>
      <c r="L6" s="302" t="s">
        <v>696</v>
      </c>
      <c r="M6" s="303">
        <f ca="1">INDIRECT("'数据-取费表'!z"&amp;$G$1)</f>
        <v>0</v>
      </c>
    </row>
    <row r="7" spans="1:37" ht="18" customHeight="1">
      <c r="A7" s="1073"/>
      <c r="B7" s="3700"/>
      <c r="C7" s="1075"/>
      <c r="D7" s="307"/>
      <c r="E7" s="1076" t="s">
        <v>697</v>
      </c>
      <c r="F7" s="303">
        <f ca="1">IF(INDIRECT("'数据-取费表'!ah"&amp;$G$1)="",INDIRECT("'数据-取费表'!k"&amp;$G$1),INDIRECT("'数据-取费表'!ah"&amp;$G$1))</f>
        <v>114</v>
      </c>
      <c r="G7" s="1384"/>
      <c r="H7" s="304"/>
      <c r="I7" s="3700"/>
      <c r="J7" s="306"/>
      <c r="K7" s="307"/>
      <c r="L7" s="302" t="s">
        <v>697</v>
      </c>
      <c r="M7" s="303">
        <f ca="1">F7</f>
        <v>114</v>
      </c>
    </row>
    <row r="8" spans="1:37" ht="18" customHeight="1">
      <c r="A8" s="304"/>
      <c r="B8" s="3700"/>
      <c r="C8" s="306"/>
      <c r="D8" s="307"/>
      <c r="E8" s="302" t="s">
        <v>698</v>
      </c>
      <c r="F8" s="303">
        <f ca="1">INDIRECT("'数据-取费表'!ai"&amp;$G$1)</f>
        <v>365</v>
      </c>
      <c r="G8" s="1384"/>
      <c r="H8" s="304"/>
      <c r="I8" s="3700"/>
      <c r="J8" s="306"/>
      <c r="K8" s="307"/>
      <c r="L8" s="302" t="s">
        <v>698</v>
      </c>
      <c r="M8" s="303">
        <f ca="1">INDIRECT("'数据-取费表'!ai"&amp;$G$1)</f>
        <v>365</v>
      </c>
    </row>
    <row r="9" spans="1:37" ht="18" customHeight="1">
      <c r="A9" s="304"/>
      <c r="B9" s="3701"/>
      <c r="C9" s="306"/>
      <c r="D9" s="307"/>
      <c r="E9" s="302" t="s">
        <v>699</v>
      </c>
      <c r="F9" s="312">
        <f ca="1">INDIRECT("'数据-取费表'!w"&amp;$G$1)</f>
        <v>0.1</v>
      </c>
      <c r="G9" s="1384"/>
      <c r="H9" s="304"/>
      <c r="I9" s="3701"/>
      <c r="J9" s="306"/>
      <c r="K9" s="307"/>
      <c r="L9" s="313" t="s">
        <v>699</v>
      </c>
      <c r="M9" s="314">
        <f ca="1">INDIRECT("'数据-取费表'!ab"&amp;$G$1)</f>
        <v>0</v>
      </c>
    </row>
    <row r="10" spans="1:37" ht="18" customHeight="1">
      <c r="A10" s="1069" t="s">
        <v>402</v>
      </c>
      <c r="B10" s="1365" t="s">
        <v>700</v>
      </c>
      <c r="C10" s="316">
        <f ca="1">ROUND(IF(F10="押一",C6/12*F11,IF(F10="押二",C6/12*2*F11,IF(F10="押三",C6/12*3*F11,C11*F11))),0)</f>
        <v>281</v>
      </c>
      <c r="D10" s="1366" t="s">
        <v>2116</v>
      </c>
      <c r="E10" s="313" t="s">
        <v>701</v>
      </c>
      <c r="F10" s="1116" t="s">
        <v>3427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149840</v>
      </c>
      <c r="D13" s="1081" t="s">
        <v>705</v>
      </c>
      <c r="E13" s="1081" t="s">
        <v>706</v>
      </c>
      <c r="F13" s="1082">
        <f ca="1">INDIRECT("'数据-取费表'!y"&amp;$G$1)</f>
        <v>0.4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228000</v>
      </c>
      <c r="D14" s="1345" t="s">
        <v>708</v>
      </c>
      <c r="E14" s="1342"/>
      <c r="F14" s="319"/>
      <c r="G14" s="1384"/>
      <c r="H14" s="982" t="s">
        <v>398</v>
      </c>
      <c r="I14" s="302" t="s">
        <v>709</v>
      </c>
      <c r="J14" s="21">
        <f ca="1">C29</f>
        <v>374599</v>
      </c>
      <c r="K14" s="12"/>
      <c r="L14" s="807"/>
      <c r="M14" s="808"/>
    </row>
    <row r="15" spans="1:37" s="1397" customFormat="1" ht="18" customHeight="1" thickBot="1">
      <c r="A15" s="982" t="s">
        <v>399</v>
      </c>
      <c r="B15" s="302" t="s">
        <v>710</v>
      </c>
      <c r="C15" s="21">
        <f ca="1">ROUND(C14*F15,0)</f>
        <v>18240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11400</v>
      </c>
      <c r="D16" s="302" t="s">
        <v>711</v>
      </c>
      <c r="E16" s="302" t="s">
        <v>712</v>
      </c>
      <c r="F16" s="322">
        <f ca="1">IF(INDIRECT("'数据-取费表'!c"&amp;$G$1)="住宅",'数据-取费表'!B34,0)</f>
        <v>0.05</v>
      </c>
      <c r="G16" s="1384"/>
      <c r="H16" s="1079" t="s">
        <v>393</v>
      </c>
      <c r="I16" s="1080" t="s">
        <v>714</v>
      </c>
      <c r="J16" s="310">
        <f ca="1">ROUND(J17+J22+J23+J24,0)</f>
        <v>1873</v>
      </c>
      <c r="K16" s="1087" t="s">
        <v>715</v>
      </c>
      <c r="L16" s="1088"/>
      <c r="M16" s="1072"/>
    </row>
    <row r="17" spans="1:37" s="1397" customFormat="1" ht="18" customHeight="1">
      <c r="A17" s="982" t="s">
        <v>681</v>
      </c>
      <c r="B17" s="302" t="s">
        <v>716</v>
      </c>
      <c r="C17" s="21">
        <f ca="1">ROUND(F17*(F43+INDIRECT("'数据-取费表'!S"&amp;$G$1)),0)</f>
        <v>22800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6840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287280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5746</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1873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4542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-1873</v>
      </c>
      <c r="K25" s="1095" t="s">
        <v>753</v>
      </c>
      <c r="L25" s="1096"/>
      <c r="M25" s="1097"/>
    </row>
    <row r="26" spans="1:37" ht="18" customHeight="1">
      <c r="A26" s="982" t="s">
        <v>397</v>
      </c>
      <c r="B26" s="302" t="s">
        <v>754</v>
      </c>
      <c r="C26" s="21">
        <f ca="1">ROUND((C19+C20)*F26,0)</f>
        <v>43954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374599</v>
      </c>
      <c r="D29" s="1092"/>
      <c r="E29" s="1090"/>
      <c r="F29" s="1093"/>
      <c r="G29" s="1396"/>
      <c r="H29" s="334" t="s">
        <v>396</v>
      </c>
      <c r="I29" s="335" t="s">
        <v>768</v>
      </c>
      <c r="J29" s="336">
        <f ca="1">ROUND(J26/(1+F40)^F41,0)</f>
        <v>0</v>
      </c>
      <c r="K29" s="337" t="s">
        <v>769</v>
      </c>
      <c r="L29" s="338"/>
      <c r="M29" s="339">
        <f ca="1">INDIRECT("'数据-取费表'!k"&amp;$G$1)</f>
        <v>114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41936</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37663</v>
      </c>
      <c r="D31" s="1345" t="s">
        <v>720</v>
      </c>
      <c r="E31" s="1344" t="s">
        <v>770</v>
      </c>
      <c r="F31" s="2314"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IF(项目基本情况!B11="自然人","——",ROUND(C6*F32/(1+'数据-取费表'!C42),0))</f>
        <v>11984</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25679</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1873</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150</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2250</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183039</v>
      </c>
      <c r="D39" s="1095" t="s">
        <v>773</v>
      </c>
      <c r="E39" s="1096"/>
      <c r="F39" s="1097"/>
      <c r="G39" s="1384"/>
      <c r="H39" s="2699"/>
      <c r="I39" s="1398"/>
      <c r="J39" s="1399"/>
      <c r="K39" s="2703"/>
      <c r="L39" s="2699"/>
      <c r="M39" s="2699"/>
    </row>
    <row r="40" spans="1:18" ht="18" customHeight="1">
      <c r="A40" s="299" t="s">
        <v>395</v>
      </c>
      <c r="B40" s="300" t="s">
        <v>774</v>
      </c>
      <c r="C40" s="301">
        <f ca="1">ROUND(C39*(1-((1+F42)/(1+F40))^F41)/(F40-F42),0)</f>
        <v>4728335</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69.5</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41477</v>
      </c>
      <c r="D43" s="337" t="s">
        <v>777</v>
      </c>
      <c r="E43" s="338" t="s">
        <v>778</v>
      </c>
      <c r="F43" s="339">
        <f ca="1">INDIRECT("'数据-取费表'!k"&amp;$G$1)</f>
        <v>114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-476.42259999999999</v>
      </c>
      <c r="D45" s="3431" t="s">
        <v>3353</v>
      </c>
      <c r="E45" s="1400"/>
      <c r="F45" s="1400"/>
      <c r="O45" s="1403" t="s">
        <v>808</v>
      </c>
      <c r="P45" s="1461"/>
      <c r="Q45" s="1461"/>
      <c r="R45" s="1461"/>
    </row>
    <row r="46" spans="1:18" s="1384" customFormat="1" ht="13.5" thickBot="1">
      <c r="A46" s="1404" t="s">
        <v>809</v>
      </c>
      <c r="C46" s="1405">
        <f ca="1">ROUND(C45,0)</f>
        <v>-476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70</v>
      </c>
      <c r="M47" s="1380" t="str">
        <f>IF(ISNUMBER(FIND("住宅",C1)),"住宅","非住宅")</f>
        <v>住宅</v>
      </c>
      <c r="O47" s="1418" t="s">
        <v>403</v>
      </c>
      <c r="P47" s="1419" t="s">
        <v>817</v>
      </c>
      <c r="Q47" s="1420">
        <f ca="1">C40+J29</f>
        <v>4728335</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69.5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374599</v>
      </c>
      <c r="R49" s="1420" t="s">
        <v>818</v>
      </c>
    </row>
    <row r="50" spans="1:18" s="1384" customFormat="1" ht="13.5" thickBot="1">
      <c r="A50" s="976"/>
      <c r="B50" s="979"/>
      <c r="C50" s="980"/>
      <c r="D50" s="953"/>
      <c r="E50" s="1056" t="s">
        <v>697</v>
      </c>
      <c r="F50" s="1057">
        <f ca="1">F7</f>
        <v>114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69.5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69.5</v>
      </c>
      <c r="K53" s="3697" t="s">
        <v>837</v>
      </c>
      <c r="L53" s="3698"/>
      <c r="O53" s="1418" t="s">
        <v>409</v>
      </c>
      <c r="P53" s="1419" t="s">
        <v>838</v>
      </c>
      <c r="Q53" s="1420">
        <f ca="1">Q47+Q48</f>
        <v>4728335</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149840</v>
      </c>
      <c r="D56" s="1447"/>
      <c r="E56" s="1448"/>
      <c r="F56" s="1440"/>
      <c r="I56" s="1449" t="s">
        <v>842</v>
      </c>
      <c r="J56" s="1450"/>
      <c r="K56" s="1421" t="s">
        <v>843</v>
      </c>
      <c r="L56" s="1424">
        <f ca="1">IF(L48&lt;J51,"——",L48-J51)</f>
        <v>69.5</v>
      </c>
      <c r="O56" s="1418" t="s">
        <v>403</v>
      </c>
      <c r="P56" s="1419" t="s">
        <v>817</v>
      </c>
      <c r="Q56" s="1420">
        <f ca="1">C40+J29</f>
        <v>4728335</v>
      </c>
      <c r="R56" s="1420" t="s">
        <v>818</v>
      </c>
    </row>
    <row r="57" spans="1:18" s="1384" customFormat="1" ht="24.75" thickBot="1">
      <c r="A57" s="1451"/>
      <c r="B57" s="950" t="s">
        <v>767</v>
      </c>
      <c r="C57" s="238">
        <f ca="1">C29</f>
        <v>374599</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2023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4728335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1873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150</v>
      </c>
      <c r="D65" s="964" t="s">
        <v>743</v>
      </c>
      <c r="E65" s="950" t="s">
        <v>744</v>
      </c>
      <c r="F65" s="330">
        <f t="shared" ca="1" si="0"/>
        <v>1E-3</v>
      </c>
      <c r="I65" s="1462" t="s">
        <v>867</v>
      </c>
      <c r="J65" s="1463">
        <v>40</v>
      </c>
      <c r="K65" s="1463">
        <v>30</v>
      </c>
      <c r="L65" s="1463">
        <v>50</v>
      </c>
      <c r="M65" s="1465">
        <v>0.02</v>
      </c>
      <c r="O65" s="1418" t="s">
        <v>403</v>
      </c>
      <c r="P65" s="1419" t="s">
        <v>868</v>
      </c>
      <c r="Q65" s="1420">
        <f ca="1">C40+J29</f>
        <v>4728335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-2023</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-35891</v>
      </c>
      <c r="D68" s="965" t="s">
        <v>758</v>
      </c>
      <c r="E68" s="950" t="s">
        <v>759</v>
      </c>
      <c r="F68" s="312">
        <f ca="1">F40</f>
        <v>5.5E-2</v>
      </c>
      <c r="O68" s="1428" t="s">
        <v>406</v>
      </c>
      <c r="P68" s="1467" t="s">
        <v>871</v>
      </c>
      <c r="Q68" s="1420">
        <f ca="1">ROUND(Q69-Q70*Q71,0)</f>
        <v>172550</v>
      </c>
      <c r="R68" s="1420" t="s">
        <v>414</v>
      </c>
    </row>
    <row r="69" spans="1:18" s="1384" customFormat="1" ht="13.5" thickBot="1">
      <c r="A69" s="951"/>
      <c r="B69" s="952"/>
      <c r="C69" s="306"/>
      <c r="D69" s="970" t="s">
        <v>762</v>
      </c>
      <c r="E69" s="950" t="s">
        <v>763</v>
      </c>
      <c r="F69" s="333">
        <f ca="1">F41</f>
        <v>69.5</v>
      </c>
      <c r="O69" s="1428" t="s">
        <v>411</v>
      </c>
      <c r="P69" s="1467" t="s">
        <v>872</v>
      </c>
      <c r="Q69" s="1420">
        <f ca="1">C39</f>
        <v>183039</v>
      </c>
      <c r="R69" s="1420" t="s">
        <v>818</v>
      </c>
    </row>
    <row r="70" spans="1:18" s="1384" customFormat="1" ht="13.5" thickBot="1">
      <c r="A70" s="954"/>
      <c r="B70" s="955"/>
      <c r="C70" s="310"/>
      <c r="D70" s="966"/>
      <c r="E70" s="950" t="s">
        <v>766</v>
      </c>
      <c r="F70" s="1054"/>
      <c r="O70" s="1428" t="s">
        <v>412</v>
      </c>
      <c r="P70" s="1467" t="s">
        <v>873</v>
      </c>
      <c r="Q70" s="1420">
        <f ca="1">C13</f>
        <v>149840</v>
      </c>
      <c r="R70" s="1420" t="s">
        <v>818</v>
      </c>
    </row>
    <row r="71" spans="1:18" s="1384" customFormat="1" ht="13.5" thickBot="1">
      <c r="A71" s="971" t="s">
        <v>396</v>
      </c>
      <c r="B71" s="972" t="s">
        <v>776</v>
      </c>
      <c r="C71" s="336">
        <f ca="1">ROUND(C68/F71,0)</f>
        <v>-315</v>
      </c>
      <c r="D71" s="973" t="s">
        <v>777</v>
      </c>
      <c r="E71" s="974" t="s">
        <v>778</v>
      </c>
      <c r="F71" s="339">
        <f ca="1">F43</f>
        <v>114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10489</v>
      </c>
      <c r="D75" s="1384"/>
      <c r="E75" s="1384"/>
      <c r="F75" s="1384"/>
      <c r="K75" s="1402"/>
      <c r="L75" s="1384"/>
      <c r="O75" s="1418" t="s">
        <v>409</v>
      </c>
      <c r="P75" s="1419" t="s">
        <v>838</v>
      </c>
      <c r="Q75" s="1420">
        <f ca="1">Q65+Q66</f>
        <v>4728335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0.94299999999999995</v>
      </c>
    </row>
    <row r="80" spans="1:18">
      <c r="B80" s="340" t="s">
        <v>800</v>
      </c>
      <c r="C80" s="274">
        <f ca="1">ROUND(C75/C39,3)</f>
        <v>5.7000000000000002E-2</v>
      </c>
    </row>
    <row r="81" spans="2:3">
      <c r="B81" s="270" t="s">
        <v>801</v>
      </c>
      <c r="C81" s="238"/>
    </row>
    <row r="82" spans="2:3">
      <c r="B82" s="273" t="s">
        <v>802</v>
      </c>
      <c r="C82" s="275">
        <f ca="1">1-C83</f>
        <v>0.96799999999999997</v>
      </c>
    </row>
    <row r="83" spans="2:3">
      <c r="B83" s="273" t="s">
        <v>803</v>
      </c>
      <c r="C83" s="274">
        <f ca="1">ROUND(C13/C40,3)</f>
        <v>3.2000000000000001E-2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27" t="s">
        <v>2317</v>
      </c>
      <c r="K2" s="372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29" t="s">
        <v>2327</v>
      </c>
      <c r="K3" s="373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29" t="s">
        <v>2329</v>
      </c>
      <c r="K4" s="373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35" t="s">
        <v>2333</v>
      </c>
      <c r="B6" s="3736"/>
      <c r="C6" s="3737"/>
      <c r="D6" s="2869"/>
      <c r="E6" s="2870"/>
      <c r="F6" s="2871"/>
      <c r="G6" s="2872"/>
      <c r="H6" s="2847"/>
      <c r="I6" s="2848"/>
      <c r="J6" s="3721">
        <v>1</v>
      </c>
      <c r="K6" s="3722"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21"/>
      <c r="K7" s="3723"/>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38" t="s">
        <v>2347</v>
      </c>
      <c r="C8" s="3739"/>
      <c r="D8" s="2888" t="s">
        <v>2348</v>
      </c>
      <c r="E8" s="2889" t="s">
        <v>2349</v>
      </c>
      <c r="F8" s="2890" t="s">
        <v>2350</v>
      </c>
      <c r="G8" s="2891"/>
      <c r="H8" s="2847"/>
      <c r="I8" s="2848"/>
      <c r="J8" s="3721"/>
      <c r="K8" s="3723"/>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38" t="s">
        <v>2353</v>
      </c>
      <c r="C9" s="3739"/>
      <c r="D9" s="2888">
        <f>ROUND(D6*E9,0)</f>
        <v>0</v>
      </c>
      <c r="E9" s="2892"/>
      <c r="F9" s="2893" t="s">
        <v>2354</v>
      </c>
      <c r="G9" s="2872"/>
      <c r="H9" s="2847"/>
      <c r="I9" s="2848"/>
      <c r="J9" s="3721"/>
      <c r="K9" s="3723"/>
      <c r="L9" s="2882" t="s">
        <v>2355</v>
      </c>
      <c r="M9" s="2883"/>
      <c r="N9" s="2859"/>
      <c r="O9" s="2884"/>
      <c r="P9" s="2884"/>
      <c r="Q9" s="2885">
        <v>365</v>
      </c>
      <c r="R9" s="2886">
        <f t="shared" si="0"/>
        <v>0</v>
      </c>
      <c r="S9" s="2840"/>
      <c r="T9" s="2840"/>
      <c r="U9" s="2840"/>
      <c r="V9" s="2848"/>
    </row>
    <row r="10" spans="1:22" s="2852" customFormat="1" ht="13.15" customHeight="1">
      <c r="A10" s="2887">
        <v>2</v>
      </c>
      <c r="B10" s="3738" t="s">
        <v>2356</v>
      </c>
      <c r="C10" s="3739"/>
      <c r="D10" s="2888">
        <f>ROUND(D6*E10,0)</f>
        <v>0</v>
      </c>
      <c r="E10" s="2892"/>
      <c r="F10" s="2893" t="s">
        <v>2357</v>
      </c>
      <c r="G10" s="2872"/>
      <c r="H10" s="2847"/>
      <c r="I10" s="2848"/>
      <c r="J10" s="3721"/>
      <c r="K10" s="3723"/>
      <c r="L10" s="2882" t="s">
        <v>2358</v>
      </c>
      <c r="M10" s="2883"/>
      <c r="N10" s="2859"/>
      <c r="O10" s="2884"/>
      <c r="P10" s="2884"/>
      <c r="Q10" s="2885">
        <v>365</v>
      </c>
      <c r="R10" s="2886">
        <f t="shared" si="0"/>
        <v>0</v>
      </c>
      <c r="S10" s="2840"/>
      <c r="T10" s="2840"/>
      <c r="U10" s="2840"/>
      <c r="V10" s="2848"/>
    </row>
    <row r="11" spans="1:22" s="2852" customFormat="1" ht="13.15" customHeight="1">
      <c r="A11" s="2887">
        <v>3</v>
      </c>
      <c r="B11" s="3738" t="s">
        <v>2359</v>
      </c>
      <c r="C11" s="3739"/>
      <c r="D11" s="2888">
        <f>D12+D14+D15+D16</f>
        <v>0</v>
      </c>
      <c r="E11" s="2894" t="e">
        <f>D11/D6</f>
        <v>#DIV/0!</v>
      </c>
      <c r="F11" s="2890"/>
      <c r="G11" s="2891"/>
      <c r="H11" s="2847"/>
      <c r="I11" s="2848"/>
      <c r="J11" s="3721"/>
      <c r="K11" s="3723"/>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31" t="s">
        <v>2362</v>
      </c>
      <c r="C12" s="3732"/>
      <c r="D12" s="2896">
        <f>ROUND(D13*1.2%*(1-30%),0)</f>
        <v>0</v>
      </c>
      <c r="E12" s="2897">
        <v>1.2E-2</v>
      </c>
      <c r="F12" s="2890" t="s">
        <v>2363</v>
      </c>
      <c r="G12" s="2891"/>
      <c r="H12" s="2847"/>
      <c r="I12" s="2848"/>
      <c r="J12" s="3721"/>
      <c r="K12" s="3723"/>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21"/>
      <c r="K13" s="3723"/>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31" t="s">
        <v>2368</v>
      </c>
      <c r="C14" s="3732"/>
      <c r="D14" s="2896">
        <f>ROUND(E14*B5/10000,0)</f>
        <v>0</v>
      </c>
      <c r="E14" s="2885"/>
      <c r="F14" s="2890" t="s">
        <v>2369</v>
      </c>
      <c r="G14" s="2891"/>
      <c r="H14" s="2847"/>
      <c r="I14" s="2848"/>
      <c r="J14" s="3721"/>
      <c r="K14" s="3724"/>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31" t="s">
        <v>2372</v>
      </c>
      <c r="C15" s="3732"/>
      <c r="D15" s="2896">
        <f>ROUND(D6*E15,0)</f>
        <v>0</v>
      </c>
      <c r="E15" s="2897">
        <v>5.5E-2</v>
      </c>
      <c r="F15" s="2890" t="s">
        <v>2373</v>
      </c>
      <c r="G15" s="2872"/>
      <c r="H15" s="2847"/>
      <c r="I15" s="2848"/>
      <c r="J15" s="3721">
        <v>2</v>
      </c>
      <c r="K15" s="3722"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31" t="s">
        <v>2381</v>
      </c>
      <c r="C16" s="3732"/>
      <c r="D16" s="2907">
        <f>D6*E16</f>
        <v>0</v>
      </c>
      <c r="E16" s="2908"/>
      <c r="F16" s="2893" t="s">
        <v>2382</v>
      </c>
      <c r="G16" s="2872"/>
      <c r="H16" s="2847"/>
      <c r="I16" s="2848"/>
      <c r="J16" s="3721"/>
      <c r="K16" s="3723"/>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33" t="s">
        <v>2384</v>
      </c>
      <c r="C17" s="3734"/>
      <c r="D17" s="2910">
        <f>ROUND(D6*E17,0)</f>
        <v>0</v>
      </c>
      <c r="E17" s="2911"/>
      <c r="F17" s="2912" t="s">
        <v>2385</v>
      </c>
      <c r="G17" s="2872"/>
      <c r="H17" s="2847"/>
      <c r="I17" s="2848"/>
      <c r="J17" s="3721"/>
      <c r="K17" s="3723"/>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21"/>
      <c r="K18" s="3723"/>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21"/>
      <c r="K19" s="3724"/>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1">
        <v>3</v>
      </c>
      <c r="K20" s="3722"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21"/>
      <c r="K21" s="3723"/>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21"/>
      <c r="K22" s="3723"/>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21"/>
      <c r="K23" s="3723"/>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21"/>
      <c r="K24" s="3724"/>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2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2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27" t="s">
        <v>2317</v>
      </c>
      <c r="K32" s="372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29" t="s">
        <v>2327</v>
      </c>
      <c r="K33" s="373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29" t="s">
        <v>2329</v>
      </c>
      <c r="K34" s="373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21">
        <v>1</v>
      </c>
      <c r="K36" s="3722"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21"/>
      <c r="K37" s="3723"/>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1"/>
      <c r="K38" s="3723"/>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21"/>
      <c r="K39" s="3723"/>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21"/>
      <c r="K40" s="3724"/>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2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472.83350000000002</v>
      </c>
      <c r="C2" s="1872" t="s">
        <v>1651</v>
      </c>
      <c r="D2" s="1873" t="s">
        <v>1652</v>
      </c>
      <c r="E2" s="2606">
        <f>SUM(E6:E13)</f>
        <v>114</v>
      </c>
      <c r="F2" s="2706"/>
      <c r="G2" s="1489"/>
      <c r="H2" s="1489"/>
      <c r="I2" s="1489"/>
      <c r="J2" s="1489"/>
      <c r="K2" s="1489"/>
      <c r="L2" s="1489"/>
      <c r="M2" s="1489"/>
      <c r="N2" s="1489"/>
      <c r="O2" s="1489"/>
      <c r="P2" s="1489"/>
      <c r="Q2" s="1489"/>
      <c r="R2" s="1489"/>
      <c r="S2" s="1489"/>
    </row>
    <row r="3" spans="1:22" ht="15.75">
      <c r="A3" s="1870" t="s">
        <v>686</v>
      </c>
      <c r="B3" s="2600">
        <f ca="1">ROUND(B2*10000/E2,0)</f>
        <v>41477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40" t="s">
        <v>1654</v>
      </c>
      <c r="C5" s="374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472.83350000000002</v>
      </c>
      <c r="C6" s="1872" t="s">
        <v>1651</v>
      </c>
      <c r="D6" s="2708"/>
      <c r="E6" s="2605">
        <f>IF(OR(A6=0,F6="否"),0,'数据-取费表'!K6+'数据-取费表'!S6)</f>
        <v>114</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114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84" t="s">
        <v>1773</v>
      </c>
      <c r="W4" s="3684"/>
      <c r="X4" s="1355"/>
      <c r="Y4" s="3678" t="s">
        <v>1775</v>
      </c>
      <c r="Z4" s="3679"/>
      <c r="AA4" s="3665" t="s">
        <v>1771</v>
      </c>
      <c r="AB4" s="3684" t="s">
        <v>1772</v>
      </c>
      <c r="AC4" s="3665" t="s">
        <v>1773</v>
      </c>
    </row>
    <row r="5" spans="1:29" ht="15">
      <c r="A5" s="358"/>
      <c r="B5" s="359"/>
      <c r="C5" s="3687" t="s">
        <v>1673</v>
      </c>
      <c r="D5" s="3688"/>
      <c r="E5" s="3742" t="s">
        <v>1674</v>
      </c>
      <c r="F5" s="3696"/>
      <c r="G5" s="3687" t="s">
        <v>1675</v>
      </c>
      <c r="H5" s="3688"/>
      <c r="I5" s="3687" t="s">
        <v>1676</v>
      </c>
      <c r="J5" s="3688"/>
      <c r="K5" s="559"/>
      <c r="L5" s="2714"/>
      <c r="M5" s="2715"/>
      <c r="N5" s="2715"/>
      <c r="O5" s="2715"/>
      <c r="P5" s="3674"/>
      <c r="Q5" s="3675"/>
      <c r="R5" s="3680"/>
      <c r="S5" s="3681"/>
      <c r="T5" s="3680"/>
      <c r="U5" s="3681"/>
      <c r="V5" s="3684"/>
      <c r="W5" s="3684"/>
      <c r="X5" s="1355"/>
      <c r="Y5" s="3680"/>
      <c r="Z5" s="3681"/>
      <c r="AA5" s="3666"/>
      <c r="AB5" s="3684"/>
      <c r="AC5" s="3666"/>
    </row>
    <row r="6" spans="1:29" ht="15.75" thickBot="1">
      <c r="A6" s="360"/>
      <c r="B6" s="361"/>
      <c r="C6" s="3685" t="s">
        <v>1677</v>
      </c>
      <c r="D6" s="3686"/>
      <c r="E6" s="3693" t="s">
        <v>1677</v>
      </c>
      <c r="F6" s="3694"/>
      <c r="G6" s="3685" t="s">
        <v>1677</v>
      </c>
      <c r="H6" s="3686"/>
      <c r="I6" s="3685" t="s">
        <v>1677</v>
      </c>
      <c r="J6" s="3686"/>
      <c r="K6" s="559" t="s">
        <v>1678</v>
      </c>
      <c r="L6" s="2714"/>
      <c r="M6" s="2715"/>
      <c r="N6" s="2715"/>
      <c r="O6" s="2715"/>
      <c r="P6" s="3676"/>
      <c r="Q6" s="3677"/>
      <c r="R6" s="3680"/>
      <c r="S6" s="3681"/>
      <c r="T6" s="3682"/>
      <c r="U6" s="3683"/>
      <c r="V6" s="3684"/>
      <c r="W6" s="3684"/>
      <c r="X6" s="1355"/>
      <c r="Y6" s="3682"/>
      <c r="Z6" s="3683"/>
      <c r="AA6" s="3667"/>
      <c r="AB6" s="3684"/>
      <c r="AC6" s="3667"/>
    </row>
    <row r="7" spans="1:29" s="108" customFormat="1" ht="15.75" thickBot="1">
      <c r="A7" s="362" t="s">
        <v>1679</v>
      </c>
      <c r="B7" s="363"/>
      <c r="C7" s="364">
        <f>'数据-取费表'!B2</f>
        <v>45701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9" t="s">
        <v>1683</v>
      </c>
      <c r="Q8" s="3690"/>
      <c r="R8" s="701" t="s">
        <v>14</v>
      </c>
      <c r="S8" s="702">
        <f t="shared" si="0"/>
        <v>100</v>
      </c>
      <c r="T8" s="701" t="s">
        <v>14</v>
      </c>
      <c r="U8" s="702">
        <f t="shared" si="1"/>
        <v>100</v>
      </c>
      <c r="V8" s="701" t="s">
        <v>14</v>
      </c>
      <c r="W8" s="702">
        <f t="shared" si="2"/>
        <v>100</v>
      </c>
      <c r="X8" s="703"/>
      <c r="Y8" s="3689" t="s">
        <v>1683</v>
      </c>
      <c r="Z8" s="36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4"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4"/>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4"/>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4"/>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4"/>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62" t="s">
        <v>1691</v>
      </c>
      <c r="Q15" s="1352" t="str">
        <f t="shared" si="6"/>
        <v>商业繁华度</v>
      </c>
      <c r="R15" s="705" t="s">
        <v>14</v>
      </c>
      <c r="S15" s="706">
        <f t="shared" si="0"/>
        <v>100</v>
      </c>
      <c r="T15" s="705" t="s">
        <v>14</v>
      </c>
      <c r="U15" s="706">
        <f t="shared" si="1"/>
        <v>100</v>
      </c>
      <c r="V15" s="705" t="s">
        <v>14</v>
      </c>
      <c r="W15" s="706">
        <f t="shared" si="2"/>
        <v>100</v>
      </c>
      <c r="X15" s="1355"/>
      <c r="Y15" s="365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63"/>
      <c r="Q16" s="1352"/>
      <c r="R16" s="705"/>
      <c r="S16" s="706"/>
      <c r="T16" s="705"/>
      <c r="U16" s="706"/>
      <c r="V16" s="705"/>
      <c r="W16" s="706"/>
      <c r="X16" s="1355"/>
      <c r="Y16" s="365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3"/>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63"/>
      <c r="Q18" s="1352"/>
      <c r="R18" s="705"/>
      <c r="S18" s="706"/>
      <c r="T18" s="705"/>
      <c r="U18" s="706"/>
      <c r="V18" s="705"/>
      <c r="W18" s="706"/>
      <c r="X18" s="1355"/>
      <c r="Y18" s="365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3"/>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63"/>
      <c r="Q20" s="1352"/>
      <c r="R20" s="705"/>
      <c r="S20" s="706"/>
      <c r="T20" s="705"/>
      <c r="U20" s="706"/>
      <c r="V20" s="705"/>
      <c r="W20" s="706"/>
      <c r="X20" s="1355"/>
      <c r="Y20" s="365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3"/>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63"/>
      <c r="Q22" s="1352"/>
      <c r="R22" s="705"/>
      <c r="S22" s="706"/>
      <c r="T22" s="705"/>
      <c r="U22" s="706"/>
      <c r="V22" s="705"/>
      <c r="W22" s="706"/>
      <c r="X22" s="1355"/>
      <c r="Y22" s="3656"/>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3"/>
      <c r="Q23" s="1352" t="str">
        <f>B23</f>
        <v>自然及人文环境</v>
      </c>
      <c r="R23" s="705" t="s">
        <v>14</v>
      </c>
      <c r="S23" s="706">
        <f>F23</f>
        <v>100</v>
      </c>
      <c r="T23" s="705" t="s">
        <v>14</v>
      </c>
      <c r="U23" s="706">
        <f>H23</f>
        <v>100</v>
      </c>
      <c r="V23" s="705" t="s">
        <v>14</v>
      </c>
      <c r="W23" s="706">
        <f>J23</f>
        <v>100</v>
      </c>
      <c r="X23" s="1355"/>
      <c r="Y23" s="365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63"/>
      <c r="Q24" s="1352"/>
      <c r="R24" s="705"/>
      <c r="S24" s="706"/>
      <c r="T24" s="705"/>
      <c r="U24" s="706"/>
      <c r="V24" s="705"/>
      <c r="W24" s="706"/>
      <c r="X24" s="1355"/>
      <c r="Y24" s="365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3"/>
      <c r="Q25" s="1352" t="str">
        <f t="shared" ref="Q25:Q46" si="11">B25</f>
        <v>临街状况</v>
      </c>
      <c r="R25" s="705" t="s">
        <v>14</v>
      </c>
      <c r="S25" s="706">
        <f>F25</f>
        <v>100</v>
      </c>
      <c r="T25" s="705" t="s">
        <v>14</v>
      </c>
      <c r="U25" s="706">
        <f>H25</f>
        <v>100</v>
      </c>
      <c r="V25" s="705" t="s">
        <v>14</v>
      </c>
      <c r="W25" s="706">
        <f>J25</f>
        <v>100</v>
      </c>
      <c r="X25" s="1355"/>
      <c r="Y25" s="365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3"/>
      <c r="Q26" s="1352" t="str">
        <f t="shared" si="11"/>
        <v>平面位置/可视性</v>
      </c>
      <c r="R26" s="705" t="s">
        <v>14</v>
      </c>
      <c r="S26" s="706">
        <f>F26</f>
        <v>100</v>
      </c>
      <c r="T26" s="705" t="s">
        <v>14</v>
      </c>
      <c r="U26" s="706">
        <f>H26</f>
        <v>100</v>
      </c>
      <c r="V26" s="705" t="s">
        <v>14</v>
      </c>
      <c r="W26" s="706">
        <f>J26</f>
        <v>100</v>
      </c>
      <c r="X26" s="1355"/>
      <c r="Y26" s="3656"/>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3"/>
      <c r="Q27" s="1343" t="str">
        <f t="shared" si="11"/>
        <v>人流量</v>
      </c>
      <c r="R27" s="701" t="s">
        <v>14</v>
      </c>
      <c r="S27" s="702">
        <f>F27</f>
        <v>100</v>
      </c>
      <c r="T27" s="701" t="s">
        <v>14</v>
      </c>
      <c r="U27" s="702">
        <f>H27</f>
        <v>100</v>
      </c>
      <c r="V27" s="701" t="s">
        <v>14</v>
      </c>
      <c r="W27" s="702">
        <f>J27</f>
        <v>100</v>
      </c>
      <c r="X27" s="703"/>
      <c r="Y27" s="365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3"/>
      <c r="Q29" s="1352">
        <f t="shared" si="11"/>
        <v>111</v>
      </c>
      <c r="R29" s="705" t="s">
        <v>14</v>
      </c>
      <c r="S29" s="706">
        <f t="shared" si="12"/>
        <v>100</v>
      </c>
      <c r="T29" s="705" t="s">
        <v>14</v>
      </c>
      <c r="U29" s="706">
        <f t="shared" si="13"/>
        <v>100</v>
      </c>
      <c r="V29" s="705" t="s">
        <v>14</v>
      </c>
      <c r="W29" s="706">
        <f t="shared" si="14"/>
        <v>100</v>
      </c>
      <c r="X29" s="1355"/>
      <c r="Y29" s="365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3"/>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3"/>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57" t="s">
        <v>1696</v>
      </c>
      <c r="Q32" s="1352" t="str">
        <f t="shared" si="11"/>
        <v>商业类型</v>
      </c>
      <c r="R32" s="705" t="s">
        <v>14</v>
      </c>
      <c r="S32" s="706">
        <f t="shared" si="12"/>
        <v>100</v>
      </c>
      <c r="T32" s="705" t="s">
        <v>14</v>
      </c>
      <c r="U32" s="706">
        <f t="shared" si="13"/>
        <v>100</v>
      </c>
      <c r="V32" s="705" t="s">
        <v>14</v>
      </c>
      <c r="W32" s="706">
        <f t="shared" si="14"/>
        <v>100</v>
      </c>
      <c r="X32" s="1355"/>
      <c r="Y32" s="366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58"/>
      <c r="Q33" s="707" t="str">
        <f t="shared" si="11"/>
        <v>项目建筑规模</v>
      </c>
      <c r="R33" s="708" t="s">
        <v>14</v>
      </c>
      <c r="S33" s="709" t="e">
        <f t="shared" si="12"/>
        <v>#N/A</v>
      </c>
      <c r="T33" s="708" t="s">
        <v>14</v>
      </c>
      <c r="U33" s="709" t="e">
        <f t="shared" si="13"/>
        <v>#N/A</v>
      </c>
      <c r="V33" s="708" t="s">
        <v>14</v>
      </c>
      <c r="W33" s="709" t="e">
        <f t="shared" si="14"/>
        <v>#N/A</v>
      </c>
      <c r="X33" s="710"/>
      <c r="Y33" s="3660"/>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58"/>
      <c r="Q34" s="1352" t="str">
        <f t="shared" si="11"/>
        <v>建筑结构</v>
      </c>
      <c r="R34" s="705" t="s">
        <v>14</v>
      </c>
      <c r="S34" s="706">
        <f t="shared" si="12"/>
        <v>100</v>
      </c>
      <c r="T34" s="705" t="s">
        <v>14</v>
      </c>
      <c r="U34" s="706">
        <f t="shared" si="13"/>
        <v>100</v>
      </c>
      <c r="V34" s="705" t="s">
        <v>14</v>
      </c>
      <c r="W34" s="706">
        <f t="shared" si="14"/>
        <v>100</v>
      </c>
      <c r="X34" s="1355"/>
      <c r="Y34" s="366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58"/>
      <c r="Q35" s="1352" t="str">
        <f t="shared" si="11"/>
        <v>公共部分装修</v>
      </c>
      <c r="R35" s="705" t="s">
        <v>14</v>
      </c>
      <c r="S35" s="706">
        <f t="shared" si="12"/>
        <v>100</v>
      </c>
      <c r="T35" s="705" t="s">
        <v>14</v>
      </c>
      <c r="U35" s="706">
        <f t="shared" si="13"/>
        <v>100</v>
      </c>
      <c r="V35" s="705" t="s">
        <v>14</v>
      </c>
      <c r="W35" s="706">
        <f t="shared" si="14"/>
        <v>100</v>
      </c>
      <c r="X35" s="1355"/>
      <c r="Y35" s="366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58"/>
      <c r="Q36" s="1352" t="str">
        <f t="shared" si="11"/>
        <v>成新度</v>
      </c>
      <c r="R36" s="705" t="s">
        <v>14</v>
      </c>
      <c r="S36" s="706" t="e">
        <f t="shared" si="12"/>
        <v>#N/A</v>
      </c>
      <c r="T36" s="705" t="s">
        <v>14</v>
      </c>
      <c r="U36" s="706" t="e">
        <f t="shared" si="13"/>
        <v>#N/A</v>
      </c>
      <c r="V36" s="705" t="s">
        <v>14</v>
      </c>
      <c r="W36" s="706" t="e">
        <f t="shared" si="14"/>
        <v>#N/A</v>
      </c>
      <c r="X36" s="1355"/>
      <c r="Y36" s="366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58"/>
      <c r="Q37" s="1343" t="str">
        <f t="shared" si="11"/>
        <v>市政基础设施</v>
      </c>
      <c r="R37" s="701" t="s">
        <v>14</v>
      </c>
      <c r="S37" s="702">
        <f t="shared" si="12"/>
        <v>100</v>
      </c>
      <c r="T37" s="701" t="s">
        <v>14</v>
      </c>
      <c r="U37" s="702">
        <f t="shared" si="13"/>
        <v>100</v>
      </c>
      <c r="V37" s="701" t="s">
        <v>14</v>
      </c>
      <c r="W37" s="702">
        <f t="shared" si="14"/>
        <v>100</v>
      </c>
      <c r="X37" s="703"/>
      <c r="Y37" s="366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58" t="s">
        <v>1696</v>
      </c>
      <c r="Q38" s="1352" t="str">
        <f t="shared" si="11"/>
        <v>业态</v>
      </c>
      <c r="R38" s="705" t="s">
        <v>14</v>
      </c>
      <c r="S38" s="706">
        <f t="shared" si="12"/>
        <v>100</v>
      </c>
      <c r="T38" s="705" t="s">
        <v>14</v>
      </c>
      <c r="U38" s="706">
        <f t="shared" si="13"/>
        <v>100</v>
      </c>
      <c r="V38" s="705" t="s">
        <v>14</v>
      </c>
      <c r="W38" s="706">
        <f t="shared" si="14"/>
        <v>100</v>
      </c>
      <c r="X38" s="1355"/>
      <c r="Y38" s="366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58"/>
      <c r="Q39" s="1352" t="str">
        <f t="shared" si="11"/>
        <v>层高</v>
      </c>
      <c r="R39" s="705" t="s">
        <v>14</v>
      </c>
      <c r="S39" s="706">
        <f t="shared" si="12"/>
        <v>100</v>
      </c>
      <c r="T39" s="705" t="s">
        <v>14</v>
      </c>
      <c r="U39" s="706">
        <f t="shared" si="13"/>
        <v>100</v>
      </c>
      <c r="V39" s="705" t="s">
        <v>14</v>
      </c>
      <c r="W39" s="706">
        <f t="shared" si="14"/>
        <v>100</v>
      </c>
      <c r="X39" s="1355"/>
      <c r="Y39" s="366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8"/>
      <c r="Q40" s="1352" t="str">
        <f t="shared" si="11"/>
        <v>单套建筑面积</v>
      </c>
      <c r="R40" s="705" t="s">
        <v>14</v>
      </c>
      <c r="S40" s="706">
        <f t="shared" si="12"/>
        <v>100</v>
      </c>
      <c r="T40" s="705" t="s">
        <v>14</v>
      </c>
      <c r="U40" s="706">
        <f t="shared" si="13"/>
        <v>100</v>
      </c>
      <c r="V40" s="705" t="s">
        <v>14</v>
      </c>
      <c r="W40" s="706">
        <f t="shared" si="14"/>
        <v>100</v>
      </c>
      <c r="X40" s="1355"/>
      <c r="Y40" s="366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8"/>
      <c r="Q41" s="707" t="str">
        <f t="shared" si="11"/>
        <v>进深比</v>
      </c>
      <c r="R41" s="708" t="s">
        <v>14</v>
      </c>
      <c r="S41" s="709">
        <f t="shared" si="12"/>
        <v>100</v>
      </c>
      <c r="T41" s="708" t="s">
        <v>14</v>
      </c>
      <c r="U41" s="709">
        <f t="shared" si="13"/>
        <v>100</v>
      </c>
      <c r="V41" s="708" t="s">
        <v>14</v>
      </c>
      <c r="W41" s="709">
        <f t="shared" si="14"/>
        <v>100</v>
      </c>
      <c r="X41" s="710"/>
      <c r="Y41" s="366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58"/>
      <c r="Q42" s="1352" t="str">
        <f t="shared" si="11"/>
        <v>内部装修</v>
      </c>
      <c r="R42" s="705" t="s">
        <v>14</v>
      </c>
      <c r="S42" s="706">
        <f t="shared" si="12"/>
        <v>100</v>
      </c>
      <c r="T42" s="705" t="s">
        <v>14</v>
      </c>
      <c r="U42" s="706">
        <f t="shared" si="13"/>
        <v>100</v>
      </c>
      <c r="V42" s="705" t="s">
        <v>14</v>
      </c>
      <c r="W42" s="706">
        <f t="shared" si="14"/>
        <v>100</v>
      </c>
      <c r="X42" s="1355"/>
      <c r="Y42" s="366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58"/>
      <c r="Q43" s="1352" t="str">
        <f t="shared" si="11"/>
        <v>内部装修维护情况</v>
      </c>
      <c r="R43" s="705" t="s">
        <v>14</v>
      </c>
      <c r="S43" s="706">
        <f t="shared" si="12"/>
        <v>100</v>
      </c>
      <c r="T43" s="705" t="s">
        <v>14</v>
      </c>
      <c r="U43" s="706">
        <f t="shared" si="13"/>
        <v>100</v>
      </c>
      <c r="V43" s="705" t="s">
        <v>14</v>
      </c>
      <c r="W43" s="706">
        <f t="shared" si="14"/>
        <v>100</v>
      </c>
      <c r="X43" s="1355"/>
      <c r="Y43" s="366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8"/>
      <c r="Q44" s="1343">
        <f t="shared" si="11"/>
        <v>111</v>
      </c>
      <c r="R44" s="701" t="s">
        <v>14</v>
      </c>
      <c r="S44" s="702">
        <f t="shared" si="12"/>
        <v>100</v>
      </c>
      <c r="T44" s="701" t="s">
        <v>14</v>
      </c>
      <c r="U44" s="702">
        <f t="shared" si="13"/>
        <v>100</v>
      </c>
      <c r="V44" s="701" t="s">
        <v>14</v>
      </c>
      <c r="W44" s="702">
        <f t="shared" si="14"/>
        <v>100</v>
      </c>
      <c r="X44" s="703"/>
      <c r="Y44" s="36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8"/>
      <c r="Q45" s="1352">
        <f t="shared" si="11"/>
        <v>111</v>
      </c>
      <c r="R45" s="705" t="s">
        <v>14</v>
      </c>
      <c r="S45" s="706">
        <f t="shared" si="12"/>
        <v>100</v>
      </c>
      <c r="T45" s="705" t="s">
        <v>14</v>
      </c>
      <c r="U45" s="706">
        <f t="shared" si="13"/>
        <v>100</v>
      </c>
      <c r="V45" s="705" t="s">
        <v>14</v>
      </c>
      <c r="W45" s="706">
        <f t="shared" si="14"/>
        <v>100</v>
      </c>
      <c r="X45" s="1355"/>
      <c r="Y45" s="366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53" t="str">
        <f>A47</f>
        <v>成交单价（元/平方米）</v>
      </c>
      <c r="Q47" s="3653"/>
      <c r="R47" s="3684">
        <f>E47</f>
        <v>0</v>
      </c>
      <c r="S47" s="3684"/>
      <c r="T47" s="3684">
        <f>G47</f>
        <v>0</v>
      </c>
      <c r="U47" s="3684"/>
      <c r="V47" s="3684">
        <f>I47</f>
        <v>0</v>
      </c>
      <c r="W47" s="3684"/>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49" t="s">
        <v>1775</v>
      </c>
      <c r="Q4" s="3750"/>
      <c r="R4" s="3753" t="s">
        <v>1771</v>
      </c>
      <c r="S4" s="3754"/>
      <c r="T4" s="3753" t="s">
        <v>1772</v>
      </c>
      <c r="U4" s="3754"/>
      <c r="V4" s="3755" t="s">
        <v>1773</v>
      </c>
      <c r="W4" s="3755"/>
      <c r="X4" s="1957"/>
      <c r="Y4" s="3753" t="s">
        <v>1775</v>
      </c>
      <c r="Z4" s="3754"/>
      <c r="AA4" s="3757" t="s">
        <v>1771</v>
      </c>
      <c r="AB4" s="3757" t="s">
        <v>1772</v>
      </c>
      <c r="AC4" s="3746" t="s">
        <v>1773</v>
      </c>
    </row>
    <row r="5" spans="1:29" ht="15">
      <c r="A5" s="358"/>
      <c r="B5" s="359"/>
      <c r="C5" s="3687" t="s">
        <v>1673</v>
      </c>
      <c r="D5" s="3688"/>
      <c r="E5" s="3742" t="s">
        <v>1674</v>
      </c>
      <c r="F5" s="3696"/>
      <c r="G5" s="3687" t="s">
        <v>1675</v>
      </c>
      <c r="H5" s="3688"/>
      <c r="I5" s="3687" t="s">
        <v>1676</v>
      </c>
      <c r="J5" s="3688"/>
      <c r="K5" s="559"/>
      <c r="L5" s="2714"/>
      <c r="M5" s="2715"/>
      <c r="N5" s="2715"/>
      <c r="O5" s="2715"/>
      <c r="P5" s="3751"/>
      <c r="Q5" s="3675"/>
      <c r="R5" s="3680"/>
      <c r="S5" s="3681"/>
      <c r="T5" s="3680"/>
      <c r="U5" s="3681"/>
      <c r="V5" s="3684"/>
      <c r="W5" s="3684"/>
      <c r="X5" s="1355"/>
      <c r="Y5" s="3680"/>
      <c r="Z5" s="3681"/>
      <c r="AA5" s="3666"/>
      <c r="AB5" s="3666"/>
      <c r="AC5" s="3747"/>
    </row>
    <row r="6" spans="1:29" ht="15.75" thickBot="1">
      <c r="A6" s="360"/>
      <c r="B6" s="361"/>
      <c r="C6" s="3685" t="s">
        <v>1677</v>
      </c>
      <c r="D6" s="3686"/>
      <c r="E6" s="3693" t="s">
        <v>1677</v>
      </c>
      <c r="F6" s="3694"/>
      <c r="G6" s="3685" t="s">
        <v>1677</v>
      </c>
      <c r="H6" s="3686"/>
      <c r="I6" s="3685" t="s">
        <v>1677</v>
      </c>
      <c r="J6" s="3686"/>
      <c r="K6" s="559" t="s">
        <v>1678</v>
      </c>
      <c r="L6" s="2714"/>
      <c r="M6" s="2715"/>
      <c r="N6" s="2715"/>
      <c r="O6" s="2715"/>
      <c r="P6" s="3752"/>
      <c r="Q6" s="3677"/>
      <c r="R6" s="3680"/>
      <c r="S6" s="3681"/>
      <c r="T6" s="3682"/>
      <c r="U6" s="3683"/>
      <c r="V6" s="3684"/>
      <c r="W6" s="3684"/>
      <c r="X6" s="1355"/>
      <c r="Y6" s="3682"/>
      <c r="Z6" s="3683"/>
      <c r="AA6" s="3667"/>
      <c r="AB6" s="3667"/>
      <c r="AC6" s="3748"/>
    </row>
    <row r="7" spans="1:29" s="108" customFormat="1" ht="15.75" thickBot="1">
      <c r="A7" s="362" t="s">
        <v>1679</v>
      </c>
      <c r="B7" s="363"/>
      <c r="C7" s="364">
        <f>'数据-取费表'!B2</f>
        <v>45701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6"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6" t="s">
        <v>1683</v>
      </c>
      <c r="Q8" s="3690"/>
      <c r="R8" s="701" t="s">
        <v>14</v>
      </c>
      <c r="S8" s="702">
        <f t="shared" si="0"/>
        <v>100</v>
      </c>
      <c r="T8" s="701" t="s">
        <v>14</v>
      </c>
      <c r="U8" s="702">
        <f t="shared" si="1"/>
        <v>100</v>
      </c>
      <c r="V8" s="701" t="s">
        <v>14</v>
      </c>
      <c r="W8" s="702">
        <f t="shared" si="2"/>
        <v>100</v>
      </c>
      <c r="X8" s="703"/>
      <c r="Y8" s="3689" t="s">
        <v>1683</v>
      </c>
      <c r="Z8" s="3690"/>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4"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4"/>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4"/>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4"/>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8">
        <f t="shared" si="5"/>
        <v>1</v>
      </c>
    </row>
    <row r="14" spans="1:29" ht="15.75"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64"/>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2" t="s">
        <v>1691</v>
      </c>
      <c r="Q15" s="1352" t="str">
        <f t="shared" si="6"/>
        <v>办公集聚程度</v>
      </c>
      <c r="R15" s="705" t="s">
        <v>14</v>
      </c>
      <c r="S15" s="706">
        <f t="shared" si="0"/>
        <v>100</v>
      </c>
      <c r="T15" s="705" t="s">
        <v>14</v>
      </c>
      <c r="U15" s="706">
        <f t="shared" si="1"/>
        <v>100</v>
      </c>
      <c r="V15" s="705" t="s">
        <v>14</v>
      </c>
      <c r="W15" s="706">
        <f t="shared" si="2"/>
        <v>100</v>
      </c>
      <c r="X15" s="1355"/>
      <c r="Y15" s="3655"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663"/>
      <c r="Q16" s="1352"/>
      <c r="R16" s="705"/>
      <c r="S16" s="706"/>
      <c r="T16" s="705"/>
      <c r="U16" s="706"/>
      <c r="V16" s="705"/>
      <c r="W16" s="706"/>
      <c r="X16" s="1355"/>
      <c r="Y16" s="3656"/>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3"/>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663"/>
      <c r="Q18" s="1352"/>
      <c r="R18" s="705"/>
      <c r="S18" s="706"/>
      <c r="T18" s="705"/>
      <c r="U18" s="706"/>
      <c r="V18" s="705"/>
      <c r="W18" s="706"/>
      <c r="X18" s="1355"/>
      <c r="Y18" s="3656"/>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3"/>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663"/>
      <c r="Q20" s="1352"/>
      <c r="R20" s="705"/>
      <c r="S20" s="706"/>
      <c r="T20" s="705"/>
      <c r="U20" s="706"/>
      <c r="V20" s="705"/>
      <c r="W20" s="706"/>
      <c r="X20" s="1355"/>
      <c r="Y20" s="3656"/>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3"/>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663"/>
      <c r="Q22" s="1352"/>
      <c r="R22" s="705"/>
      <c r="S22" s="706"/>
      <c r="T22" s="705"/>
      <c r="U22" s="706"/>
      <c r="V22" s="705"/>
      <c r="W22" s="706"/>
      <c r="X22" s="1355"/>
      <c r="Y22" s="3656"/>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3"/>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663"/>
      <c r="Q24" s="1352"/>
      <c r="R24" s="705"/>
      <c r="S24" s="706"/>
      <c r="T24" s="705"/>
      <c r="U24" s="706"/>
      <c r="V24" s="705"/>
      <c r="W24" s="706"/>
      <c r="X24" s="1355"/>
      <c r="Y24" s="3656"/>
      <c r="Z24" s="1356"/>
      <c r="AA24" s="1353">
        <v>1</v>
      </c>
      <c r="AB24" s="1353">
        <v>1</v>
      </c>
      <c r="AC24" s="1961">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63"/>
      <c r="Q25" s="1352" t="str">
        <f>B25</f>
        <v>毗邻道路的类型与等级</v>
      </c>
      <c r="R25" s="705" t="s">
        <v>14</v>
      </c>
      <c r="S25" s="706">
        <f>F25</f>
        <v>100</v>
      </c>
      <c r="T25" s="705" t="s">
        <v>14</v>
      </c>
      <c r="U25" s="706">
        <f>H25</f>
        <v>100</v>
      </c>
      <c r="V25" s="705" t="s">
        <v>14</v>
      </c>
      <c r="W25" s="706">
        <f>J25</f>
        <v>100</v>
      </c>
      <c r="X25" s="1355"/>
      <c r="Y25" s="3656"/>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663"/>
      <c r="Q26" s="1352"/>
      <c r="R26" s="705"/>
      <c r="S26" s="706"/>
      <c r="T26" s="705"/>
      <c r="U26" s="706"/>
      <c r="V26" s="705"/>
      <c r="W26" s="706"/>
      <c r="X26" s="1355"/>
      <c r="Y26" s="3656"/>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3"/>
      <c r="Q27" s="1352" t="str">
        <f t="shared" ref="Q27:Q47" si="11">B27</f>
        <v>楼层</v>
      </c>
      <c r="R27" s="705" t="s">
        <v>14</v>
      </c>
      <c r="S27" s="706">
        <f>F27</f>
        <v>100</v>
      </c>
      <c r="T27" s="705" t="s">
        <v>14</v>
      </c>
      <c r="U27" s="706">
        <f>H27</f>
        <v>100</v>
      </c>
      <c r="V27" s="705" t="s">
        <v>14</v>
      </c>
      <c r="W27" s="706">
        <f>J27</f>
        <v>100</v>
      </c>
      <c r="X27" s="1355"/>
      <c r="Y27" s="3656"/>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3"/>
      <c r="Q28" s="1343" t="str">
        <f t="shared" si="11"/>
        <v>朝向</v>
      </c>
      <c r="R28" s="701" t="s">
        <v>14</v>
      </c>
      <c r="S28" s="702">
        <f>F28</f>
        <v>100</v>
      </c>
      <c r="T28" s="701" t="s">
        <v>14</v>
      </c>
      <c r="U28" s="702">
        <f>H28</f>
        <v>100</v>
      </c>
      <c r="V28" s="701" t="s">
        <v>14</v>
      </c>
      <c r="W28" s="702">
        <f>J28</f>
        <v>100</v>
      </c>
      <c r="X28" s="703"/>
      <c r="Y28" s="3656"/>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3"/>
      <c r="Q29" s="1352">
        <f t="shared" si="11"/>
        <v>111</v>
      </c>
      <c r="R29" s="705" t="s">
        <v>14</v>
      </c>
      <c r="S29" s="706">
        <f t="shared" ref="S29:S47" si="12">F29</f>
        <v>100</v>
      </c>
      <c r="T29" s="705" t="s">
        <v>14</v>
      </c>
      <c r="U29" s="706">
        <f t="shared" ref="U29:U47" si="13">H29</f>
        <v>100</v>
      </c>
      <c r="V29" s="705" t="s">
        <v>14</v>
      </c>
      <c r="W29" s="706">
        <f t="shared" ref="W29:W47" si="14">J29</f>
        <v>100</v>
      </c>
      <c r="X29" s="1355"/>
      <c r="Y29" s="3656"/>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3"/>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3"/>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961">
        <f t="shared" si="5"/>
        <v>1</v>
      </c>
    </row>
    <row r="32" spans="1:29" ht="15.75"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3"/>
      <c r="Q32" s="1352">
        <f t="shared" si="11"/>
        <v>111</v>
      </c>
      <c r="R32" s="705" t="s">
        <v>14</v>
      </c>
      <c r="S32" s="706">
        <f t="shared" si="12"/>
        <v>100</v>
      </c>
      <c r="T32" s="705" t="s">
        <v>14</v>
      </c>
      <c r="U32" s="706">
        <f t="shared" si="13"/>
        <v>100</v>
      </c>
      <c r="V32" s="705" t="s">
        <v>14</v>
      </c>
      <c r="W32" s="706">
        <f t="shared" si="14"/>
        <v>100</v>
      </c>
      <c r="X32" s="1355"/>
      <c r="Y32" s="3656"/>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57" t="s">
        <v>1696</v>
      </c>
      <c r="Q33" s="1352" t="str">
        <f t="shared" si="11"/>
        <v>建筑类型</v>
      </c>
      <c r="R33" s="705" t="s">
        <v>14</v>
      </c>
      <c r="S33" s="706">
        <f t="shared" si="12"/>
        <v>100</v>
      </c>
      <c r="T33" s="705" t="s">
        <v>14</v>
      </c>
      <c r="U33" s="706">
        <f t="shared" si="13"/>
        <v>100</v>
      </c>
      <c r="V33" s="705" t="s">
        <v>14</v>
      </c>
      <c r="W33" s="706">
        <f t="shared" si="14"/>
        <v>100</v>
      </c>
      <c r="X33" s="1355"/>
      <c r="Y33" s="3660"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8"/>
      <c r="Q34" s="707" t="str">
        <f t="shared" si="11"/>
        <v>项目建筑规模</v>
      </c>
      <c r="R34" s="708" t="s">
        <v>14</v>
      </c>
      <c r="S34" s="709" t="e">
        <f t="shared" si="12"/>
        <v>#N/A</v>
      </c>
      <c r="T34" s="708" t="s">
        <v>14</v>
      </c>
      <c r="U34" s="709" t="e">
        <f t="shared" si="13"/>
        <v>#N/A</v>
      </c>
      <c r="V34" s="708" t="s">
        <v>14</v>
      </c>
      <c r="W34" s="709" t="e">
        <f t="shared" si="14"/>
        <v>#N/A</v>
      </c>
      <c r="X34" s="710"/>
      <c r="Y34" s="3660"/>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8"/>
      <c r="Q35" s="1352" t="str">
        <f t="shared" si="11"/>
        <v>建筑结构</v>
      </c>
      <c r="R35" s="705" t="s">
        <v>14</v>
      </c>
      <c r="S35" s="706">
        <f t="shared" si="12"/>
        <v>100</v>
      </c>
      <c r="T35" s="705" t="s">
        <v>14</v>
      </c>
      <c r="U35" s="706">
        <f t="shared" si="13"/>
        <v>100</v>
      </c>
      <c r="V35" s="705" t="s">
        <v>14</v>
      </c>
      <c r="W35" s="706">
        <f t="shared" si="14"/>
        <v>100</v>
      </c>
      <c r="X35" s="1355"/>
      <c r="Y35" s="3660"/>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8"/>
      <c r="Q36" s="1352" t="str">
        <f t="shared" si="11"/>
        <v>公共部分装修</v>
      </c>
      <c r="R36" s="705" t="s">
        <v>14</v>
      </c>
      <c r="S36" s="706">
        <f t="shared" si="12"/>
        <v>100</v>
      </c>
      <c r="T36" s="705" t="s">
        <v>14</v>
      </c>
      <c r="U36" s="706">
        <f t="shared" si="13"/>
        <v>100</v>
      </c>
      <c r="V36" s="705" t="s">
        <v>14</v>
      </c>
      <c r="W36" s="706">
        <f t="shared" si="14"/>
        <v>100</v>
      </c>
      <c r="X36" s="1355"/>
      <c r="Y36" s="3660"/>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8"/>
      <c r="Q37" s="1352" t="str">
        <f t="shared" si="11"/>
        <v>成新度</v>
      </c>
      <c r="R37" s="705" t="s">
        <v>14</v>
      </c>
      <c r="S37" s="706" t="e">
        <f t="shared" si="12"/>
        <v>#N/A</v>
      </c>
      <c r="T37" s="705" t="s">
        <v>14</v>
      </c>
      <c r="U37" s="706" t="e">
        <f t="shared" si="13"/>
        <v>#N/A</v>
      </c>
      <c r="V37" s="705" t="s">
        <v>14</v>
      </c>
      <c r="W37" s="706" t="e">
        <f t="shared" si="14"/>
        <v>#N/A</v>
      </c>
      <c r="X37" s="1355"/>
      <c r="Y37" s="3660"/>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8"/>
      <c r="Q38" s="1343" t="str">
        <f t="shared" si="11"/>
        <v>写字楼等级</v>
      </c>
      <c r="R38" s="701" t="s">
        <v>14</v>
      </c>
      <c r="S38" s="702">
        <f t="shared" si="12"/>
        <v>100</v>
      </c>
      <c r="T38" s="701" t="s">
        <v>14</v>
      </c>
      <c r="U38" s="702">
        <f t="shared" si="13"/>
        <v>100</v>
      </c>
      <c r="V38" s="701" t="s">
        <v>14</v>
      </c>
      <c r="W38" s="702">
        <f t="shared" si="14"/>
        <v>100</v>
      </c>
      <c r="X38" s="703"/>
      <c r="Y38" s="366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8" t="s">
        <v>1696</v>
      </c>
      <c r="Q39" s="1352" t="str">
        <f t="shared" si="11"/>
        <v>物业管理</v>
      </c>
      <c r="R39" s="705" t="s">
        <v>14</v>
      </c>
      <c r="S39" s="706">
        <f t="shared" si="12"/>
        <v>100</v>
      </c>
      <c r="T39" s="705" t="s">
        <v>14</v>
      </c>
      <c r="U39" s="706">
        <f t="shared" si="13"/>
        <v>100</v>
      </c>
      <c r="V39" s="705" t="s">
        <v>14</v>
      </c>
      <c r="W39" s="706">
        <f t="shared" si="14"/>
        <v>100</v>
      </c>
      <c r="X39" s="1355"/>
      <c r="Y39" s="3660"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8"/>
      <c r="Q40" s="1352" t="str">
        <f t="shared" si="11"/>
        <v>市政基础设施</v>
      </c>
      <c r="R40" s="705" t="s">
        <v>14</v>
      </c>
      <c r="S40" s="706">
        <f t="shared" si="12"/>
        <v>100</v>
      </c>
      <c r="T40" s="705" t="s">
        <v>14</v>
      </c>
      <c r="U40" s="706">
        <f t="shared" si="13"/>
        <v>100</v>
      </c>
      <c r="V40" s="705" t="s">
        <v>14</v>
      </c>
      <c r="W40" s="706">
        <f t="shared" si="14"/>
        <v>100</v>
      </c>
      <c r="X40" s="1355"/>
      <c r="Y40" s="3660"/>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8"/>
      <c r="Q41" s="1352" t="str">
        <f t="shared" si="11"/>
        <v>层高</v>
      </c>
      <c r="R41" s="705" t="s">
        <v>14</v>
      </c>
      <c r="S41" s="706">
        <f t="shared" si="12"/>
        <v>100</v>
      </c>
      <c r="T41" s="705" t="s">
        <v>14</v>
      </c>
      <c r="U41" s="706">
        <f t="shared" si="13"/>
        <v>100</v>
      </c>
      <c r="V41" s="705" t="s">
        <v>14</v>
      </c>
      <c r="W41" s="706">
        <f t="shared" si="14"/>
        <v>100</v>
      </c>
      <c r="X41" s="1355"/>
      <c r="Y41" s="3660"/>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8"/>
      <c r="Q42" s="707" t="str">
        <f t="shared" si="11"/>
        <v>单套建筑面积</v>
      </c>
      <c r="R42" s="708" t="s">
        <v>14</v>
      </c>
      <c r="S42" s="709">
        <f t="shared" si="12"/>
        <v>100</v>
      </c>
      <c r="T42" s="708" t="s">
        <v>14</v>
      </c>
      <c r="U42" s="709">
        <f t="shared" si="13"/>
        <v>100</v>
      </c>
      <c r="V42" s="708" t="s">
        <v>14</v>
      </c>
      <c r="W42" s="709">
        <f t="shared" si="14"/>
        <v>100</v>
      </c>
      <c r="X42" s="710"/>
      <c r="Y42" s="3660"/>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8"/>
      <c r="Q43" s="1352" t="str">
        <f t="shared" si="11"/>
        <v>内部装修</v>
      </c>
      <c r="R43" s="705" t="s">
        <v>14</v>
      </c>
      <c r="S43" s="706">
        <f t="shared" si="12"/>
        <v>100</v>
      </c>
      <c r="T43" s="705" t="s">
        <v>14</v>
      </c>
      <c r="U43" s="706">
        <f t="shared" si="13"/>
        <v>100</v>
      </c>
      <c r="V43" s="705" t="s">
        <v>14</v>
      </c>
      <c r="W43" s="706">
        <f t="shared" si="14"/>
        <v>100</v>
      </c>
      <c r="X43" s="1355"/>
      <c r="Y43" s="3660"/>
      <c r="Z43" s="1356" t="str">
        <f t="shared" si="15"/>
        <v>内部装修</v>
      </c>
      <c r="AA43" s="1353">
        <f t="shared" si="3"/>
        <v>1</v>
      </c>
      <c r="AB43" s="1353">
        <f t="shared" si="4"/>
        <v>1</v>
      </c>
      <c r="AC43" s="1961">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58"/>
      <c r="Q44" s="1352" t="str">
        <f t="shared" si="11"/>
        <v>内部装修维护情况</v>
      </c>
      <c r="R44" s="705" t="s">
        <v>14</v>
      </c>
      <c r="S44" s="706">
        <f t="shared" si="12"/>
        <v>100</v>
      </c>
      <c r="T44" s="705" t="s">
        <v>14</v>
      </c>
      <c r="U44" s="706">
        <f t="shared" si="13"/>
        <v>100</v>
      </c>
      <c r="V44" s="705" t="s">
        <v>14</v>
      </c>
      <c r="W44" s="706">
        <f t="shared" si="14"/>
        <v>100</v>
      </c>
      <c r="X44" s="1355"/>
      <c r="Y44" s="3660"/>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8"/>
      <c r="Q45" s="1343">
        <f t="shared" si="11"/>
        <v>111</v>
      </c>
      <c r="R45" s="701" t="s">
        <v>14</v>
      </c>
      <c r="S45" s="702">
        <f t="shared" si="12"/>
        <v>100</v>
      </c>
      <c r="T45" s="701" t="s">
        <v>14</v>
      </c>
      <c r="U45" s="702">
        <f t="shared" si="13"/>
        <v>100</v>
      </c>
      <c r="V45" s="701" t="s">
        <v>14</v>
      </c>
      <c r="W45" s="702">
        <f t="shared" si="14"/>
        <v>100</v>
      </c>
      <c r="X45" s="703"/>
      <c r="Y45" s="366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8"/>
      <c r="Q46" s="1352">
        <f t="shared" si="11"/>
        <v>111</v>
      </c>
      <c r="R46" s="705" t="s">
        <v>14</v>
      </c>
      <c r="S46" s="706">
        <f t="shared" si="12"/>
        <v>100</v>
      </c>
      <c r="T46" s="705" t="s">
        <v>14</v>
      </c>
      <c r="U46" s="706">
        <f t="shared" si="13"/>
        <v>100</v>
      </c>
      <c r="V46" s="705" t="s">
        <v>14</v>
      </c>
      <c r="W46" s="706">
        <f t="shared" si="14"/>
        <v>100</v>
      </c>
      <c r="X46" s="1355"/>
      <c r="Y46" s="3660"/>
      <c r="Z46" s="1356">
        <f t="shared" si="15"/>
        <v>111</v>
      </c>
      <c r="AA46" s="1353">
        <f t="shared" si="3"/>
        <v>1</v>
      </c>
      <c r="AB46" s="1353">
        <f t="shared" si="4"/>
        <v>1</v>
      </c>
      <c r="AC46" s="1961">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9"/>
      <c r="Q47" s="1352">
        <f t="shared" si="11"/>
        <v>111</v>
      </c>
      <c r="R47" s="705" t="s">
        <v>14</v>
      </c>
      <c r="S47" s="706">
        <f t="shared" si="12"/>
        <v>100</v>
      </c>
      <c r="T47" s="705" t="s">
        <v>14</v>
      </c>
      <c r="U47" s="706">
        <f t="shared" si="13"/>
        <v>100</v>
      </c>
      <c r="V47" s="705" t="s">
        <v>14</v>
      </c>
      <c r="W47" s="706">
        <f t="shared" si="14"/>
        <v>100</v>
      </c>
      <c r="X47" s="1355"/>
      <c r="Y47" s="3661"/>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64" t="str">
        <f>A48</f>
        <v>成交单价（元/平方米）</v>
      </c>
      <c r="Q48" s="3653"/>
      <c r="R48" s="3654">
        <f>E48</f>
        <v>0</v>
      </c>
      <c r="S48" s="3654"/>
      <c r="T48" s="3654">
        <f>G48</f>
        <v>0</v>
      </c>
      <c r="U48" s="3654"/>
      <c r="V48" s="3654">
        <f>I48</f>
        <v>0</v>
      </c>
      <c r="W48" s="3654"/>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64" t="str">
        <f>A49</f>
        <v>比较价值（元/平方米）</v>
      </c>
      <c r="Q49" s="3653"/>
      <c r="R49" s="3654" t="e">
        <f>IF(F1="售价",ROUND(PRODUCT(R48,AA7:AA47),0),ROUND(PRODUCT(R48,AA7:AA47),1))</f>
        <v>#DIV/0!</v>
      </c>
      <c r="S49" s="3654"/>
      <c r="T49" s="3654" t="e">
        <f>IF(F1="售价",ROUND(PRODUCT(T48,AB7:AB47),0),ROUND(PRODUCT(T48,AB7:AB47),1))</f>
        <v>#DIV/0!</v>
      </c>
      <c r="U49" s="3654"/>
      <c r="V49" s="3654" t="e">
        <f>IF(F1="售价",ROUND(PRODUCT(V48,AC7:AC47),0),ROUND(PRODUCT(V48,AC7:AC47),1))</f>
        <v>#DIV/0!</v>
      </c>
      <c r="W49" s="365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742" t="s">
        <v>1674</v>
      </c>
      <c r="F5" s="3696"/>
      <c r="G5" s="3687" t="s">
        <v>1675</v>
      </c>
      <c r="H5" s="3688"/>
      <c r="I5" s="3687" t="s">
        <v>1676</v>
      </c>
      <c r="J5" s="3688"/>
      <c r="K5" s="559"/>
      <c r="L5" s="913"/>
      <c r="M5" s="914"/>
      <c r="N5" s="914"/>
      <c r="O5" s="914"/>
      <c r="P5" s="3674"/>
      <c r="Q5" s="3675"/>
      <c r="R5" s="3680"/>
      <c r="S5" s="3681"/>
      <c r="T5" s="3680"/>
      <c r="U5" s="3681"/>
      <c r="V5" s="3684"/>
      <c r="W5" s="3684"/>
      <c r="X5" s="1355"/>
      <c r="Y5" s="3680"/>
      <c r="Z5" s="3681"/>
      <c r="AA5" s="3666"/>
      <c r="AB5" s="3666"/>
      <c r="AC5" s="3666"/>
    </row>
    <row r="6" spans="1:29" ht="15.75" thickBot="1">
      <c r="A6" s="360"/>
      <c r="B6" s="361"/>
      <c r="C6" s="3685" t="s">
        <v>1677</v>
      </c>
      <c r="D6" s="3686"/>
      <c r="E6" s="3693" t="s">
        <v>1677</v>
      </c>
      <c r="F6" s="3694"/>
      <c r="G6" s="3685" t="s">
        <v>1677</v>
      </c>
      <c r="H6" s="3686"/>
      <c r="I6" s="3685" t="s">
        <v>1677</v>
      </c>
      <c r="J6" s="3686"/>
      <c r="K6" s="559" t="s">
        <v>1678</v>
      </c>
      <c r="L6" s="913"/>
      <c r="M6" s="914"/>
      <c r="N6" s="914"/>
      <c r="O6" s="9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45701</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90"/>
      <c r="R8" s="701" t="s">
        <v>14</v>
      </c>
      <c r="S8" s="702">
        <f t="shared" si="0"/>
        <v>100</v>
      </c>
      <c r="T8" s="701" t="s">
        <v>14</v>
      </c>
      <c r="U8" s="702">
        <f t="shared" si="1"/>
        <v>100</v>
      </c>
      <c r="V8" s="701" t="s">
        <v>14</v>
      </c>
      <c r="W8" s="702">
        <f t="shared" si="2"/>
        <v>100</v>
      </c>
      <c r="X8" s="703"/>
      <c r="Y8" s="3689" t="s">
        <v>1683</v>
      </c>
      <c r="Z8" s="369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3"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53"/>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3"/>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3"/>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3"/>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6"/>
      <c r="Q16" s="1352"/>
      <c r="R16" s="705"/>
      <c r="S16" s="706"/>
      <c r="T16" s="705"/>
      <c r="U16" s="706"/>
      <c r="V16" s="705"/>
      <c r="W16" s="706"/>
      <c r="X16" s="1355"/>
      <c r="Y16" s="365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6"/>
      <c r="Q18" s="1352"/>
      <c r="R18" s="705"/>
      <c r="S18" s="706"/>
      <c r="T18" s="705"/>
      <c r="U18" s="706"/>
      <c r="V18" s="705"/>
      <c r="W18" s="706"/>
      <c r="X18" s="1355"/>
      <c r="Y18" s="365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6"/>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6"/>
      <c r="Q20" s="1352"/>
      <c r="R20" s="705"/>
      <c r="S20" s="706"/>
      <c r="T20" s="705"/>
      <c r="U20" s="706"/>
      <c r="V20" s="705"/>
      <c r="W20" s="706"/>
      <c r="X20" s="1355"/>
      <c r="Y20" s="365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6"/>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6"/>
      <c r="Q22" s="1352"/>
      <c r="R22" s="705"/>
      <c r="S22" s="706"/>
      <c r="T22" s="705"/>
      <c r="U22" s="706"/>
      <c r="V22" s="705"/>
      <c r="W22" s="706"/>
      <c r="X22" s="1355"/>
      <c r="Y22" s="365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6"/>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6"/>
      <c r="Q24" s="1352"/>
      <c r="R24" s="705"/>
      <c r="S24" s="706"/>
      <c r="T24" s="705"/>
      <c r="U24" s="706"/>
      <c r="V24" s="705"/>
      <c r="W24" s="706"/>
      <c r="X24" s="1355"/>
      <c r="Y24" s="365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6"/>
      <c r="Q25" s="1352">
        <f>B25</f>
        <v>111</v>
      </c>
      <c r="R25" s="705" t="s">
        <v>14</v>
      </c>
      <c r="S25" s="706">
        <f>F25</f>
        <v>100</v>
      </c>
      <c r="T25" s="705" t="s">
        <v>14</v>
      </c>
      <c r="U25" s="706">
        <f>H25</f>
        <v>100</v>
      </c>
      <c r="V25" s="705" t="s">
        <v>14</v>
      </c>
      <c r="W25" s="706">
        <f>J25</f>
        <v>100</v>
      </c>
      <c r="X25" s="1355"/>
      <c r="Y25" s="365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6"/>
      <c r="Q26" s="1352">
        <f t="shared" ref="Q26:Q40" si="11">B26</f>
        <v>111</v>
      </c>
      <c r="R26" s="705" t="s">
        <v>14</v>
      </c>
      <c r="S26" s="706">
        <f>F26</f>
        <v>100</v>
      </c>
      <c r="T26" s="705" t="s">
        <v>14</v>
      </c>
      <c r="U26" s="706">
        <f>H26</f>
        <v>100</v>
      </c>
      <c r="V26" s="705" t="s">
        <v>14</v>
      </c>
      <c r="W26" s="706">
        <f>J26</f>
        <v>100</v>
      </c>
      <c r="X26" s="1355"/>
      <c r="Y26" s="365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6"/>
      <c r="Q27" s="1343">
        <f t="shared" si="11"/>
        <v>111</v>
      </c>
      <c r="R27" s="701" t="s">
        <v>14</v>
      </c>
      <c r="S27" s="702">
        <f>F27</f>
        <v>100</v>
      </c>
      <c r="T27" s="701" t="s">
        <v>14</v>
      </c>
      <c r="U27" s="702">
        <f>H27</f>
        <v>100</v>
      </c>
      <c r="V27" s="701" t="s">
        <v>14</v>
      </c>
      <c r="W27" s="702">
        <f>J27</f>
        <v>100</v>
      </c>
      <c r="X27" s="703"/>
      <c r="Y27" s="365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6"/>
      <c r="Q28" s="1352">
        <f t="shared" si="11"/>
        <v>111</v>
      </c>
      <c r="R28" s="705" t="s">
        <v>14</v>
      </c>
      <c r="S28" s="706">
        <f t="shared" ref="S28:S40" si="12">F28</f>
        <v>100</v>
      </c>
      <c r="T28" s="705" t="s">
        <v>14</v>
      </c>
      <c r="U28" s="706">
        <f t="shared" ref="U28:U40" si="13">H28</f>
        <v>100</v>
      </c>
      <c r="V28" s="705" t="s">
        <v>14</v>
      </c>
      <c r="W28" s="706">
        <f t="shared" ref="W28:W40" si="14">J28</f>
        <v>100</v>
      </c>
      <c r="X28" s="1355"/>
      <c r="Y28" s="3656"/>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66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0"/>
      <c r="Q30" s="707" t="str">
        <f t="shared" si="11"/>
        <v>项目建筑规模</v>
      </c>
      <c r="R30" s="708" t="s">
        <v>14</v>
      </c>
      <c r="S30" s="709" t="e">
        <f t="shared" si="12"/>
        <v>#N/A</v>
      </c>
      <c r="T30" s="708" t="s">
        <v>14</v>
      </c>
      <c r="U30" s="709" t="e">
        <f t="shared" si="13"/>
        <v>#N/A</v>
      </c>
      <c r="V30" s="708" t="s">
        <v>14</v>
      </c>
      <c r="W30" s="709" t="e">
        <f t="shared" si="14"/>
        <v>#N/A</v>
      </c>
      <c r="X30" s="710"/>
      <c r="Y30" s="366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0"/>
      <c r="Q31" s="1352" t="str">
        <f t="shared" si="11"/>
        <v>建筑结构</v>
      </c>
      <c r="R31" s="705" t="s">
        <v>14</v>
      </c>
      <c r="S31" s="706">
        <f t="shared" si="12"/>
        <v>100</v>
      </c>
      <c r="T31" s="705" t="s">
        <v>14</v>
      </c>
      <c r="U31" s="706">
        <f t="shared" si="13"/>
        <v>100</v>
      </c>
      <c r="V31" s="705" t="s">
        <v>14</v>
      </c>
      <c r="W31" s="706">
        <f t="shared" si="14"/>
        <v>100</v>
      </c>
      <c r="X31" s="1355"/>
      <c r="Y31" s="366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0"/>
      <c r="Q32" s="1352" t="str">
        <f t="shared" si="11"/>
        <v>公共部分装修</v>
      </c>
      <c r="R32" s="705" t="s">
        <v>14</v>
      </c>
      <c r="S32" s="706">
        <f t="shared" si="12"/>
        <v>100</v>
      </c>
      <c r="T32" s="705" t="s">
        <v>14</v>
      </c>
      <c r="U32" s="706">
        <f t="shared" si="13"/>
        <v>100</v>
      </c>
      <c r="V32" s="705" t="s">
        <v>14</v>
      </c>
      <c r="W32" s="706">
        <f t="shared" si="14"/>
        <v>100</v>
      </c>
      <c r="X32" s="1355"/>
      <c r="Y32" s="366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0"/>
      <c r="Q33" s="1352" t="str">
        <f t="shared" si="11"/>
        <v>成新度</v>
      </c>
      <c r="R33" s="705" t="s">
        <v>14</v>
      </c>
      <c r="S33" s="706" t="e">
        <f t="shared" si="12"/>
        <v>#N/A</v>
      </c>
      <c r="T33" s="705" t="s">
        <v>14</v>
      </c>
      <c r="U33" s="706" t="e">
        <f t="shared" si="13"/>
        <v>#N/A</v>
      </c>
      <c r="V33" s="705" t="s">
        <v>14</v>
      </c>
      <c r="W33" s="706" t="e">
        <f t="shared" si="14"/>
        <v>#N/A</v>
      </c>
      <c r="X33" s="1355"/>
      <c r="Y33" s="366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0"/>
      <c r="Q34" s="1343" t="str">
        <f t="shared" si="11"/>
        <v>物业管理</v>
      </c>
      <c r="R34" s="701" t="s">
        <v>14</v>
      </c>
      <c r="S34" s="702">
        <f t="shared" si="12"/>
        <v>100</v>
      </c>
      <c r="T34" s="701" t="s">
        <v>14</v>
      </c>
      <c r="U34" s="702">
        <f t="shared" si="13"/>
        <v>100</v>
      </c>
      <c r="V34" s="701" t="s">
        <v>14</v>
      </c>
      <c r="W34" s="702">
        <f t="shared" si="14"/>
        <v>100</v>
      </c>
      <c r="X34" s="703"/>
      <c r="Y34" s="366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0" t="s">
        <v>1696</v>
      </c>
      <c r="Q35" s="1352" t="str">
        <f t="shared" si="11"/>
        <v>市政基础设施</v>
      </c>
      <c r="R35" s="705" t="s">
        <v>14</v>
      </c>
      <c r="S35" s="706">
        <f t="shared" si="12"/>
        <v>100</v>
      </c>
      <c r="T35" s="705" t="s">
        <v>14</v>
      </c>
      <c r="U35" s="706">
        <f t="shared" si="13"/>
        <v>100</v>
      </c>
      <c r="V35" s="705" t="s">
        <v>14</v>
      </c>
      <c r="W35" s="706">
        <f t="shared" si="14"/>
        <v>100</v>
      </c>
      <c r="X35" s="1355"/>
      <c r="Y35" s="366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0"/>
      <c r="Q36" s="1352" t="str">
        <f t="shared" si="11"/>
        <v>内部装修</v>
      </c>
      <c r="R36" s="705" t="s">
        <v>14</v>
      </c>
      <c r="S36" s="706">
        <f t="shared" si="12"/>
        <v>100</v>
      </c>
      <c r="T36" s="705" t="s">
        <v>14</v>
      </c>
      <c r="U36" s="706">
        <f t="shared" si="13"/>
        <v>100</v>
      </c>
      <c r="V36" s="705" t="s">
        <v>14</v>
      </c>
      <c r="W36" s="706">
        <f t="shared" si="14"/>
        <v>100</v>
      </c>
      <c r="X36" s="1355"/>
      <c r="Y36" s="366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0"/>
      <c r="Q37" s="1352" t="str">
        <f t="shared" si="11"/>
        <v>内部装修状况</v>
      </c>
      <c r="R37" s="705" t="s">
        <v>14</v>
      </c>
      <c r="S37" s="706">
        <f t="shared" si="12"/>
        <v>100</v>
      </c>
      <c r="T37" s="705" t="s">
        <v>14</v>
      </c>
      <c r="U37" s="706">
        <f t="shared" si="13"/>
        <v>100</v>
      </c>
      <c r="V37" s="705" t="s">
        <v>14</v>
      </c>
      <c r="W37" s="706">
        <f t="shared" si="14"/>
        <v>100</v>
      </c>
      <c r="X37" s="1355"/>
      <c r="Y37" s="366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0"/>
      <c r="Q38" s="707">
        <f t="shared" si="11"/>
        <v>111</v>
      </c>
      <c r="R38" s="708" t="s">
        <v>14</v>
      </c>
      <c r="S38" s="709">
        <f t="shared" si="12"/>
        <v>100</v>
      </c>
      <c r="T38" s="708" t="s">
        <v>14</v>
      </c>
      <c r="U38" s="709">
        <f t="shared" si="13"/>
        <v>100</v>
      </c>
      <c r="V38" s="708" t="s">
        <v>14</v>
      </c>
      <c r="W38" s="709">
        <f t="shared" si="14"/>
        <v>100</v>
      </c>
      <c r="X38" s="710"/>
      <c r="Y38" s="366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0"/>
      <c r="Q39" s="1352">
        <f t="shared" si="11"/>
        <v>111</v>
      </c>
      <c r="R39" s="705" t="s">
        <v>14</v>
      </c>
      <c r="S39" s="706">
        <f t="shared" si="12"/>
        <v>100</v>
      </c>
      <c r="T39" s="705" t="s">
        <v>14</v>
      </c>
      <c r="U39" s="706">
        <f t="shared" si="13"/>
        <v>100</v>
      </c>
      <c r="V39" s="705" t="s">
        <v>14</v>
      </c>
      <c r="W39" s="706">
        <f t="shared" si="14"/>
        <v>100</v>
      </c>
      <c r="X39" s="1355"/>
      <c r="Y39" s="366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1"/>
      <c r="Q40" s="1352">
        <f t="shared" si="11"/>
        <v>111</v>
      </c>
      <c r="R40" s="705" t="s">
        <v>14</v>
      </c>
      <c r="S40" s="706">
        <f t="shared" si="12"/>
        <v>100</v>
      </c>
      <c r="T40" s="705" t="s">
        <v>14</v>
      </c>
      <c r="U40" s="706">
        <f t="shared" si="13"/>
        <v>100</v>
      </c>
      <c r="V40" s="705" t="s">
        <v>14</v>
      </c>
      <c r="W40" s="706">
        <f t="shared" si="14"/>
        <v>100</v>
      </c>
      <c r="X40" s="1355"/>
      <c r="Y40" s="366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3" t="str">
        <f>A41</f>
        <v>成交单价（元/平方米）</v>
      </c>
      <c r="Q41" s="3653"/>
      <c r="R41" s="3654">
        <f>E41</f>
        <v>0</v>
      </c>
      <c r="S41" s="3654"/>
      <c r="T41" s="3654">
        <f>G41</f>
        <v>0</v>
      </c>
      <c r="U41" s="3654"/>
      <c r="V41" s="3654">
        <f>I41</f>
        <v>0</v>
      </c>
      <c r="W41" s="3654"/>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0" t="str">
        <f>A43</f>
        <v>估价对象XX用房的比较价值（楼面单价，元/平方米）</v>
      </c>
      <c r="Q43" s="3651"/>
      <c r="R43" s="3652" t="e">
        <f>IF(F1="售价",ROUND(IF(D42="简单平均",AVERAGE(R42:V42),R42*F42+T42*H42+V42*J42),0),ROUND(IF(D42="简单平均",AVERAGE(R42:V42),R42*F42+T42*H42+V42*J42),1))</f>
        <v>#DIV/0!</v>
      </c>
      <c r="S43" s="3652"/>
      <c r="T43" s="3652"/>
      <c r="U43" s="3652"/>
      <c r="V43" s="3652"/>
      <c r="W43" s="365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742" t="s">
        <v>1674</v>
      </c>
      <c r="F5" s="3696"/>
      <c r="G5" s="3687" t="s">
        <v>1675</v>
      </c>
      <c r="H5" s="3688"/>
      <c r="I5" s="3687" t="s">
        <v>1676</v>
      </c>
      <c r="J5" s="3688"/>
      <c r="K5" s="559"/>
      <c r="L5" s="2714"/>
      <c r="M5" s="2715"/>
      <c r="N5" s="2715"/>
      <c r="O5" s="2715"/>
      <c r="P5" s="3674"/>
      <c r="Q5" s="3675"/>
      <c r="R5" s="3680"/>
      <c r="S5" s="3681"/>
      <c r="T5" s="3680"/>
      <c r="U5" s="3681"/>
      <c r="V5" s="3684"/>
      <c r="W5" s="3684"/>
      <c r="X5" s="1355"/>
      <c r="Y5" s="3680"/>
      <c r="Z5" s="3681"/>
      <c r="AA5" s="3666"/>
      <c r="AB5" s="3666"/>
      <c r="AC5" s="3666"/>
    </row>
    <row r="6" spans="1:29" ht="15.75" thickBot="1">
      <c r="A6" s="360"/>
      <c r="B6" s="361"/>
      <c r="C6" s="3685" t="s">
        <v>1677</v>
      </c>
      <c r="D6" s="3686"/>
      <c r="E6" s="3693" t="s">
        <v>1677</v>
      </c>
      <c r="F6" s="3694"/>
      <c r="G6" s="3685" t="s">
        <v>1677</v>
      </c>
      <c r="H6" s="3686"/>
      <c r="I6" s="3685" t="s">
        <v>1677</v>
      </c>
      <c r="J6" s="3686"/>
      <c r="K6" s="559" t="s">
        <v>1678</v>
      </c>
      <c r="L6" s="2714"/>
      <c r="M6" s="2715"/>
      <c r="N6" s="2715"/>
      <c r="O6" s="2715"/>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45701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9" t="s">
        <v>1680</v>
      </c>
      <c r="Q7" s="3691"/>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9" t="s">
        <v>1683</v>
      </c>
      <c r="Q8" s="3690"/>
      <c r="R8" s="701" t="s">
        <v>14</v>
      </c>
      <c r="S8" s="702">
        <f t="shared" si="0"/>
        <v>100</v>
      </c>
      <c r="T8" s="701" t="s">
        <v>14</v>
      </c>
      <c r="U8" s="702">
        <f t="shared" si="1"/>
        <v>100</v>
      </c>
      <c r="V8" s="701" t="s">
        <v>14</v>
      </c>
      <c r="W8" s="702">
        <f t="shared" si="2"/>
        <v>100</v>
      </c>
      <c r="X8" s="703"/>
      <c r="Y8" s="3689" t="s">
        <v>1683</v>
      </c>
      <c r="Z8" s="369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3"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3"/>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3"/>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3"/>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6"/>
      <c r="Q15" s="1352"/>
      <c r="R15" s="705"/>
      <c r="S15" s="706"/>
      <c r="T15" s="705"/>
      <c r="U15" s="706"/>
      <c r="V15" s="705"/>
      <c r="W15" s="706"/>
      <c r="X15" s="1355"/>
      <c r="Y15" s="365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6"/>
      <c r="Q17" s="1352"/>
      <c r="R17" s="705"/>
      <c r="S17" s="706"/>
      <c r="T17" s="705"/>
      <c r="U17" s="706"/>
      <c r="V17" s="705"/>
      <c r="W17" s="706"/>
      <c r="X17" s="1355"/>
      <c r="Y17" s="365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6"/>
      <c r="Q19" s="1352"/>
      <c r="R19" s="705"/>
      <c r="S19" s="706"/>
      <c r="T19" s="705"/>
      <c r="U19" s="706"/>
      <c r="V19" s="705"/>
      <c r="W19" s="706"/>
      <c r="X19" s="1355"/>
      <c r="Y19" s="365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6"/>
      <c r="Q21" s="1352"/>
      <c r="R21" s="705"/>
      <c r="S21" s="706"/>
      <c r="T21" s="705"/>
      <c r="U21" s="706"/>
      <c r="V21" s="705"/>
      <c r="W21" s="706"/>
      <c r="X21" s="1355"/>
      <c r="Y21" s="365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6"/>
      <c r="Q24" s="1352">
        <f t="shared" ref="Q24:Q36"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0"/>
      <c r="Q27" s="707" t="str">
        <f t="shared" si="11"/>
        <v>项目停车位配比</v>
      </c>
      <c r="R27" s="708" t="s">
        <v>14</v>
      </c>
      <c r="S27" s="709">
        <f t="shared" si="12"/>
        <v>100</v>
      </c>
      <c r="T27" s="708" t="s">
        <v>14</v>
      </c>
      <c r="U27" s="709">
        <f t="shared" si="13"/>
        <v>100</v>
      </c>
      <c r="V27" s="708" t="s">
        <v>14</v>
      </c>
      <c r="W27" s="709">
        <f t="shared" si="14"/>
        <v>100</v>
      </c>
      <c r="X27" s="710"/>
      <c r="Y27" s="366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0"/>
      <c r="Q28" s="1352" t="str">
        <f t="shared" si="11"/>
        <v>公共部分装修</v>
      </c>
      <c r="R28" s="705" t="s">
        <v>14</v>
      </c>
      <c r="S28" s="706">
        <f t="shared" si="12"/>
        <v>100</v>
      </c>
      <c r="T28" s="705" t="s">
        <v>14</v>
      </c>
      <c r="U28" s="706">
        <f t="shared" si="13"/>
        <v>100</v>
      </c>
      <c r="V28" s="705" t="s">
        <v>14</v>
      </c>
      <c r="W28" s="706">
        <f t="shared" si="14"/>
        <v>100</v>
      </c>
      <c r="X28" s="1355"/>
      <c r="Y28" s="366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0"/>
      <c r="Q29" s="1352" t="str">
        <f t="shared" si="11"/>
        <v>成新率</v>
      </c>
      <c r="R29" s="705" t="s">
        <v>14</v>
      </c>
      <c r="S29" s="706" t="e">
        <f t="shared" si="12"/>
        <v>#N/A</v>
      </c>
      <c r="T29" s="705" t="s">
        <v>14</v>
      </c>
      <c r="U29" s="706" t="e">
        <f t="shared" si="13"/>
        <v>#N/A</v>
      </c>
      <c r="V29" s="705" t="s">
        <v>14</v>
      </c>
      <c r="W29" s="706" t="e">
        <f t="shared" si="14"/>
        <v>#N/A</v>
      </c>
      <c r="X29" s="1355"/>
      <c r="Y29" s="366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0"/>
      <c r="Q30" s="1352" t="str">
        <f t="shared" si="11"/>
        <v>物业等级</v>
      </c>
      <c r="R30" s="705" t="s">
        <v>14</v>
      </c>
      <c r="S30" s="706">
        <f t="shared" si="12"/>
        <v>100</v>
      </c>
      <c r="T30" s="705" t="s">
        <v>14</v>
      </c>
      <c r="U30" s="706">
        <f t="shared" si="13"/>
        <v>100</v>
      </c>
      <c r="V30" s="705" t="s">
        <v>14</v>
      </c>
      <c r="W30" s="706">
        <f t="shared" si="14"/>
        <v>100</v>
      </c>
      <c r="X30" s="1355"/>
      <c r="Y30" s="366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0"/>
      <c r="Q31" s="1343" t="str">
        <f t="shared" si="11"/>
        <v>停车位面积</v>
      </c>
      <c r="R31" s="701" t="s">
        <v>14</v>
      </c>
      <c r="S31" s="702" t="e">
        <f t="shared" si="12"/>
        <v>#N/A</v>
      </c>
      <c r="T31" s="701" t="s">
        <v>14</v>
      </c>
      <c r="U31" s="702" t="e">
        <f t="shared" si="13"/>
        <v>#N/A</v>
      </c>
      <c r="V31" s="701" t="s">
        <v>14</v>
      </c>
      <c r="W31" s="702" t="e">
        <f t="shared" si="14"/>
        <v>#N/A</v>
      </c>
      <c r="X31" s="703"/>
      <c r="Y31" s="366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0" t="s">
        <v>1696</v>
      </c>
      <c r="Q32" s="1352" t="str">
        <f t="shared" si="11"/>
        <v>车位类型</v>
      </c>
      <c r="R32" s="705" t="s">
        <v>14</v>
      </c>
      <c r="S32" s="706">
        <f t="shared" si="12"/>
        <v>100</v>
      </c>
      <c r="T32" s="705" t="s">
        <v>14</v>
      </c>
      <c r="U32" s="706">
        <f t="shared" si="13"/>
        <v>100</v>
      </c>
      <c r="V32" s="705" t="s">
        <v>14</v>
      </c>
      <c r="W32" s="706">
        <f t="shared" si="14"/>
        <v>100</v>
      </c>
      <c r="X32" s="1355"/>
      <c r="Y32" s="366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0"/>
      <c r="Q33" s="1352" t="str">
        <f t="shared" si="11"/>
        <v>是否直接入户</v>
      </c>
      <c r="R33" s="705" t="s">
        <v>14</v>
      </c>
      <c r="S33" s="706">
        <f t="shared" si="12"/>
        <v>100</v>
      </c>
      <c r="T33" s="705" t="s">
        <v>14</v>
      </c>
      <c r="U33" s="706">
        <f t="shared" si="13"/>
        <v>100</v>
      </c>
      <c r="V33" s="705" t="s">
        <v>14</v>
      </c>
      <c r="W33" s="706">
        <f t="shared" si="14"/>
        <v>100</v>
      </c>
      <c r="X33" s="1355"/>
      <c r="Y33" s="36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0"/>
      <c r="Q35" s="707">
        <f t="shared" si="11"/>
        <v>111</v>
      </c>
      <c r="R35" s="708" t="s">
        <v>14</v>
      </c>
      <c r="S35" s="709">
        <f t="shared" si="12"/>
        <v>100</v>
      </c>
      <c r="T35" s="708" t="s">
        <v>14</v>
      </c>
      <c r="U35" s="709">
        <f t="shared" si="13"/>
        <v>100</v>
      </c>
      <c r="V35" s="708" t="s">
        <v>14</v>
      </c>
      <c r="W35" s="709">
        <f t="shared" si="14"/>
        <v>100</v>
      </c>
      <c r="X35" s="710"/>
      <c r="Y35" s="366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0"/>
      <c r="Q36" s="1352">
        <f t="shared" si="11"/>
        <v>111</v>
      </c>
      <c r="R36" s="705" t="s">
        <v>14</v>
      </c>
      <c r="S36" s="706">
        <f t="shared" si="12"/>
        <v>100</v>
      </c>
      <c r="T36" s="705" t="s">
        <v>14</v>
      </c>
      <c r="U36" s="706">
        <f t="shared" si="13"/>
        <v>100</v>
      </c>
      <c r="V36" s="705" t="s">
        <v>14</v>
      </c>
      <c r="W36" s="706">
        <f t="shared" si="14"/>
        <v>100</v>
      </c>
      <c r="X36" s="1355"/>
      <c r="Y36" s="3660"/>
      <c r="Z36" s="1356">
        <f t="shared" si="15"/>
        <v>111</v>
      </c>
      <c r="AA36" s="1353">
        <f t="shared" si="3"/>
        <v>1</v>
      </c>
      <c r="AB36" s="1353">
        <f t="shared" si="4"/>
        <v>1</v>
      </c>
      <c r="AC36" s="1353">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53" t="str">
        <f>A37</f>
        <v>成交单价</v>
      </c>
      <c r="Q37" s="3653"/>
      <c r="R37" s="3654">
        <f>E37</f>
        <v>0</v>
      </c>
      <c r="S37" s="3654"/>
      <c r="T37" s="3654">
        <f>G37</f>
        <v>0</v>
      </c>
      <c r="U37" s="3654"/>
      <c r="V37" s="3654">
        <f>I37</f>
        <v>0</v>
      </c>
      <c r="W37" s="3654"/>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50" t="str">
        <f>A39</f>
        <v>估价对象XX用房的比较价值（楼面单价，元/平方米）</v>
      </c>
      <c r="Q39" s="3651"/>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742" t="s">
        <v>1674</v>
      </c>
      <c r="F5" s="3696"/>
      <c r="G5" s="3687" t="s">
        <v>1675</v>
      </c>
      <c r="H5" s="3688"/>
      <c r="I5" s="3687" t="s">
        <v>1676</v>
      </c>
      <c r="J5" s="3688"/>
      <c r="K5" s="559"/>
      <c r="L5" s="2714"/>
      <c r="M5" s="2715"/>
      <c r="N5" s="2715"/>
      <c r="O5" s="2715"/>
      <c r="P5" s="3674"/>
      <c r="Q5" s="3675"/>
      <c r="R5" s="3680"/>
      <c r="S5" s="3681"/>
      <c r="T5" s="3680"/>
      <c r="U5" s="3681"/>
      <c r="V5" s="3684"/>
      <c r="W5" s="3684"/>
      <c r="X5" s="1355"/>
      <c r="Y5" s="3680"/>
      <c r="Z5" s="3681"/>
      <c r="AA5" s="3666"/>
      <c r="AB5" s="3666"/>
      <c r="AC5" s="3666"/>
    </row>
    <row r="6" spans="1:29" ht="15.75" thickBot="1">
      <c r="A6" s="360"/>
      <c r="B6" s="361"/>
      <c r="C6" s="3685" t="s">
        <v>1677</v>
      </c>
      <c r="D6" s="3686"/>
      <c r="E6" s="3693" t="s">
        <v>1677</v>
      </c>
      <c r="F6" s="3694"/>
      <c r="G6" s="3685" t="s">
        <v>1677</v>
      </c>
      <c r="H6" s="3686"/>
      <c r="I6" s="3685" t="s">
        <v>1677</v>
      </c>
      <c r="J6" s="3686"/>
      <c r="K6" s="559" t="s">
        <v>1678</v>
      </c>
      <c r="L6" s="2714"/>
      <c r="M6" s="2715"/>
      <c r="N6" s="2715"/>
      <c r="O6" s="2715"/>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45701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9" t="s">
        <v>1680</v>
      </c>
      <c r="Q7" s="3691"/>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9" t="s">
        <v>1683</v>
      </c>
      <c r="Q8" s="3690"/>
      <c r="R8" s="701" t="s">
        <v>14</v>
      </c>
      <c r="S8" s="702">
        <f t="shared" si="0"/>
        <v>100</v>
      </c>
      <c r="T8" s="701" t="s">
        <v>14</v>
      </c>
      <c r="U8" s="702">
        <f t="shared" si="1"/>
        <v>100</v>
      </c>
      <c r="V8" s="701" t="s">
        <v>14</v>
      </c>
      <c r="W8" s="702">
        <f t="shared" si="2"/>
        <v>100</v>
      </c>
      <c r="X8" s="703"/>
      <c r="Y8" s="3689" t="s">
        <v>1683</v>
      </c>
      <c r="Z8" s="36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3"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3"/>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3"/>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3"/>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6"/>
      <c r="Q15" s="1352"/>
      <c r="R15" s="705"/>
      <c r="S15" s="706"/>
      <c r="T15" s="705"/>
      <c r="U15" s="706"/>
      <c r="V15" s="705"/>
      <c r="W15" s="706"/>
      <c r="X15" s="1355"/>
      <c r="Y15" s="365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6"/>
      <c r="Q17" s="1352"/>
      <c r="R17" s="705"/>
      <c r="S17" s="706"/>
      <c r="T17" s="705"/>
      <c r="U17" s="706"/>
      <c r="V17" s="705"/>
      <c r="W17" s="706"/>
      <c r="X17" s="1355"/>
      <c r="Y17" s="365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6"/>
      <c r="Q19" s="1352"/>
      <c r="R19" s="705"/>
      <c r="S19" s="706"/>
      <c r="T19" s="705"/>
      <c r="U19" s="706"/>
      <c r="V19" s="705"/>
      <c r="W19" s="706"/>
      <c r="X19" s="1355"/>
      <c r="Y19" s="365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6"/>
      <c r="Q21" s="1352"/>
      <c r="R21" s="705"/>
      <c r="S21" s="706"/>
      <c r="T21" s="705"/>
      <c r="U21" s="706"/>
      <c r="V21" s="705"/>
      <c r="W21" s="706"/>
      <c r="X21" s="1355"/>
      <c r="Y21" s="365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6"/>
      <c r="Q24" s="1352">
        <f t="shared" ref="Q24:Q34"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0"/>
      <c r="Q27" s="707" t="str">
        <f t="shared" si="11"/>
        <v>成新率</v>
      </c>
      <c r="R27" s="708" t="s">
        <v>14</v>
      </c>
      <c r="S27" s="709" t="e">
        <f t="shared" si="12"/>
        <v>#N/A</v>
      </c>
      <c r="T27" s="708" t="s">
        <v>14</v>
      </c>
      <c r="U27" s="709" t="e">
        <f t="shared" si="13"/>
        <v>#N/A</v>
      </c>
      <c r="V27" s="708" t="s">
        <v>14</v>
      </c>
      <c r="W27" s="709" t="e">
        <f t="shared" si="14"/>
        <v>#N/A</v>
      </c>
      <c r="X27" s="710"/>
      <c r="Y27" s="366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0"/>
      <c r="Q28" s="1352" t="str">
        <f t="shared" si="11"/>
        <v>物业等级</v>
      </c>
      <c r="R28" s="705" t="s">
        <v>14</v>
      </c>
      <c r="S28" s="706">
        <f t="shared" si="12"/>
        <v>100</v>
      </c>
      <c r="T28" s="705" t="s">
        <v>14</v>
      </c>
      <c r="U28" s="706">
        <f t="shared" si="13"/>
        <v>100</v>
      </c>
      <c r="V28" s="705" t="s">
        <v>14</v>
      </c>
      <c r="W28" s="706">
        <f t="shared" si="14"/>
        <v>100</v>
      </c>
      <c r="X28" s="1355"/>
      <c r="Y28" s="366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0"/>
      <c r="Q29" s="1352" t="str">
        <f t="shared" si="11"/>
        <v>有无电梯</v>
      </c>
      <c r="R29" s="705" t="s">
        <v>14</v>
      </c>
      <c r="S29" s="706">
        <f t="shared" si="12"/>
        <v>100</v>
      </c>
      <c r="T29" s="705" t="s">
        <v>14</v>
      </c>
      <c r="U29" s="706">
        <f t="shared" si="13"/>
        <v>100</v>
      </c>
      <c r="V29" s="705" t="s">
        <v>14</v>
      </c>
      <c r="W29" s="706">
        <f t="shared" si="14"/>
        <v>100</v>
      </c>
      <c r="X29" s="1355"/>
      <c r="Y29" s="366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0"/>
      <c r="Q30" s="1352" t="str">
        <f t="shared" si="11"/>
        <v>建筑面积</v>
      </c>
      <c r="R30" s="705" t="s">
        <v>14</v>
      </c>
      <c r="S30" s="706" t="e">
        <f t="shared" si="12"/>
        <v>#N/A</v>
      </c>
      <c r="T30" s="705" t="s">
        <v>14</v>
      </c>
      <c r="U30" s="706" t="e">
        <f t="shared" si="13"/>
        <v>#N/A</v>
      </c>
      <c r="V30" s="705" t="s">
        <v>14</v>
      </c>
      <c r="W30" s="706" t="e">
        <f t="shared" si="14"/>
        <v>#N/A</v>
      </c>
      <c r="X30" s="1355"/>
      <c r="Y30" s="366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0"/>
      <c r="Q31" s="1343" t="str">
        <f t="shared" si="11"/>
        <v>是否封闭</v>
      </c>
      <c r="R31" s="701" t="s">
        <v>14</v>
      </c>
      <c r="S31" s="702">
        <f t="shared" si="12"/>
        <v>100</v>
      </c>
      <c r="T31" s="701" t="s">
        <v>14</v>
      </c>
      <c r="U31" s="702">
        <f t="shared" si="13"/>
        <v>100</v>
      </c>
      <c r="V31" s="701" t="s">
        <v>14</v>
      </c>
      <c r="W31" s="702">
        <f t="shared" si="14"/>
        <v>100</v>
      </c>
      <c r="X31" s="703"/>
      <c r="Y31" s="366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0" t="s">
        <v>1696</v>
      </c>
      <c r="Q32" s="1352">
        <f t="shared" si="11"/>
        <v>111</v>
      </c>
      <c r="R32" s="705" t="s">
        <v>14</v>
      </c>
      <c r="S32" s="706">
        <f t="shared" si="12"/>
        <v>100</v>
      </c>
      <c r="T32" s="705" t="s">
        <v>14</v>
      </c>
      <c r="U32" s="706">
        <f t="shared" si="13"/>
        <v>100</v>
      </c>
      <c r="V32" s="705" t="s">
        <v>14</v>
      </c>
      <c r="W32" s="706">
        <f t="shared" si="14"/>
        <v>100</v>
      </c>
      <c r="X32" s="1355"/>
      <c r="Y32" s="366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0"/>
      <c r="Q33" s="1352">
        <f t="shared" si="11"/>
        <v>111</v>
      </c>
      <c r="R33" s="705" t="s">
        <v>14</v>
      </c>
      <c r="S33" s="706">
        <f t="shared" si="12"/>
        <v>100</v>
      </c>
      <c r="T33" s="705" t="s">
        <v>14</v>
      </c>
      <c r="U33" s="706">
        <f t="shared" si="13"/>
        <v>100</v>
      </c>
      <c r="V33" s="705" t="s">
        <v>14</v>
      </c>
      <c r="W33" s="706">
        <f t="shared" si="14"/>
        <v>100</v>
      </c>
      <c r="X33" s="1355"/>
      <c r="Y33" s="3660"/>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53" t="str">
        <f>A35</f>
        <v>成交单价（元/平方米）</v>
      </c>
      <c r="Q35" s="3653"/>
      <c r="R35" s="3654">
        <f>E35</f>
        <v>0</v>
      </c>
      <c r="S35" s="3654"/>
      <c r="T35" s="3654">
        <f>G35</f>
        <v>0</v>
      </c>
      <c r="U35" s="3654"/>
      <c r="V35" s="3654">
        <f>I35</f>
        <v>0</v>
      </c>
      <c r="W35" s="3654"/>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50" t="str">
        <f>A37</f>
        <v>估价对象XX用房的比较价值（楼面单价，元/平方米）</v>
      </c>
      <c r="Q37" s="3651"/>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30" ht="15">
      <c r="A5" s="358"/>
      <c r="B5" s="359"/>
      <c r="C5" s="3687" t="s">
        <v>1673</v>
      </c>
      <c r="D5" s="3688"/>
      <c r="E5" s="3742" t="s">
        <v>1674</v>
      </c>
      <c r="F5" s="3696"/>
      <c r="G5" s="3687" t="s">
        <v>1675</v>
      </c>
      <c r="H5" s="3688"/>
      <c r="I5" s="3687" t="s">
        <v>1676</v>
      </c>
      <c r="J5" s="3688"/>
      <c r="K5" s="559"/>
      <c r="L5" s="2714"/>
      <c r="M5" s="2715"/>
      <c r="N5" s="2715"/>
      <c r="O5" s="2715"/>
      <c r="P5" s="3674"/>
      <c r="Q5" s="3675"/>
      <c r="R5" s="3680"/>
      <c r="S5" s="3681"/>
      <c r="T5" s="3680"/>
      <c r="U5" s="3681"/>
      <c r="V5" s="3684"/>
      <c r="W5" s="3684"/>
      <c r="X5" s="1355"/>
      <c r="Y5" s="3680"/>
      <c r="Z5" s="3681"/>
      <c r="AA5" s="3666"/>
      <c r="AB5" s="3666"/>
      <c r="AC5" s="3666"/>
    </row>
    <row r="6" spans="1:30" ht="15.75" thickBot="1">
      <c r="A6" s="360"/>
      <c r="B6" s="361"/>
      <c r="C6" s="3685" t="s">
        <v>1677</v>
      </c>
      <c r="D6" s="3686"/>
      <c r="E6" s="3693" t="s">
        <v>1677</v>
      </c>
      <c r="F6" s="3694"/>
      <c r="G6" s="3685" t="s">
        <v>1677</v>
      </c>
      <c r="H6" s="3686"/>
      <c r="I6" s="3685" t="s">
        <v>1677</v>
      </c>
      <c r="J6" s="3686"/>
      <c r="K6" s="559" t="s">
        <v>1678</v>
      </c>
      <c r="L6" s="2714"/>
      <c r="M6" s="2715"/>
      <c r="N6" s="2715"/>
      <c r="O6" s="2715"/>
      <c r="P6" s="3676"/>
      <c r="Q6" s="3677"/>
      <c r="R6" s="3680"/>
      <c r="S6" s="3681"/>
      <c r="T6" s="3682"/>
      <c r="U6" s="3683"/>
      <c r="V6" s="3684"/>
      <c r="W6" s="3684"/>
      <c r="X6" s="1355"/>
      <c r="Y6" s="3682"/>
      <c r="Z6" s="3683"/>
      <c r="AA6" s="3667"/>
      <c r="AB6" s="3667"/>
      <c r="AC6" s="3667"/>
    </row>
    <row r="7" spans="1:30" s="108" customFormat="1" ht="15.75" thickBot="1">
      <c r="A7" s="362" t="s">
        <v>1679</v>
      </c>
      <c r="B7" s="363"/>
      <c r="C7" s="364">
        <f>'数据-取费表'!B2</f>
        <v>45701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9" t="s">
        <v>1683</v>
      </c>
      <c r="Q8" s="3690"/>
      <c r="R8" s="701" t="s">
        <v>14</v>
      </c>
      <c r="S8" s="702">
        <f t="shared" si="0"/>
        <v>0</v>
      </c>
      <c r="T8" s="701" t="s">
        <v>14</v>
      </c>
      <c r="U8" s="702">
        <f t="shared" si="1"/>
        <v>0</v>
      </c>
      <c r="V8" s="701" t="s">
        <v>14</v>
      </c>
      <c r="W8" s="702">
        <f t="shared" si="2"/>
        <v>0</v>
      </c>
      <c r="X8" s="703"/>
      <c r="Y8" s="3689" t="s">
        <v>1683</v>
      </c>
      <c r="Z8" s="3690"/>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3"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8"/>
      <c r="M10" s="2719"/>
      <c r="N10" s="2719"/>
      <c r="O10" s="2772"/>
      <c r="P10" s="3653"/>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3"/>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3"/>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3"/>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5" t="s">
        <v>1691</v>
      </c>
      <c r="Q15" s="1352" t="str">
        <f t="shared" si="6"/>
        <v>居住社区成熟度</v>
      </c>
      <c r="R15" s="705" t="s">
        <v>14</v>
      </c>
      <c r="S15" s="706">
        <f t="shared" si="0"/>
        <v>100</v>
      </c>
      <c r="T15" s="705" t="s">
        <v>14</v>
      </c>
      <c r="U15" s="706">
        <f t="shared" si="1"/>
        <v>100</v>
      </c>
      <c r="V15" s="705" t="s">
        <v>14</v>
      </c>
      <c r="W15" s="706">
        <f t="shared" si="2"/>
        <v>100</v>
      </c>
      <c r="X15" s="1355"/>
      <c r="Y15" s="365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6"/>
      <c r="Q16" s="1352"/>
      <c r="R16" s="705"/>
      <c r="S16" s="706"/>
      <c r="T16" s="705"/>
      <c r="U16" s="706"/>
      <c r="V16" s="705"/>
      <c r="W16" s="706"/>
      <c r="X16" s="1355"/>
      <c r="Y16" s="3656"/>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6"/>
      <c r="Q17" s="1352" t="str">
        <f>B17</f>
        <v>商业繁华度</v>
      </c>
      <c r="R17" s="705" t="s">
        <v>14</v>
      </c>
      <c r="S17" s="706">
        <f>F17</f>
        <v>100</v>
      </c>
      <c r="T17" s="705" t="s">
        <v>14</v>
      </c>
      <c r="U17" s="706">
        <f>H17</f>
        <v>100</v>
      </c>
      <c r="V17" s="705" t="s">
        <v>14</v>
      </c>
      <c r="W17" s="706">
        <f>J17</f>
        <v>100</v>
      </c>
      <c r="X17" s="1355"/>
      <c r="Y17" s="365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6"/>
      <c r="Q18" s="1352"/>
      <c r="R18" s="705"/>
      <c r="S18" s="706"/>
      <c r="T18" s="705"/>
      <c r="U18" s="706"/>
      <c r="V18" s="705"/>
      <c r="W18" s="706"/>
      <c r="X18" s="1355"/>
      <c r="Y18" s="3656"/>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6"/>
      <c r="Q19" s="1352" t="str">
        <f>B19</f>
        <v>办公集聚程度</v>
      </c>
      <c r="R19" s="705" t="s">
        <v>14</v>
      </c>
      <c r="S19" s="706">
        <f>F19</f>
        <v>100</v>
      </c>
      <c r="T19" s="705" t="s">
        <v>14</v>
      </c>
      <c r="U19" s="706">
        <f>H19</f>
        <v>100</v>
      </c>
      <c r="V19" s="705" t="s">
        <v>14</v>
      </c>
      <c r="W19" s="706">
        <f>J19</f>
        <v>100</v>
      </c>
      <c r="X19" s="1355"/>
      <c r="Y19" s="365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6"/>
      <c r="Q20" s="1352"/>
      <c r="R20" s="705"/>
      <c r="S20" s="706"/>
      <c r="T20" s="705"/>
      <c r="U20" s="706"/>
      <c r="V20" s="705"/>
      <c r="W20" s="706"/>
      <c r="X20" s="1355"/>
      <c r="Y20" s="365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6"/>
      <c r="Q21" s="1352" t="str">
        <f>B21</f>
        <v>交通便捷度</v>
      </c>
      <c r="R21" s="705" t="s">
        <v>14</v>
      </c>
      <c r="S21" s="706">
        <f>F21</f>
        <v>100</v>
      </c>
      <c r="T21" s="705" t="s">
        <v>14</v>
      </c>
      <c r="U21" s="706">
        <f>H21</f>
        <v>100</v>
      </c>
      <c r="V21" s="705" t="s">
        <v>14</v>
      </c>
      <c r="W21" s="706">
        <f>J21</f>
        <v>100</v>
      </c>
      <c r="X21" s="1355"/>
      <c r="Y21" s="365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6"/>
      <c r="Q22" s="1352"/>
      <c r="R22" s="705"/>
      <c r="S22" s="706"/>
      <c r="T22" s="705"/>
      <c r="U22" s="706"/>
      <c r="V22" s="705"/>
      <c r="W22" s="706"/>
      <c r="X22" s="1355"/>
      <c r="Y22" s="365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6"/>
      <c r="Q23" s="1352" t="str">
        <f t="shared" ref="Q23:Q37" si="8">B23</f>
        <v>区域土地利用方向</v>
      </c>
      <c r="R23" s="705" t="s">
        <v>14</v>
      </c>
      <c r="S23" s="706">
        <f>F23</f>
        <v>100</v>
      </c>
      <c r="T23" s="705" t="s">
        <v>14</v>
      </c>
      <c r="U23" s="706">
        <f>H23</f>
        <v>100</v>
      </c>
      <c r="V23" s="705" t="s">
        <v>14</v>
      </c>
      <c r="W23" s="706">
        <f>J23</f>
        <v>100</v>
      </c>
      <c r="X23" s="1355"/>
      <c r="Y23" s="365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6"/>
      <c r="Q24" s="1352"/>
      <c r="R24" s="705"/>
      <c r="S24" s="706"/>
      <c r="T24" s="705"/>
      <c r="U24" s="706"/>
      <c r="V24" s="705"/>
      <c r="W24" s="706"/>
      <c r="X24" s="1355"/>
      <c r="Y24" s="3656"/>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6"/>
      <c r="Q25" s="1352" t="str">
        <f t="shared" si="8"/>
        <v>自然及人文环境状况</v>
      </c>
      <c r="R25" s="705" t="s">
        <v>14</v>
      </c>
      <c r="S25" s="706">
        <f>F25</f>
        <v>100</v>
      </c>
      <c r="T25" s="705" t="s">
        <v>14</v>
      </c>
      <c r="U25" s="706">
        <f>H25</f>
        <v>100</v>
      </c>
      <c r="V25" s="705" t="s">
        <v>14</v>
      </c>
      <c r="W25" s="706">
        <f>J25</f>
        <v>100</v>
      </c>
      <c r="X25" s="1355"/>
      <c r="Y25" s="365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6"/>
      <c r="Q26" s="1352"/>
      <c r="R26" s="705"/>
      <c r="S26" s="706"/>
      <c r="T26" s="705"/>
      <c r="U26" s="706"/>
      <c r="V26" s="705"/>
      <c r="W26" s="706"/>
      <c r="X26" s="1355"/>
      <c r="Y26" s="365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6"/>
      <c r="Q27" s="1343" t="str">
        <f t="shared" si="8"/>
        <v>公共配套设施</v>
      </c>
      <c r="R27" s="701" t="s">
        <v>14</v>
      </c>
      <c r="S27" s="702">
        <f>F27</f>
        <v>100</v>
      </c>
      <c r="T27" s="701" t="s">
        <v>14</v>
      </c>
      <c r="U27" s="702">
        <f>H27</f>
        <v>100</v>
      </c>
      <c r="V27" s="701" t="s">
        <v>14</v>
      </c>
      <c r="W27" s="702">
        <f>J27</f>
        <v>100</v>
      </c>
      <c r="X27" s="703"/>
      <c r="Y27" s="3656"/>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56"/>
      <c r="Q28" s="1343"/>
      <c r="R28" s="701"/>
      <c r="S28" s="702"/>
      <c r="T28" s="701"/>
      <c r="U28" s="702"/>
      <c r="V28" s="701"/>
      <c r="W28" s="702"/>
      <c r="X28" s="703"/>
      <c r="Y28" s="365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6"/>
      <c r="Q29" s="1343" t="str">
        <f t="shared" ref="Q29" si="9">B29</f>
        <v>基础设施水平</v>
      </c>
      <c r="R29" s="701" t="s">
        <v>14</v>
      </c>
      <c r="S29" s="702">
        <f>F29</f>
        <v>100</v>
      </c>
      <c r="T29" s="701" t="s">
        <v>14</v>
      </c>
      <c r="U29" s="702">
        <f>H29</f>
        <v>100</v>
      </c>
      <c r="V29" s="701" t="s">
        <v>14</v>
      </c>
      <c r="W29" s="702">
        <f>J29</f>
        <v>100</v>
      </c>
      <c r="X29" s="703"/>
      <c r="Y29" s="3656"/>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56"/>
      <c r="Q30" s="1343"/>
      <c r="R30" s="701"/>
      <c r="S30" s="702"/>
      <c r="T30" s="701"/>
      <c r="U30" s="702"/>
      <c r="V30" s="701"/>
      <c r="W30" s="702"/>
      <c r="X30" s="703"/>
      <c r="Y30" s="365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6"/>
      <c r="Q32" s="1352" t="str">
        <f t="shared" si="8"/>
        <v>毗邻道路的类型与等级</v>
      </c>
      <c r="R32" s="705" t="s">
        <v>14</v>
      </c>
      <c r="S32" s="706">
        <f t="shared" si="10"/>
        <v>100</v>
      </c>
      <c r="T32" s="705" t="s">
        <v>14</v>
      </c>
      <c r="U32" s="706">
        <f t="shared" si="11"/>
        <v>100</v>
      </c>
      <c r="V32" s="705" t="s">
        <v>14</v>
      </c>
      <c r="W32" s="706">
        <f t="shared" si="12"/>
        <v>100</v>
      </c>
      <c r="X32" s="1355"/>
      <c r="Y32" s="365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6"/>
      <c r="Q33" s="1352"/>
      <c r="R33" s="705"/>
      <c r="S33" s="706"/>
      <c r="T33" s="705"/>
      <c r="U33" s="706"/>
      <c r="V33" s="705"/>
      <c r="W33" s="706"/>
      <c r="X33" s="1355"/>
      <c r="Y33" s="365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6"/>
      <c r="Q34" s="1352" t="str">
        <f t="shared" si="8"/>
        <v>土地级别</v>
      </c>
      <c r="R34" s="705" t="s">
        <v>14</v>
      </c>
      <c r="S34" s="706">
        <f t="shared" si="10"/>
        <v>100</v>
      </c>
      <c r="T34" s="705" t="s">
        <v>14</v>
      </c>
      <c r="U34" s="706">
        <f t="shared" si="11"/>
        <v>100</v>
      </c>
      <c r="V34" s="705" t="s">
        <v>14</v>
      </c>
      <c r="W34" s="706">
        <f t="shared" si="12"/>
        <v>100</v>
      </c>
      <c r="X34" s="1355"/>
      <c r="Y34" s="365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6"/>
      <c r="Q35" s="1352">
        <f t="shared" si="8"/>
        <v>111</v>
      </c>
      <c r="R35" s="705" t="s">
        <v>14</v>
      </c>
      <c r="S35" s="706">
        <f t="shared" si="10"/>
        <v>100</v>
      </c>
      <c r="T35" s="705" t="s">
        <v>14</v>
      </c>
      <c r="U35" s="706">
        <f t="shared" si="11"/>
        <v>100</v>
      </c>
      <c r="V35" s="705" t="s">
        <v>14</v>
      </c>
      <c r="W35" s="706">
        <f t="shared" si="12"/>
        <v>100</v>
      </c>
      <c r="X35" s="1355"/>
      <c r="Y35" s="365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8" t="s">
        <v>1696</v>
      </c>
      <c r="Q36" s="1352">
        <f t="shared" si="8"/>
        <v>111</v>
      </c>
      <c r="R36" s="705" t="s">
        <v>14</v>
      </c>
      <c r="S36" s="706">
        <f t="shared" si="10"/>
        <v>100</v>
      </c>
      <c r="T36" s="705" t="s">
        <v>14</v>
      </c>
      <c r="U36" s="706">
        <f t="shared" si="11"/>
        <v>100</v>
      </c>
      <c r="V36" s="705" t="s">
        <v>14</v>
      </c>
      <c r="W36" s="706">
        <f t="shared" si="12"/>
        <v>100</v>
      </c>
      <c r="X36" s="1355"/>
      <c r="Y36" s="366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0"/>
      <c r="Q37" s="1352">
        <f t="shared" si="8"/>
        <v>111</v>
      </c>
      <c r="R37" s="708" t="s">
        <v>14</v>
      </c>
      <c r="S37" s="709">
        <f t="shared" si="10"/>
        <v>100</v>
      </c>
      <c r="T37" s="708" t="s">
        <v>14</v>
      </c>
      <c r="U37" s="709">
        <f t="shared" si="11"/>
        <v>100</v>
      </c>
      <c r="V37" s="708" t="s">
        <v>14</v>
      </c>
      <c r="W37" s="709">
        <f t="shared" si="12"/>
        <v>100</v>
      </c>
      <c r="X37" s="710"/>
      <c r="Y37" s="366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0"/>
      <c r="Q38" s="1352" t="str">
        <f>B38</f>
        <v>宗地面积</v>
      </c>
      <c r="R38" s="705" t="s">
        <v>14</v>
      </c>
      <c r="S38" s="706" t="e">
        <f t="shared" si="10"/>
        <v>#N/A</v>
      </c>
      <c r="T38" s="705" t="s">
        <v>14</v>
      </c>
      <c r="U38" s="706" t="e">
        <f t="shared" si="11"/>
        <v>#N/A</v>
      </c>
      <c r="V38" s="705" t="s">
        <v>14</v>
      </c>
      <c r="W38" s="706" t="e">
        <f t="shared" si="12"/>
        <v>#N/A</v>
      </c>
      <c r="X38" s="1355"/>
      <c r="Y38" s="366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60"/>
      <c r="Q39" s="1352" t="str">
        <f t="shared" ref="Q39:Q45" si="14">B39</f>
        <v>宗地形状</v>
      </c>
      <c r="R39" s="705" t="s">
        <v>14</v>
      </c>
      <c r="S39" s="706">
        <f t="shared" si="10"/>
        <v>100</v>
      </c>
      <c r="T39" s="705" t="s">
        <v>14</v>
      </c>
      <c r="U39" s="706">
        <f t="shared" si="11"/>
        <v>100</v>
      </c>
      <c r="V39" s="705" t="s">
        <v>14</v>
      </c>
      <c r="W39" s="706">
        <f t="shared" si="12"/>
        <v>100</v>
      </c>
      <c r="X39" s="1355"/>
      <c r="Y39" s="366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60"/>
      <c r="Q40" s="1352" t="str">
        <f t="shared" si="14"/>
        <v>临街宽度及深度</v>
      </c>
      <c r="R40" s="705" t="s">
        <v>14</v>
      </c>
      <c r="S40" s="706">
        <f t="shared" si="10"/>
        <v>100</v>
      </c>
      <c r="T40" s="705" t="s">
        <v>14</v>
      </c>
      <c r="U40" s="706">
        <f t="shared" si="11"/>
        <v>100</v>
      </c>
      <c r="V40" s="705" t="s">
        <v>14</v>
      </c>
      <c r="W40" s="706">
        <f t="shared" si="12"/>
        <v>100</v>
      </c>
      <c r="X40" s="1355"/>
      <c r="Y40" s="3660"/>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0"/>
      <c r="Q41" s="1352" t="str">
        <f t="shared" si="14"/>
        <v>宗地开发程度</v>
      </c>
      <c r="R41" s="701" t="s">
        <v>14</v>
      </c>
      <c r="S41" s="702">
        <f t="shared" si="10"/>
        <v>100</v>
      </c>
      <c r="T41" s="701" t="s">
        <v>14</v>
      </c>
      <c r="U41" s="702">
        <f t="shared" si="11"/>
        <v>100</v>
      </c>
      <c r="V41" s="701" t="s">
        <v>14</v>
      </c>
      <c r="W41" s="702">
        <f t="shared" si="12"/>
        <v>100</v>
      </c>
      <c r="X41" s="703"/>
      <c r="Y41" s="366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60" t="s">
        <v>1696</v>
      </c>
      <c r="Q42" s="1352" t="str">
        <f t="shared" si="14"/>
        <v>工程地质条件</v>
      </c>
      <c r="R42" s="705" t="s">
        <v>14</v>
      </c>
      <c r="S42" s="706">
        <f t="shared" si="10"/>
        <v>100</v>
      </c>
      <c r="T42" s="705" t="s">
        <v>14</v>
      </c>
      <c r="U42" s="706">
        <f t="shared" si="11"/>
        <v>100</v>
      </c>
      <c r="V42" s="705" t="s">
        <v>14</v>
      </c>
      <c r="W42" s="706">
        <f t="shared" si="12"/>
        <v>100</v>
      </c>
      <c r="X42" s="1355"/>
      <c r="Y42" s="366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0"/>
      <c r="Q43" s="1352">
        <f t="shared" si="14"/>
        <v>111</v>
      </c>
      <c r="R43" s="705" t="s">
        <v>14</v>
      </c>
      <c r="S43" s="706">
        <f t="shared" si="10"/>
        <v>100</v>
      </c>
      <c r="T43" s="705" t="s">
        <v>14</v>
      </c>
      <c r="U43" s="706">
        <f t="shared" si="11"/>
        <v>100</v>
      </c>
      <c r="V43" s="705" t="s">
        <v>14</v>
      </c>
      <c r="W43" s="706">
        <f t="shared" si="12"/>
        <v>100</v>
      </c>
      <c r="X43" s="1355"/>
      <c r="Y43" s="36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0"/>
      <c r="Q44" s="1352">
        <f t="shared" si="14"/>
        <v>111</v>
      </c>
      <c r="R44" s="705" t="s">
        <v>14</v>
      </c>
      <c r="S44" s="706">
        <f t="shared" si="10"/>
        <v>100</v>
      </c>
      <c r="T44" s="705" t="s">
        <v>14</v>
      </c>
      <c r="U44" s="706">
        <f t="shared" si="11"/>
        <v>100</v>
      </c>
      <c r="V44" s="705" t="s">
        <v>14</v>
      </c>
      <c r="W44" s="706">
        <f t="shared" si="12"/>
        <v>100</v>
      </c>
      <c r="X44" s="1355"/>
      <c r="Y44" s="3660"/>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0"/>
      <c r="Q45" s="1352">
        <f t="shared" si="14"/>
        <v>111</v>
      </c>
      <c r="R45" s="708" t="s">
        <v>14</v>
      </c>
      <c r="S45" s="709">
        <f t="shared" si="10"/>
        <v>100</v>
      </c>
      <c r="T45" s="708" t="s">
        <v>14</v>
      </c>
      <c r="U45" s="709">
        <f t="shared" si="11"/>
        <v>100</v>
      </c>
      <c r="V45" s="708" t="s">
        <v>14</v>
      </c>
      <c r="W45" s="709">
        <f t="shared" si="12"/>
        <v>100</v>
      </c>
      <c r="X45" s="710"/>
      <c r="Y45" s="3660"/>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53" t="str">
        <f>A46</f>
        <v>成交单价</v>
      </c>
      <c r="Q46" s="3653"/>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53" t="str">
        <f>A47</f>
        <v>比较价值（元/平方米）</v>
      </c>
      <c r="Q47" s="3653"/>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50" t="str">
        <f>A48</f>
        <v>估价对象XX用房的比较价值（楼面单价，元/平方米）</v>
      </c>
      <c r="Q48" s="3651"/>
      <c r="R48" s="3761" t="e">
        <f>ROUND(IF(D47="简单平均",AVERAGE(R47:W47),R47*F47+T47*H47+V47*J47),0)</f>
        <v>#DIV/0!</v>
      </c>
      <c r="S48" s="3761"/>
      <c r="T48" s="3761"/>
      <c r="U48" s="3761"/>
      <c r="V48" s="3761"/>
      <c r="W48" s="376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8" t="s">
        <v>1887</v>
      </c>
      <c r="H55" s="376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114</v>
      </c>
      <c r="F56" s="886" t="e">
        <f t="shared" ref="F56:F64" si="15">ROUND(B56*E56/10000,0)</f>
        <v>#DIV/0!</v>
      </c>
      <c r="G56" s="3664"/>
      <c r="H56" s="365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114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742" t="s">
        <v>1674</v>
      </c>
      <c r="F5" s="3696"/>
      <c r="G5" s="3687" t="s">
        <v>1675</v>
      </c>
      <c r="H5" s="3688"/>
      <c r="I5" s="3687" t="s">
        <v>1676</v>
      </c>
      <c r="J5" s="3688"/>
      <c r="K5" s="559"/>
      <c r="L5" s="2714"/>
      <c r="M5" s="2715"/>
      <c r="N5" s="2715"/>
      <c r="O5" s="2715"/>
      <c r="P5" s="3674"/>
      <c r="Q5" s="3675"/>
      <c r="R5" s="3680"/>
      <c r="S5" s="3681"/>
      <c r="T5" s="3680"/>
      <c r="U5" s="3681"/>
      <c r="V5" s="3684"/>
      <c r="W5" s="3684"/>
      <c r="X5" s="1355"/>
      <c r="Y5" s="3680"/>
      <c r="Z5" s="3681"/>
      <c r="AA5" s="3666"/>
      <c r="AB5" s="3666"/>
      <c r="AC5" s="3666"/>
    </row>
    <row r="6" spans="1:29" ht="15.75" thickBot="1">
      <c r="A6" s="360"/>
      <c r="B6" s="361"/>
      <c r="C6" s="3763" t="s">
        <v>1919</v>
      </c>
      <c r="D6" s="3764"/>
      <c r="E6" s="3765" t="s">
        <v>1919</v>
      </c>
      <c r="F6" s="3766"/>
      <c r="G6" s="3763" t="s">
        <v>1919</v>
      </c>
      <c r="H6" s="3764"/>
      <c r="I6" s="3763" t="s">
        <v>1919</v>
      </c>
      <c r="J6" s="3764"/>
      <c r="K6" s="559" t="s">
        <v>1678</v>
      </c>
      <c r="L6" s="2714"/>
      <c r="M6" s="2715"/>
      <c r="N6" s="2715"/>
      <c r="O6" s="2715"/>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45701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9" t="s">
        <v>1683</v>
      </c>
      <c r="Q8" s="3690"/>
      <c r="R8" s="701" t="s">
        <v>14</v>
      </c>
      <c r="S8" s="702">
        <f t="shared" si="0"/>
        <v>0</v>
      </c>
      <c r="T8" s="701" t="s">
        <v>14</v>
      </c>
      <c r="U8" s="702">
        <f t="shared" si="1"/>
        <v>0</v>
      </c>
      <c r="V8" s="701" t="s">
        <v>14</v>
      </c>
      <c r="W8" s="702">
        <f t="shared" si="2"/>
        <v>0</v>
      </c>
      <c r="X8" s="703"/>
      <c r="Y8" s="3689" t="s">
        <v>1683</v>
      </c>
      <c r="Z8" s="3690"/>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3"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8"/>
      <c r="M10" s="2719"/>
      <c r="N10" s="2719"/>
      <c r="O10" s="2772"/>
      <c r="P10" s="3653"/>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3"/>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3"/>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3"/>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6"/>
      <c r="Q16" s="1352"/>
      <c r="R16" s="705"/>
      <c r="S16" s="706"/>
      <c r="T16" s="705"/>
      <c r="U16" s="706"/>
      <c r="V16" s="705"/>
      <c r="W16" s="706"/>
      <c r="X16" s="1355"/>
      <c r="Y16" s="365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6"/>
      <c r="Q18" s="1352"/>
      <c r="R18" s="705"/>
      <c r="S18" s="706"/>
      <c r="T18" s="705"/>
      <c r="U18" s="706"/>
      <c r="V18" s="705"/>
      <c r="W18" s="706"/>
      <c r="X18" s="1355"/>
      <c r="Y18" s="365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6"/>
      <c r="Q19" s="1352" t="str">
        <f t="shared" ref="Q19:Q33" si="8">B19</f>
        <v>区域土地利用方向</v>
      </c>
      <c r="R19" s="705" t="s">
        <v>14</v>
      </c>
      <c r="S19" s="706">
        <f>F19</f>
        <v>100</v>
      </c>
      <c r="T19" s="705" t="s">
        <v>14</v>
      </c>
      <c r="U19" s="706">
        <f>H19</f>
        <v>100</v>
      </c>
      <c r="V19" s="705" t="s">
        <v>14</v>
      </c>
      <c r="W19" s="706">
        <f>J19</f>
        <v>100</v>
      </c>
      <c r="X19" s="1355"/>
      <c r="Y19" s="365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6"/>
      <c r="Q20" s="1352"/>
      <c r="R20" s="705"/>
      <c r="S20" s="706"/>
      <c r="T20" s="705"/>
      <c r="U20" s="706"/>
      <c r="V20" s="705"/>
      <c r="W20" s="706"/>
      <c r="X20" s="1355"/>
      <c r="Y20" s="365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6"/>
      <c r="Q21" s="1352" t="str">
        <f t="shared" si="8"/>
        <v>环境状况</v>
      </c>
      <c r="R21" s="705" t="s">
        <v>14</v>
      </c>
      <c r="S21" s="706">
        <f>F21</f>
        <v>100</v>
      </c>
      <c r="T21" s="705" t="s">
        <v>14</v>
      </c>
      <c r="U21" s="706">
        <f>H21</f>
        <v>100</v>
      </c>
      <c r="V21" s="705" t="s">
        <v>14</v>
      </c>
      <c r="W21" s="706">
        <f>J21</f>
        <v>100</v>
      </c>
      <c r="X21" s="1355"/>
      <c r="Y21" s="365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6"/>
      <c r="Q22" s="1352"/>
      <c r="R22" s="705"/>
      <c r="S22" s="706"/>
      <c r="T22" s="705"/>
      <c r="U22" s="706"/>
      <c r="V22" s="705"/>
      <c r="W22" s="706"/>
      <c r="X22" s="1355"/>
      <c r="Y22" s="365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6"/>
      <c r="Q23" s="1343" t="str">
        <f t="shared" si="8"/>
        <v>公共配套设施</v>
      </c>
      <c r="R23" s="701" t="s">
        <v>14</v>
      </c>
      <c r="S23" s="702">
        <f>F23</f>
        <v>100</v>
      </c>
      <c r="T23" s="701" t="s">
        <v>14</v>
      </c>
      <c r="U23" s="702">
        <f>H23</f>
        <v>100</v>
      </c>
      <c r="V23" s="701" t="s">
        <v>14</v>
      </c>
      <c r="W23" s="702">
        <f>J23</f>
        <v>100</v>
      </c>
      <c r="X23" s="703"/>
      <c r="Y23" s="3656"/>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56"/>
      <c r="Q24" s="1343"/>
      <c r="R24" s="701"/>
      <c r="S24" s="702"/>
      <c r="T24" s="701"/>
      <c r="U24" s="702"/>
      <c r="V24" s="701"/>
      <c r="W24" s="702"/>
      <c r="X24" s="703"/>
      <c r="Y24" s="365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6"/>
      <c r="Q25" s="1343" t="str">
        <f t="shared" ref="Q25" si="9">B25</f>
        <v>基础设施水平</v>
      </c>
      <c r="R25" s="701" t="s">
        <v>14</v>
      </c>
      <c r="S25" s="702">
        <f>F25</f>
        <v>100</v>
      </c>
      <c r="T25" s="701" t="s">
        <v>14</v>
      </c>
      <c r="U25" s="702">
        <f>H25</f>
        <v>100</v>
      </c>
      <c r="V25" s="701" t="s">
        <v>14</v>
      </c>
      <c r="W25" s="702">
        <f>J25</f>
        <v>100</v>
      </c>
      <c r="X25" s="703"/>
      <c r="Y25" s="3656"/>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56"/>
      <c r="Q26" s="1343"/>
      <c r="R26" s="701"/>
      <c r="S26" s="702"/>
      <c r="T26" s="701"/>
      <c r="U26" s="702"/>
      <c r="V26" s="701"/>
      <c r="W26" s="702"/>
      <c r="X26" s="703"/>
      <c r="Y26" s="365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6"/>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6"/>
      <c r="Q28" s="1352" t="str">
        <f t="shared" si="8"/>
        <v>毗邻道路的类型与等级</v>
      </c>
      <c r="R28" s="705" t="s">
        <v>14</v>
      </c>
      <c r="S28" s="706">
        <f t="shared" si="10"/>
        <v>100</v>
      </c>
      <c r="T28" s="705" t="s">
        <v>14</v>
      </c>
      <c r="U28" s="706">
        <f t="shared" si="11"/>
        <v>100</v>
      </c>
      <c r="V28" s="705" t="s">
        <v>14</v>
      </c>
      <c r="W28" s="706">
        <f t="shared" si="12"/>
        <v>100</v>
      </c>
      <c r="X28" s="1355"/>
      <c r="Y28" s="365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6"/>
      <c r="Q29" s="1352"/>
      <c r="R29" s="705"/>
      <c r="S29" s="706"/>
      <c r="T29" s="705"/>
      <c r="U29" s="706"/>
      <c r="V29" s="705"/>
      <c r="W29" s="706"/>
      <c r="X29" s="1355"/>
      <c r="Y29" s="365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6"/>
      <c r="Q30" s="1352" t="str">
        <f t="shared" si="8"/>
        <v>土地级别</v>
      </c>
      <c r="R30" s="705" t="s">
        <v>14</v>
      </c>
      <c r="S30" s="706">
        <f t="shared" si="10"/>
        <v>100</v>
      </c>
      <c r="T30" s="705" t="s">
        <v>14</v>
      </c>
      <c r="U30" s="706">
        <f t="shared" si="11"/>
        <v>100</v>
      </c>
      <c r="V30" s="705" t="s">
        <v>14</v>
      </c>
      <c r="W30" s="706">
        <f t="shared" si="12"/>
        <v>100</v>
      </c>
      <c r="X30" s="1355"/>
      <c r="Y30" s="3656"/>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6"/>
      <c r="Q31" s="1352">
        <f t="shared" si="8"/>
        <v>111</v>
      </c>
      <c r="R31" s="705" t="s">
        <v>14</v>
      </c>
      <c r="S31" s="706">
        <f t="shared" si="10"/>
        <v>100</v>
      </c>
      <c r="T31" s="705" t="s">
        <v>14</v>
      </c>
      <c r="U31" s="706">
        <f t="shared" si="11"/>
        <v>100</v>
      </c>
      <c r="V31" s="705" t="s">
        <v>14</v>
      </c>
      <c r="W31" s="706">
        <f t="shared" si="12"/>
        <v>100</v>
      </c>
      <c r="X31" s="1355"/>
      <c r="Y31" s="3656"/>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8" t="s">
        <v>1696</v>
      </c>
      <c r="Q32" s="1352">
        <f t="shared" si="8"/>
        <v>111</v>
      </c>
      <c r="R32" s="705" t="s">
        <v>14</v>
      </c>
      <c r="S32" s="706">
        <f t="shared" si="10"/>
        <v>100</v>
      </c>
      <c r="T32" s="705" t="s">
        <v>14</v>
      </c>
      <c r="U32" s="706">
        <f t="shared" si="11"/>
        <v>100</v>
      </c>
      <c r="V32" s="705" t="s">
        <v>14</v>
      </c>
      <c r="W32" s="706">
        <f t="shared" si="12"/>
        <v>100</v>
      </c>
      <c r="X32" s="1355"/>
      <c r="Y32" s="3660"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0"/>
      <c r="Q33" s="1352">
        <f t="shared" si="8"/>
        <v>111</v>
      </c>
      <c r="R33" s="708" t="s">
        <v>14</v>
      </c>
      <c r="S33" s="709">
        <f t="shared" si="10"/>
        <v>100</v>
      </c>
      <c r="T33" s="708" t="s">
        <v>14</v>
      </c>
      <c r="U33" s="709">
        <f t="shared" si="11"/>
        <v>100</v>
      </c>
      <c r="V33" s="708" t="s">
        <v>14</v>
      </c>
      <c r="W33" s="709">
        <f t="shared" si="12"/>
        <v>100</v>
      </c>
      <c r="X33" s="710"/>
      <c r="Y33" s="366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0"/>
      <c r="Q34" s="1352" t="str">
        <f>B34</f>
        <v>宗地面积</v>
      </c>
      <c r="R34" s="705" t="s">
        <v>14</v>
      </c>
      <c r="S34" s="706" t="e">
        <f t="shared" si="10"/>
        <v>#N/A</v>
      </c>
      <c r="T34" s="705" t="s">
        <v>14</v>
      </c>
      <c r="U34" s="706" t="e">
        <f t="shared" si="11"/>
        <v>#N/A</v>
      </c>
      <c r="V34" s="705" t="s">
        <v>14</v>
      </c>
      <c r="W34" s="706" t="e">
        <f t="shared" si="12"/>
        <v>#N/A</v>
      </c>
      <c r="X34" s="1355"/>
      <c r="Y34" s="366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60"/>
      <c r="Q35" s="1352" t="str">
        <f t="shared" ref="Q35:Q40" si="14">B35</f>
        <v>宗地形状</v>
      </c>
      <c r="R35" s="705" t="s">
        <v>14</v>
      </c>
      <c r="S35" s="706">
        <f t="shared" si="10"/>
        <v>100</v>
      </c>
      <c r="T35" s="705" t="s">
        <v>14</v>
      </c>
      <c r="U35" s="706">
        <f t="shared" si="11"/>
        <v>100</v>
      </c>
      <c r="V35" s="705" t="s">
        <v>14</v>
      </c>
      <c r="W35" s="706">
        <f t="shared" si="12"/>
        <v>100</v>
      </c>
      <c r="X35" s="1355"/>
      <c r="Y35" s="3660"/>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0"/>
      <c r="Q36" s="1352" t="str">
        <f t="shared" si="14"/>
        <v>宗地开发程度</v>
      </c>
      <c r="R36" s="701" t="s">
        <v>14</v>
      </c>
      <c r="S36" s="702">
        <f t="shared" si="10"/>
        <v>100</v>
      </c>
      <c r="T36" s="701" t="s">
        <v>14</v>
      </c>
      <c r="U36" s="702">
        <f t="shared" si="11"/>
        <v>100</v>
      </c>
      <c r="V36" s="701" t="s">
        <v>14</v>
      </c>
      <c r="W36" s="702">
        <f t="shared" si="12"/>
        <v>100</v>
      </c>
      <c r="X36" s="703"/>
      <c r="Y36" s="366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60" t="s">
        <v>1696</v>
      </c>
      <c r="Q37" s="1352" t="str">
        <f t="shared" si="14"/>
        <v>工程地质条件</v>
      </c>
      <c r="R37" s="705" t="s">
        <v>14</v>
      </c>
      <c r="S37" s="706">
        <f t="shared" si="10"/>
        <v>100</v>
      </c>
      <c r="T37" s="705" t="s">
        <v>14</v>
      </c>
      <c r="U37" s="706">
        <f t="shared" si="11"/>
        <v>100</v>
      </c>
      <c r="V37" s="705" t="s">
        <v>14</v>
      </c>
      <c r="W37" s="706">
        <f t="shared" si="12"/>
        <v>100</v>
      </c>
      <c r="X37" s="1355"/>
      <c r="Y37" s="366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0"/>
      <c r="Q38" s="1352">
        <f t="shared" si="14"/>
        <v>111</v>
      </c>
      <c r="R38" s="705" t="s">
        <v>14</v>
      </c>
      <c r="S38" s="706">
        <f t="shared" si="10"/>
        <v>100</v>
      </c>
      <c r="T38" s="705" t="s">
        <v>14</v>
      </c>
      <c r="U38" s="706">
        <f t="shared" si="11"/>
        <v>100</v>
      </c>
      <c r="V38" s="705" t="s">
        <v>14</v>
      </c>
      <c r="W38" s="706">
        <f t="shared" si="12"/>
        <v>100</v>
      </c>
      <c r="X38" s="1355"/>
      <c r="Y38" s="366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0"/>
      <c r="Q39" s="1352">
        <f t="shared" si="14"/>
        <v>111</v>
      </c>
      <c r="R39" s="705" t="s">
        <v>14</v>
      </c>
      <c r="S39" s="706">
        <f t="shared" si="10"/>
        <v>100</v>
      </c>
      <c r="T39" s="705" t="s">
        <v>14</v>
      </c>
      <c r="U39" s="706">
        <f t="shared" si="11"/>
        <v>100</v>
      </c>
      <c r="V39" s="705" t="s">
        <v>14</v>
      </c>
      <c r="W39" s="706">
        <f t="shared" si="12"/>
        <v>100</v>
      </c>
      <c r="X39" s="1355"/>
      <c r="Y39" s="3660"/>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0"/>
      <c r="Q40" s="1352">
        <f t="shared" si="14"/>
        <v>111</v>
      </c>
      <c r="R40" s="708" t="s">
        <v>14</v>
      </c>
      <c r="S40" s="709">
        <f t="shared" si="10"/>
        <v>100</v>
      </c>
      <c r="T40" s="708" t="s">
        <v>14</v>
      </c>
      <c r="U40" s="709">
        <f t="shared" si="11"/>
        <v>100</v>
      </c>
      <c r="V40" s="708" t="s">
        <v>14</v>
      </c>
      <c r="W40" s="709">
        <f t="shared" si="12"/>
        <v>100</v>
      </c>
      <c r="X40" s="710"/>
      <c r="Y40" s="3660"/>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53" t="str">
        <f>A41</f>
        <v>成交单价</v>
      </c>
      <c r="Q41" s="3653"/>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53" t="str">
        <f>A42</f>
        <v>比较价值（元/平方米）</v>
      </c>
      <c r="Q42" s="3653"/>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50" t="str">
        <f>A43</f>
        <v>估价对象XX用房的比较价值（楼面单价，元/平方米）</v>
      </c>
      <c r="Q43" s="3651"/>
      <c r="R43" s="3761" t="e">
        <f>ROUND(IF(D42="简单平均",AVERAGE(R42:W42),R42*F42+T42*H42+V42*J42),0)</f>
        <v>#DIV/0!</v>
      </c>
      <c r="S43" s="3761"/>
      <c r="T43" s="3761"/>
      <c r="U43" s="3761"/>
      <c r="V43" s="3761"/>
      <c r="W43" s="376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8" t="s">
        <v>1887</v>
      </c>
      <c r="H50" s="3762"/>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114</v>
      </c>
      <c r="F51" s="639" t="e">
        <f t="shared" ref="F51:F60" si="15">ROUND(B51*E51/10000,0)</f>
        <v>#DIV/0!</v>
      </c>
      <c r="G51" s="3664"/>
      <c r="H51" s="365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480</v>
      </c>
      <c r="C2" s="2144" t="s">
        <v>2074</v>
      </c>
      <c r="D2" s="2144" t="s">
        <v>2075</v>
      </c>
      <c r="E2" s="2611">
        <f ca="1">SUMIF(E6:E13,"&lt;&gt;#ref!",E6:E13)</f>
        <v>114</v>
      </c>
      <c r="F2" s="2792"/>
      <c r="G2" s="2792"/>
      <c r="H2" s="2792"/>
      <c r="I2" s="2792"/>
      <c r="J2" s="2792"/>
      <c r="K2" s="2792"/>
      <c r="L2" s="2792"/>
      <c r="M2" s="2792"/>
      <c r="N2" s="2792"/>
      <c r="O2" s="2792"/>
      <c r="P2" s="2792"/>
    </row>
    <row r="3" spans="1:16" ht="15.75">
      <c r="A3" s="2144" t="s">
        <v>2076</v>
      </c>
      <c r="B3" s="2601">
        <f ca="1">ROUND(B2*10000/E2,0)</f>
        <v>42105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480</v>
      </c>
      <c r="C6" s="2144" t="s">
        <v>2074</v>
      </c>
      <c r="D6" s="2792"/>
      <c r="E6" s="2611">
        <f ca="1">SUMIF(INDIRECT("'"&amp;A6&amp;"'"&amp;"!C:C"),"建筑面积",INDIRECT("'"&amp;A6&amp;"'"&amp;"!D:D"))</f>
        <v>114</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2" t="s">
        <v>2607</v>
      </c>
      <c r="B20" s="3777" t="s">
        <v>2628</v>
      </c>
      <c r="C20" s="3102" t="s">
        <v>2439</v>
      </c>
      <c r="D20" s="3103"/>
      <c r="E20" s="3104">
        <v>1</v>
      </c>
      <c r="F20" s="3105" t="s">
        <v>2440</v>
      </c>
      <c r="G20" s="3105"/>
    </row>
    <row r="21" spans="1:13" ht="19.5" customHeight="1">
      <c r="A21" s="3783"/>
      <c r="B21" s="3776"/>
      <c r="C21" s="3106" t="s">
        <v>2441</v>
      </c>
      <c r="D21" s="3107"/>
      <c r="E21" s="3108">
        <v>1</v>
      </c>
      <c r="F21" s="3105" t="s">
        <v>2442</v>
      </c>
      <c r="G21" s="3105"/>
    </row>
    <row r="22" spans="1:13" ht="19.5" customHeight="1">
      <c r="A22" s="3783"/>
      <c r="B22" s="3776"/>
      <c r="C22" s="3106" t="s">
        <v>2443</v>
      </c>
      <c r="D22" s="3107"/>
      <c r="E22" s="3108">
        <v>0.9</v>
      </c>
      <c r="F22" s="3105" t="s">
        <v>2444</v>
      </c>
      <c r="G22" s="3105"/>
    </row>
    <row r="23" spans="1:13" ht="19.5" customHeight="1">
      <c r="A23" s="3783"/>
      <c r="B23" s="3776"/>
      <c r="C23" s="3106" t="s">
        <v>2445</v>
      </c>
      <c r="D23" s="3107"/>
      <c r="E23" s="3108">
        <v>0.9</v>
      </c>
      <c r="F23" s="3105" t="s">
        <v>2446</v>
      </c>
      <c r="G23" s="3105"/>
    </row>
    <row r="24" spans="1:13" ht="19.5" customHeight="1">
      <c r="A24" s="3783"/>
      <c r="B24" s="3776"/>
      <c r="C24" s="3106" t="s">
        <v>2447</v>
      </c>
      <c r="D24" s="3107"/>
      <c r="E24" s="3108">
        <v>0.8</v>
      </c>
      <c r="F24" s="3105" t="s">
        <v>2448</v>
      </c>
      <c r="G24" s="3105"/>
    </row>
    <row r="25" spans="1:13" ht="19.5" customHeight="1" thickBot="1">
      <c r="A25" s="3784"/>
      <c r="B25" s="3778"/>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9" t="s">
        <v>2631</v>
      </c>
      <c r="B27" s="3777" t="s">
        <v>2612</v>
      </c>
      <c r="C27" s="3102" t="s">
        <v>2452</v>
      </c>
      <c r="D27" s="3103"/>
      <c r="E27" s="3104">
        <v>1</v>
      </c>
      <c r="F27" s="3105" t="s">
        <v>2453</v>
      </c>
      <c r="G27" s="3105"/>
    </row>
    <row r="28" spans="1:13" ht="19.5" customHeight="1">
      <c r="A28" s="3780"/>
      <c r="B28" s="3776"/>
      <c r="C28" s="3106" t="s">
        <v>2454</v>
      </c>
      <c r="D28" s="3107"/>
      <c r="E28" s="3108">
        <v>1</v>
      </c>
      <c r="F28" s="3105" t="s">
        <v>2455</v>
      </c>
      <c r="G28" s="3105"/>
    </row>
    <row r="29" spans="1:13" ht="19.5" customHeight="1">
      <c r="A29" s="3780"/>
      <c r="B29" s="3776"/>
      <c r="C29" s="3106" t="s">
        <v>2456</v>
      </c>
      <c r="D29" s="3107"/>
      <c r="E29" s="3108">
        <v>0.8</v>
      </c>
      <c r="F29" s="3105" t="s">
        <v>2457</v>
      </c>
      <c r="G29" s="3105"/>
    </row>
    <row r="30" spans="1:13" ht="19.5" customHeight="1">
      <c r="A30" s="3780"/>
      <c r="B30" s="3776"/>
      <c r="C30" s="3106" t="s">
        <v>2458</v>
      </c>
      <c r="D30" s="3107"/>
      <c r="E30" s="3108">
        <v>0.8</v>
      </c>
      <c r="F30" s="3105" t="s">
        <v>2459</v>
      </c>
      <c r="G30" s="3105"/>
    </row>
    <row r="31" spans="1:13" ht="19.5" customHeight="1">
      <c r="A31" s="3780"/>
      <c r="B31" s="3776"/>
      <c r="C31" s="3106" t="s">
        <v>2460</v>
      </c>
      <c r="D31" s="3107"/>
      <c r="E31" s="3108">
        <v>0.8</v>
      </c>
      <c r="F31" s="3105" t="s">
        <v>2461</v>
      </c>
      <c r="G31" s="3105"/>
    </row>
    <row r="32" spans="1:13" ht="19.5" customHeight="1">
      <c r="A32" s="3780"/>
      <c r="B32" s="3776"/>
      <c r="C32" s="3106" t="s">
        <v>2462</v>
      </c>
      <c r="D32" s="3107"/>
      <c r="E32" s="3108">
        <v>0.7</v>
      </c>
      <c r="F32" s="3105" t="s">
        <v>2463</v>
      </c>
      <c r="G32" s="3105"/>
    </row>
    <row r="33" spans="1:7" ht="19.5" customHeight="1">
      <c r="A33" s="3780"/>
      <c r="B33" s="3776"/>
      <c r="C33" s="3106" t="s">
        <v>2464</v>
      </c>
      <c r="D33" s="3107"/>
      <c r="E33" s="3108">
        <v>0.8</v>
      </c>
      <c r="F33" s="3105" t="s">
        <v>2465</v>
      </c>
      <c r="G33" s="3105"/>
    </row>
    <row r="34" spans="1:7" ht="19.5" customHeight="1">
      <c r="A34" s="3780"/>
      <c r="B34" s="3776"/>
      <c r="C34" s="3106" t="s">
        <v>2466</v>
      </c>
      <c r="D34" s="3107"/>
      <c r="E34" s="3108">
        <v>0.6</v>
      </c>
      <c r="F34" s="3105" t="s">
        <v>2467</v>
      </c>
      <c r="G34" s="3105"/>
    </row>
    <row r="35" spans="1:7" ht="19.5" customHeight="1">
      <c r="A35" s="3780"/>
      <c r="B35" s="3776"/>
      <c r="C35" s="3106" t="s">
        <v>2468</v>
      </c>
      <c r="D35" s="3107"/>
      <c r="E35" s="3108">
        <v>0.2</v>
      </c>
      <c r="F35" s="3105" t="s">
        <v>2469</v>
      </c>
      <c r="G35" s="3105"/>
    </row>
    <row r="36" spans="1:7" ht="19.5" customHeight="1">
      <c r="A36" s="3780"/>
      <c r="B36" s="3776"/>
      <c r="C36" s="3106" t="s">
        <v>2470</v>
      </c>
      <c r="D36" s="3107"/>
      <c r="E36" s="3108">
        <v>0.2</v>
      </c>
      <c r="F36" s="3105" t="s">
        <v>2471</v>
      </c>
      <c r="G36" s="3105"/>
    </row>
    <row r="37" spans="1:7" ht="19.5" customHeight="1">
      <c r="A37" s="3780"/>
      <c r="B37" s="3774" t="s">
        <v>2632</v>
      </c>
      <c r="C37" s="3106" t="s">
        <v>2472</v>
      </c>
      <c r="D37" s="3107"/>
      <c r="E37" s="3108">
        <v>0.6</v>
      </c>
      <c r="F37" s="3105" t="s">
        <v>2473</v>
      </c>
      <c r="G37" s="3105"/>
    </row>
    <row r="38" spans="1:7" ht="19.5" customHeight="1">
      <c r="A38" s="3780"/>
      <c r="B38" s="3776"/>
      <c r="C38" s="3106" t="s">
        <v>2474</v>
      </c>
      <c r="D38" s="3107"/>
      <c r="E38" s="3108">
        <v>0.6</v>
      </c>
      <c r="F38" s="3105" t="s">
        <v>2475</v>
      </c>
      <c r="G38" s="3105"/>
    </row>
    <row r="39" spans="1:7" ht="19.5" customHeight="1" thickBot="1">
      <c r="A39" s="3781"/>
      <c r="B39" s="3778"/>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2" t="s">
        <v>2610</v>
      </c>
      <c r="B41" s="3777" t="s">
        <v>2634</v>
      </c>
      <c r="C41" s="3102" t="s">
        <v>2479</v>
      </c>
      <c r="D41" s="3103"/>
      <c r="E41" s="3104">
        <v>1</v>
      </c>
      <c r="F41" s="3105" t="s">
        <v>2480</v>
      </c>
      <c r="G41" s="3105"/>
    </row>
    <row r="42" spans="1:7" ht="19.5" customHeight="1">
      <c r="A42" s="3783"/>
      <c r="B42" s="3776"/>
      <c r="C42" s="3106" t="s">
        <v>2481</v>
      </c>
      <c r="D42" s="3107"/>
      <c r="E42" s="3108">
        <v>1</v>
      </c>
      <c r="F42" s="3105" t="s">
        <v>2482</v>
      </c>
      <c r="G42" s="3105"/>
    </row>
    <row r="43" spans="1:7" ht="19.5" customHeight="1">
      <c r="A43" s="3783"/>
      <c r="B43" s="3775"/>
      <c r="C43" s="3106" t="s">
        <v>2483</v>
      </c>
      <c r="D43" s="3107"/>
      <c r="E43" s="3108">
        <v>1.5</v>
      </c>
      <c r="F43" s="3105" t="s">
        <v>2484</v>
      </c>
      <c r="G43" s="3105"/>
    </row>
    <row r="44" spans="1:7" ht="19.5" customHeight="1">
      <c r="A44" s="3783"/>
      <c r="B44" s="3117" t="s">
        <v>2635</v>
      </c>
      <c r="C44" s="3106" t="s">
        <v>2636</v>
      </c>
      <c r="D44" s="3107"/>
      <c r="E44" s="3108">
        <v>2</v>
      </c>
      <c r="F44" s="3105" t="s">
        <v>2485</v>
      </c>
      <c r="G44" s="3105"/>
    </row>
    <row r="45" spans="1:7" ht="19.5" customHeight="1">
      <c r="A45" s="3783"/>
      <c r="B45" s="3774" t="s">
        <v>2637</v>
      </c>
      <c r="C45" s="3106" t="s">
        <v>2486</v>
      </c>
      <c r="D45" s="3107"/>
      <c r="E45" s="3108">
        <v>1</v>
      </c>
      <c r="F45" s="3105" t="s">
        <v>2487</v>
      </c>
      <c r="G45" s="3105"/>
    </row>
    <row r="46" spans="1:7" ht="19.5" customHeight="1">
      <c r="A46" s="3783"/>
      <c r="B46" s="3776"/>
      <c r="C46" s="3106" t="s">
        <v>2488</v>
      </c>
      <c r="D46" s="3107"/>
      <c r="E46" s="3108">
        <v>1</v>
      </c>
      <c r="F46" s="3105" t="s">
        <v>2489</v>
      </c>
      <c r="G46" s="3105"/>
    </row>
    <row r="47" spans="1:7" ht="19.5" customHeight="1">
      <c r="A47" s="3783"/>
      <c r="B47" s="3776"/>
      <c r="C47" s="3106" t="s">
        <v>2490</v>
      </c>
      <c r="D47" s="3107"/>
      <c r="E47" s="3108">
        <v>1</v>
      </c>
      <c r="F47" s="3105" t="s">
        <v>2491</v>
      </c>
      <c r="G47" s="3105"/>
    </row>
    <row r="48" spans="1:7" ht="19.5" customHeight="1">
      <c r="A48" s="3783"/>
      <c r="B48" s="3776"/>
      <c r="C48" s="3106" t="s">
        <v>2492</v>
      </c>
      <c r="D48" s="3107"/>
      <c r="E48" s="3108">
        <v>1</v>
      </c>
      <c r="F48" s="3105" t="s">
        <v>2493</v>
      </c>
      <c r="G48" s="3105"/>
    </row>
    <row r="49" spans="1:7" ht="19.5" customHeight="1">
      <c r="A49" s="3783"/>
      <c r="B49" s="3776"/>
      <c r="C49" s="3106" t="s">
        <v>2494</v>
      </c>
      <c r="D49" s="3107"/>
      <c r="E49" s="3108">
        <v>1</v>
      </c>
      <c r="F49" s="3105" t="s">
        <v>2495</v>
      </c>
      <c r="G49" s="3105"/>
    </row>
    <row r="50" spans="1:7" ht="19.5" customHeight="1">
      <c r="A50" s="3783"/>
      <c r="B50" s="3776"/>
      <c r="C50" s="3106" t="s">
        <v>2496</v>
      </c>
      <c r="D50" s="3107"/>
      <c r="E50" s="3108">
        <v>1</v>
      </c>
      <c r="F50" s="3105" t="s">
        <v>2497</v>
      </c>
      <c r="G50" s="3105"/>
    </row>
    <row r="51" spans="1:7" ht="19.5" customHeight="1" thickBot="1">
      <c r="A51" s="3784"/>
      <c r="B51" s="3778"/>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4" t="s">
        <v>2651</v>
      </c>
      <c r="C73" s="3091" t="s">
        <v>2652</v>
      </c>
      <c r="D73" s="3091" t="s">
        <v>2653</v>
      </c>
      <c r="E73" s="3117">
        <v>0.2</v>
      </c>
      <c r="F73" s="3117">
        <v>25</v>
      </c>
    </row>
    <row r="74" spans="1:7" ht="24">
      <c r="A74" s="3117">
        <v>2</v>
      </c>
      <c r="B74" s="3776"/>
      <c r="C74" s="3091" t="s">
        <v>2654</v>
      </c>
      <c r="D74" s="3091" t="s">
        <v>2655</v>
      </c>
      <c r="E74" s="3117">
        <v>0.2</v>
      </c>
      <c r="F74" s="3117">
        <v>25</v>
      </c>
    </row>
    <row r="75" spans="1:7" ht="24">
      <c r="A75" s="3117">
        <v>3</v>
      </c>
      <c r="B75" s="3776"/>
      <c r="C75" s="3091" t="s">
        <v>2656</v>
      </c>
      <c r="D75" s="3091" t="s">
        <v>2657</v>
      </c>
      <c r="E75" s="3117">
        <v>0.2</v>
      </c>
      <c r="F75" s="3117">
        <v>25</v>
      </c>
    </row>
    <row r="76" spans="1:7" ht="13.5">
      <c r="A76" s="3117">
        <v>4</v>
      </c>
      <c r="B76" s="3776"/>
      <c r="C76" s="3091" t="s">
        <v>2658</v>
      </c>
      <c r="D76" s="3091" t="s">
        <v>2659</v>
      </c>
      <c r="E76" s="3117">
        <v>0.15</v>
      </c>
      <c r="F76" s="3117">
        <v>20</v>
      </c>
    </row>
    <row r="77" spans="1:7" ht="24">
      <c r="A77" s="3117">
        <v>5</v>
      </c>
      <c r="B77" s="3776"/>
      <c r="C77" s="3091" t="s">
        <v>2660</v>
      </c>
      <c r="D77" s="3091" t="s">
        <v>2661</v>
      </c>
      <c r="E77" s="3117">
        <v>0.15</v>
      </c>
      <c r="F77" s="3117">
        <v>20</v>
      </c>
    </row>
    <row r="78" spans="1:7" ht="24">
      <c r="A78" s="3117">
        <v>6</v>
      </c>
      <c r="B78" s="3776"/>
      <c r="C78" s="3091" t="s">
        <v>2662</v>
      </c>
      <c r="D78" s="3091" t="s">
        <v>2663</v>
      </c>
      <c r="E78" s="3117">
        <v>0.15</v>
      </c>
      <c r="F78" s="3117">
        <v>20</v>
      </c>
    </row>
    <row r="79" spans="1:7" ht="24">
      <c r="A79" s="3117">
        <v>7</v>
      </c>
      <c r="B79" s="3776"/>
      <c r="C79" s="3091" t="s">
        <v>2664</v>
      </c>
      <c r="D79" s="3091" t="s">
        <v>2665</v>
      </c>
      <c r="E79" s="3117">
        <v>0.15</v>
      </c>
      <c r="F79" s="3117">
        <v>20</v>
      </c>
    </row>
    <row r="80" spans="1:7" ht="24">
      <c r="A80" s="3117">
        <v>8</v>
      </c>
      <c r="B80" s="3776"/>
      <c r="C80" s="3091" t="s">
        <v>2666</v>
      </c>
      <c r="D80" s="3091" t="s">
        <v>2667</v>
      </c>
      <c r="E80" s="3117">
        <v>0.1</v>
      </c>
      <c r="F80" s="3117">
        <v>15</v>
      </c>
    </row>
    <row r="81" spans="1:6" ht="24">
      <c r="A81" s="3117">
        <v>9</v>
      </c>
      <c r="B81" s="3776"/>
      <c r="C81" s="3091" t="s">
        <v>2668</v>
      </c>
      <c r="D81" s="3091" t="s">
        <v>2669</v>
      </c>
      <c r="E81" s="3117">
        <v>0.1</v>
      </c>
      <c r="F81" s="3117">
        <v>15</v>
      </c>
    </row>
    <row r="82" spans="1:6" ht="24">
      <c r="A82" s="3117">
        <v>10</v>
      </c>
      <c r="B82" s="3776"/>
      <c r="C82" s="3091" t="s">
        <v>2670</v>
      </c>
      <c r="D82" s="3091" t="s">
        <v>2671</v>
      </c>
      <c r="E82" s="3117">
        <v>0.1</v>
      </c>
      <c r="F82" s="3117">
        <v>15</v>
      </c>
    </row>
    <row r="83" spans="1:6" ht="24">
      <c r="A83" s="3117">
        <v>11</v>
      </c>
      <c r="B83" s="3776"/>
      <c r="C83" s="3091" t="s">
        <v>2672</v>
      </c>
      <c r="D83" s="3091" t="s">
        <v>2673</v>
      </c>
      <c r="E83" s="3117">
        <v>0.1</v>
      </c>
      <c r="F83" s="3117">
        <v>15</v>
      </c>
    </row>
    <row r="84" spans="1:6" ht="24">
      <c r="A84" s="3117">
        <v>12</v>
      </c>
      <c r="B84" s="3776"/>
      <c r="C84" s="3091" t="s">
        <v>2674</v>
      </c>
      <c r="D84" s="3091" t="s">
        <v>2675</v>
      </c>
      <c r="E84" s="3117">
        <v>0.1</v>
      </c>
      <c r="F84" s="3117">
        <v>15</v>
      </c>
    </row>
    <row r="85" spans="1:6" ht="13.5">
      <c r="A85" s="3117">
        <v>13</v>
      </c>
      <c r="B85" s="3776"/>
      <c r="C85" s="3091" t="s">
        <v>2676</v>
      </c>
      <c r="D85" s="3091" t="s">
        <v>2677</v>
      </c>
      <c r="E85" s="3117">
        <v>0.1</v>
      </c>
      <c r="F85" s="3117">
        <v>15</v>
      </c>
    </row>
    <row r="86" spans="1:6" ht="13.5">
      <c r="A86" s="3117">
        <v>14</v>
      </c>
      <c r="B86" s="3776"/>
      <c r="C86" s="3091" t="s">
        <v>2678</v>
      </c>
      <c r="D86" s="3091" t="s">
        <v>2679</v>
      </c>
      <c r="E86" s="3117">
        <v>0.1</v>
      </c>
      <c r="F86" s="3117">
        <v>15</v>
      </c>
    </row>
    <row r="87" spans="1:6" ht="13.5">
      <c r="A87" s="3117">
        <v>15</v>
      </c>
      <c r="B87" s="3776"/>
      <c r="C87" s="3091" t="s">
        <v>2680</v>
      </c>
      <c r="D87" s="3091" t="s">
        <v>2681</v>
      </c>
      <c r="E87" s="3117">
        <v>0.1</v>
      </c>
      <c r="F87" s="3117">
        <v>15</v>
      </c>
    </row>
    <row r="88" spans="1:6" ht="24">
      <c r="A88" s="3117">
        <v>16</v>
      </c>
      <c r="B88" s="3776"/>
      <c r="C88" s="3091" t="s">
        <v>2682</v>
      </c>
      <c r="D88" s="3091" t="s">
        <v>2683</v>
      </c>
      <c r="E88" s="3117">
        <v>0.1</v>
      </c>
      <c r="F88" s="3117">
        <v>15</v>
      </c>
    </row>
    <row r="89" spans="1:6" ht="24">
      <c r="A89" s="3117">
        <v>17</v>
      </c>
      <c r="B89" s="3775"/>
      <c r="C89" s="3091" t="s">
        <v>2684</v>
      </c>
      <c r="D89" s="3091" t="s">
        <v>2685</v>
      </c>
      <c r="E89" s="3117">
        <v>0.1</v>
      </c>
      <c r="F89" s="3117">
        <v>15</v>
      </c>
    </row>
    <row r="90" spans="1:6" ht="13.5">
      <c r="A90" s="3117">
        <v>18</v>
      </c>
      <c r="B90" s="3774" t="s">
        <v>2686</v>
      </c>
      <c r="C90" s="3091" t="s">
        <v>2687</v>
      </c>
      <c r="D90" s="3091" t="s">
        <v>2688</v>
      </c>
      <c r="E90" s="3117">
        <v>0.2</v>
      </c>
      <c r="F90" s="3117">
        <v>25</v>
      </c>
    </row>
    <row r="91" spans="1:6" ht="24">
      <c r="A91" s="3117">
        <v>19</v>
      </c>
      <c r="B91" s="3776"/>
      <c r="C91" s="3091" t="s">
        <v>2689</v>
      </c>
      <c r="D91" s="3091" t="s">
        <v>2690</v>
      </c>
      <c r="E91" s="3117">
        <v>0.2</v>
      </c>
      <c r="F91" s="3117">
        <v>25</v>
      </c>
    </row>
    <row r="92" spans="1:6" ht="13.5">
      <c r="A92" s="3117">
        <v>20</v>
      </c>
      <c r="B92" s="3776"/>
      <c r="C92" s="3091" t="s">
        <v>2691</v>
      </c>
      <c r="D92" s="3091" t="s">
        <v>2692</v>
      </c>
      <c r="E92" s="3117">
        <v>0.15</v>
      </c>
      <c r="F92" s="3117">
        <v>20</v>
      </c>
    </row>
    <row r="93" spans="1:6" ht="13.5">
      <c r="A93" s="3117">
        <v>21</v>
      </c>
      <c r="B93" s="3776"/>
      <c r="C93" s="3091" t="s">
        <v>2693</v>
      </c>
      <c r="D93" s="3091" t="s">
        <v>2694</v>
      </c>
      <c r="E93" s="3117">
        <v>0.15</v>
      </c>
      <c r="F93" s="3117">
        <v>20</v>
      </c>
    </row>
    <row r="94" spans="1:6" ht="13.5">
      <c r="A94" s="3117">
        <v>22</v>
      </c>
      <c r="B94" s="3776"/>
      <c r="C94" s="3091" t="s">
        <v>2695</v>
      </c>
      <c r="D94" s="3091" t="s">
        <v>2696</v>
      </c>
      <c r="E94" s="3117">
        <v>0.15</v>
      </c>
      <c r="F94" s="3117">
        <v>20</v>
      </c>
    </row>
    <row r="95" spans="1:6" ht="36">
      <c r="A95" s="3117">
        <v>23</v>
      </c>
      <c r="B95" s="3776"/>
      <c r="C95" s="3091" t="s">
        <v>2697</v>
      </c>
      <c r="D95" s="3091" t="s">
        <v>2698</v>
      </c>
      <c r="E95" s="3117">
        <v>0.15</v>
      </c>
      <c r="F95" s="3117">
        <v>20</v>
      </c>
    </row>
    <row r="96" spans="1:6" ht="13.5">
      <c r="A96" s="3117">
        <v>24</v>
      </c>
      <c r="B96" s="3776"/>
      <c r="C96" s="3091" t="s">
        <v>2699</v>
      </c>
      <c r="D96" s="3091" t="s">
        <v>2700</v>
      </c>
      <c r="E96" s="3117">
        <v>0.1</v>
      </c>
      <c r="F96" s="3117">
        <v>15</v>
      </c>
    </row>
    <row r="97" spans="1:6" ht="13.5">
      <c r="A97" s="3117">
        <v>25</v>
      </c>
      <c r="B97" s="3776"/>
      <c r="C97" s="3091" t="s">
        <v>2701</v>
      </c>
      <c r="D97" s="3091" t="s">
        <v>2702</v>
      </c>
      <c r="E97" s="3117">
        <v>0.1</v>
      </c>
      <c r="F97" s="3117">
        <v>15</v>
      </c>
    </row>
    <row r="98" spans="1:6" ht="24">
      <c r="A98" s="3117">
        <v>26</v>
      </c>
      <c r="B98" s="3776"/>
      <c r="C98" s="3091" t="s">
        <v>2703</v>
      </c>
      <c r="D98" s="3091" t="s">
        <v>2704</v>
      </c>
      <c r="E98" s="3117">
        <v>0.1</v>
      </c>
      <c r="F98" s="3117">
        <v>15</v>
      </c>
    </row>
    <row r="99" spans="1:6" ht="24">
      <c r="A99" s="3117">
        <v>27</v>
      </c>
      <c r="B99" s="3776"/>
      <c r="C99" s="3091" t="s">
        <v>2705</v>
      </c>
      <c r="D99" s="3091" t="s">
        <v>2706</v>
      </c>
      <c r="E99" s="3117">
        <v>0.1</v>
      </c>
      <c r="F99" s="3117">
        <v>15</v>
      </c>
    </row>
    <row r="100" spans="1:6" ht="13.5">
      <c r="A100" s="3117">
        <v>28</v>
      </c>
      <c r="B100" s="3776"/>
      <c r="C100" s="3091" t="s">
        <v>2707</v>
      </c>
      <c r="D100" s="3091" t="s">
        <v>2708</v>
      </c>
      <c r="E100" s="3117">
        <v>0.1</v>
      </c>
      <c r="F100" s="3117">
        <v>15</v>
      </c>
    </row>
    <row r="101" spans="1:6" ht="13.5">
      <c r="A101" s="3117">
        <v>29</v>
      </c>
      <c r="B101" s="3776"/>
      <c r="C101" s="3091" t="s">
        <v>2709</v>
      </c>
      <c r="D101" s="3091" t="s">
        <v>2710</v>
      </c>
      <c r="E101" s="3117">
        <v>0.1</v>
      </c>
      <c r="F101" s="3117">
        <v>15</v>
      </c>
    </row>
    <row r="102" spans="1:6" ht="13.5">
      <c r="A102" s="3117">
        <v>30</v>
      </c>
      <c r="B102" s="3776"/>
      <c r="C102" s="3091" t="s">
        <v>2711</v>
      </c>
      <c r="D102" s="3091" t="s">
        <v>2712</v>
      </c>
      <c r="E102" s="3117">
        <v>0.1</v>
      </c>
      <c r="F102" s="3117">
        <v>15</v>
      </c>
    </row>
    <row r="103" spans="1:6" ht="24">
      <c r="A103" s="3117">
        <v>31</v>
      </c>
      <c r="B103" s="3776"/>
      <c r="C103" s="3091" t="s">
        <v>2713</v>
      </c>
      <c r="D103" s="3091" t="s">
        <v>2714</v>
      </c>
      <c r="E103" s="3117">
        <v>0.1</v>
      </c>
      <c r="F103" s="3117">
        <v>15</v>
      </c>
    </row>
    <row r="104" spans="1:6" ht="24">
      <c r="A104" s="3117">
        <v>32</v>
      </c>
      <c r="B104" s="3776"/>
      <c r="C104" s="3091" t="s">
        <v>2715</v>
      </c>
      <c r="D104" s="3091" t="s">
        <v>2716</v>
      </c>
      <c r="E104" s="3117">
        <v>0.1</v>
      </c>
      <c r="F104" s="3117">
        <v>15</v>
      </c>
    </row>
    <row r="105" spans="1:6" ht="24">
      <c r="A105" s="3117">
        <v>33</v>
      </c>
      <c r="B105" s="3776"/>
      <c r="C105" s="3091" t="s">
        <v>2717</v>
      </c>
      <c r="D105" s="3091" t="s">
        <v>2718</v>
      </c>
      <c r="E105" s="3117">
        <v>0.1</v>
      </c>
      <c r="F105" s="3117">
        <v>15</v>
      </c>
    </row>
    <row r="106" spans="1:6" ht="24">
      <c r="A106" s="3117">
        <v>34</v>
      </c>
      <c r="B106" s="3775"/>
      <c r="C106" s="3091" t="s">
        <v>2719</v>
      </c>
      <c r="D106" s="3091" t="s">
        <v>2720</v>
      </c>
      <c r="E106" s="3117">
        <v>0.1</v>
      </c>
      <c r="F106" s="3117">
        <v>15</v>
      </c>
    </row>
    <row r="107" spans="1:6" ht="24">
      <c r="A107" s="3117">
        <v>35</v>
      </c>
      <c r="B107" s="3774" t="s">
        <v>2721</v>
      </c>
      <c r="C107" s="3117" t="s">
        <v>2722</v>
      </c>
      <c r="D107" s="3091" t="s">
        <v>2723</v>
      </c>
      <c r="E107" s="3117">
        <v>0.15</v>
      </c>
      <c r="F107" s="3117">
        <v>20</v>
      </c>
    </row>
    <row r="108" spans="1:6" ht="13.5">
      <c r="A108" s="3117">
        <v>36</v>
      </c>
      <c r="B108" s="3776"/>
      <c r="C108" s="3117" t="s">
        <v>2724</v>
      </c>
      <c r="D108" s="3091" t="s">
        <v>2725</v>
      </c>
      <c r="E108" s="3117">
        <v>0.15</v>
      </c>
      <c r="F108" s="3117">
        <v>20</v>
      </c>
    </row>
    <row r="109" spans="1:6" ht="13.5">
      <c r="A109" s="3117">
        <v>37</v>
      </c>
      <c r="B109" s="3776"/>
      <c r="C109" s="3117" t="s">
        <v>2726</v>
      </c>
      <c r="D109" s="3091" t="s">
        <v>2727</v>
      </c>
      <c r="E109" s="3117">
        <v>0.15</v>
      </c>
      <c r="F109" s="3117">
        <v>20</v>
      </c>
    </row>
    <row r="110" spans="1:6" ht="13.5">
      <c r="A110" s="3117">
        <v>38</v>
      </c>
      <c r="B110" s="3776"/>
      <c r="C110" s="3117" t="s">
        <v>2728</v>
      </c>
      <c r="D110" s="3091" t="s">
        <v>2729</v>
      </c>
      <c r="E110" s="3117">
        <v>0.1</v>
      </c>
      <c r="F110" s="3117">
        <v>15</v>
      </c>
    </row>
    <row r="111" spans="1:6" ht="24">
      <c r="A111" s="3117">
        <v>39</v>
      </c>
      <c r="B111" s="3776"/>
      <c r="C111" s="3117" t="s">
        <v>2730</v>
      </c>
      <c r="D111" s="3091" t="s">
        <v>2731</v>
      </c>
      <c r="E111" s="3117">
        <v>0.1</v>
      </c>
      <c r="F111" s="3117">
        <v>15</v>
      </c>
    </row>
    <row r="112" spans="1:6" ht="24">
      <c r="A112" s="3117">
        <v>40</v>
      </c>
      <c r="B112" s="3775"/>
      <c r="C112" s="3117" t="s">
        <v>2732</v>
      </c>
      <c r="D112" s="3091" t="s">
        <v>2733</v>
      </c>
      <c r="E112" s="3117">
        <v>0.1</v>
      </c>
      <c r="F112" s="3117">
        <v>15</v>
      </c>
    </row>
    <row r="113" spans="1:6" ht="13.5">
      <c r="A113" s="3117">
        <v>41</v>
      </c>
      <c r="B113" s="3773" t="s">
        <v>2734</v>
      </c>
      <c r="C113" s="3117" t="s">
        <v>2735</v>
      </c>
      <c r="D113" s="3091" t="s">
        <v>2736</v>
      </c>
      <c r="E113" s="3117">
        <v>0.1</v>
      </c>
      <c r="F113" s="3117">
        <v>15</v>
      </c>
    </row>
    <row r="114" spans="1:6" ht="13.5">
      <c r="A114" s="3117">
        <v>42</v>
      </c>
      <c r="B114" s="3773"/>
      <c r="C114" s="3117" t="s">
        <v>2737</v>
      </c>
      <c r="D114" s="3091" t="s">
        <v>2738</v>
      </c>
      <c r="E114" s="3117">
        <v>0.1</v>
      </c>
      <c r="F114" s="3117">
        <v>15</v>
      </c>
    </row>
    <row r="115" spans="1:6" ht="24">
      <c r="A115" s="3117">
        <v>43</v>
      </c>
      <c r="B115" s="3773"/>
      <c r="C115" s="3117" t="s">
        <v>2739</v>
      </c>
      <c r="D115" s="3091" t="s">
        <v>2740</v>
      </c>
      <c r="E115" s="3117">
        <v>0.1</v>
      </c>
      <c r="F115" s="3117">
        <v>15</v>
      </c>
    </row>
    <row r="116" spans="1:6" ht="13.5">
      <c r="A116" s="3117">
        <v>44</v>
      </c>
      <c r="B116" s="3774" t="s">
        <v>2741</v>
      </c>
      <c r="C116" s="3117" t="s">
        <v>2742</v>
      </c>
      <c r="D116" s="3091" t="s">
        <v>2743</v>
      </c>
      <c r="E116" s="3117">
        <v>0.1</v>
      </c>
      <c r="F116" s="3117">
        <v>15</v>
      </c>
    </row>
    <row r="117" spans="1:6" ht="24">
      <c r="A117" s="3117">
        <v>45</v>
      </c>
      <c r="B117" s="3775"/>
      <c r="C117" s="3091" t="s">
        <v>2744</v>
      </c>
      <c r="D117" s="3091" t="s">
        <v>2745</v>
      </c>
      <c r="E117" s="3117">
        <v>0.1</v>
      </c>
      <c r="F117" s="3117">
        <v>15</v>
      </c>
    </row>
    <row r="118" spans="1:6" ht="24">
      <c r="A118" s="3117">
        <v>46</v>
      </c>
      <c r="B118" s="3774" t="s">
        <v>2746</v>
      </c>
      <c r="C118" s="3117" t="s">
        <v>2747</v>
      </c>
      <c r="D118" s="3091" t="s">
        <v>2748</v>
      </c>
      <c r="E118" s="3117">
        <v>0.1</v>
      </c>
      <c r="F118" s="3117">
        <v>15</v>
      </c>
    </row>
    <row r="119" spans="1:6" ht="24">
      <c r="A119" s="3117">
        <v>47</v>
      </c>
      <c r="B119" s="3775"/>
      <c r="C119" s="3117" t="s">
        <v>2749</v>
      </c>
      <c r="D119" s="3091" t="s">
        <v>2750</v>
      </c>
      <c r="E119" s="3117">
        <v>0.1</v>
      </c>
      <c r="F119" s="3117">
        <v>15</v>
      </c>
    </row>
    <row r="120" spans="1:6" ht="13.5">
      <c r="A120" s="3117">
        <v>48</v>
      </c>
      <c r="B120" s="3774" t="s">
        <v>2751</v>
      </c>
      <c r="C120" s="3117" t="s">
        <v>2752</v>
      </c>
      <c r="D120" s="3091" t="s">
        <v>2753</v>
      </c>
      <c r="E120" s="3117">
        <v>0.1</v>
      </c>
      <c r="F120" s="3117">
        <v>15</v>
      </c>
    </row>
    <row r="121" spans="1:6" ht="13.5">
      <c r="A121" s="3117">
        <v>49</v>
      </c>
      <c r="B121" s="3775"/>
      <c r="C121" s="3117" t="s">
        <v>2754</v>
      </c>
      <c r="D121" s="3091" t="s">
        <v>2755</v>
      </c>
      <c r="E121" s="3117">
        <v>0.1</v>
      </c>
      <c r="F121" s="3117">
        <v>15</v>
      </c>
    </row>
    <row r="122" spans="1:6" ht="24">
      <c r="A122" s="3117">
        <v>50</v>
      </c>
      <c r="B122" s="3773" t="s">
        <v>2756</v>
      </c>
      <c r="C122" s="3117" t="s">
        <v>2757</v>
      </c>
      <c r="D122" s="3091" t="s">
        <v>2758</v>
      </c>
      <c r="E122" s="3117">
        <v>0.1</v>
      </c>
      <c r="F122" s="3117">
        <v>15</v>
      </c>
    </row>
    <row r="123" spans="1:6" ht="24">
      <c r="A123" s="3117">
        <v>51</v>
      </c>
      <c r="B123" s="3773"/>
      <c r="C123" s="3117" t="s">
        <v>2759</v>
      </c>
      <c r="D123" s="3091" t="s">
        <v>2760</v>
      </c>
      <c r="E123" s="3117">
        <v>0.1</v>
      </c>
      <c r="F123" s="3117">
        <v>15</v>
      </c>
    </row>
    <row r="124" spans="1:6" ht="24">
      <c r="A124" s="3117">
        <v>52</v>
      </c>
      <c r="B124" s="3773" t="s">
        <v>2761</v>
      </c>
      <c r="C124" s="3117" t="s">
        <v>2762</v>
      </c>
      <c r="D124" s="3091" t="s">
        <v>2763</v>
      </c>
      <c r="E124" s="3117">
        <v>0.1</v>
      </c>
      <c r="F124" s="3117">
        <v>15</v>
      </c>
    </row>
    <row r="125" spans="1:6" ht="24">
      <c r="A125" s="3117">
        <v>53</v>
      </c>
      <c r="B125" s="377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3" t="s">
        <v>2769</v>
      </c>
      <c r="C127" s="3117" t="s">
        <v>2770</v>
      </c>
      <c r="D127" s="3091" t="s">
        <v>2771</v>
      </c>
      <c r="E127" s="3117">
        <v>0.1</v>
      </c>
      <c r="F127" s="3117">
        <v>15</v>
      </c>
    </row>
    <row r="128" spans="1:6" ht="13.5">
      <c r="A128" s="3117">
        <v>56</v>
      </c>
      <c r="B128" s="3773"/>
      <c r="C128" s="3117" t="s">
        <v>2772</v>
      </c>
      <c r="D128" s="3091" t="s">
        <v>2773</v>
      </c>
      <c r="E128" s="3117">
        <v>0.1</v>
      </c>
      <c r="F128" s="3117">
        <v>15</v>
      </c>
    </row>
    <row r="129" spans="1:6" ht="24">
      <c r="A129" s="3117">
        <v>57</v>
      </c>
      <c r="B129" s="3773"/>
      <c r="C129" s="3117" t="s">
        <v>2774</v>
      </c>
      <c r="D129" s="3091" t="s">
        <v>2775</v>
      </c>
      <c r="E129" s="3117">
        <v>0.1</v>
      </c>
      <c r="F129" s="3117">
        <v>15</v>
      </c>
    </row>
    <row r="130" spans="1:6" ht="24">
      <c r="A130" s="3117">
        <v>58</v>
      </c>
      <c r="B130" s="3773" t="s">
        <v>2776</v>
      </c>
      <c r="C130" s="3117" t="s">
        <v>2777</v>
      </c>
      <c r="D130" s="3091" t="s">
        <v>2778</v>
      </c>
      <c r="E130" s="3117">
        <v>0.1</v>
      </c>
      <c r="F130" s="3117">
        <v>15</v>
      </c>
    </row>
    <row r="131" spans="1:6" ht="13.5">
      <c r="A131" s="3117">
        <v>59</v>
      </c>
      <c r="B131" s="3773"/>
      <c r="C131" s="3117" t="s">
        <v>2779</v>
      </c>
      <c r="D131" s="3091" t="s">
        <v>2780</v>
      </c>
      <c r="E131" s="3117">
        <v>0.1</v>
      </c>
      <c r="F131" s="3117">
        <v>15</v>
      </c>
    </row>
    <row r="132" spans="1:6" ht="13.5">
      <c r="A132" s="3117">
        <v>60</v>
      </c>
      <c r="B132" s="3774" t="s">
        <v>2781</v>
      </c>
      <c r="C132" s="3117" t="s">
        <v>2782</v>
      </c>
      <c r="D132" s="3091" t="s">
        <v>2783</v>
      </c>
      <c r="E132" s="3117">
        <v>0.1</v>
      </c>
      <c r="F132" s="3117">
        <v>15</v>
      </c>
    </row>
    <row r="133" spans="1:6" ht="13.5">
      <c r="A133" s="3117">
        <v>61</v>
      </c>
      <c r="B133" s="3775"/>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3" t="s">
        <v>2789</v>
      </c>
      <c r="C135" s="3117" t="s">
        <v>2790</v>
      </c>
      <c r="D135" s="3091" t="s">
        <v>2791</v>
      </c>
      <c r="E135" s="3117">
        <v>0.1</v>
      </c>
      <c r="F135" s="3117">
        <v>15</v>
      </c>
    </row>
    <row r="136" spans="1:6" ht="13.5">
      <c r="A136" s="3117">
        <v>64</v>
      </c>
      <c r="B136" s="377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1.2501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1.1839999999999999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27243</v>
      </c>
      <c r="C2" s="2" t="s">
        <v>106</v>
      </c>
      <c r="D2" s="199"/>
      <c r="E2" s="199"/>
      <c r="F2" s="199"/>
      <c r="G2" s="199"/>
    </row>
    <row r="3" spans="1:7" s="200" customFormat="1" ht="18" customHeight="1" thickBot="1">
      <c r="A3" s="203" t="s">
        <v>58</v>
      </c>
      <c r="B3" s="204">
        <f ca="1">ROUND(B2*10000/'数据-汇总表'!E3,0)</f>
        <v>2389737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114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645</v>
      </c>
      <c r="D22" s="235">
        <f ca="1">C26</f>
        <v>5.0000000000000001E-4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27228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114</v>
      </c>
      <c r="E37" s="249">
        <f>'数据-取费表'!B35</f>
        <v>200</v>
      </c>
      <c r="F37" s="259"/>
      <c r="G37" s="261" t="s">
        <v>92</v>
      </c>
    </row>
    <row r="38" spans="1:7" ht="13.5" customHeight="1">
      <c r="A38" s="780" t="s">
        <v>354</v>
      </c>
      <c r="B38" s="215" t="s">
        <v>36</v>
      </c>
      <c r="C38" s="220">
        <f>ROUND(C34*F38,0)</f>
        <v>1</v>
      </c>
      <c r="D38" s="220"/>
      <c r="E38" s="220"/>
      <c r="F38" s="259">
        <f>'数据-取费表'!B36</f>
        <v>0.03</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5.0000000000000001E-4</v>
      </c>
      <c r="D44" s="238"/>
      <c r="E44" s="238"/>
      <c r="F44" s="239"/>
      <c r="G44" s="3649"/>
    </row>
    <row r="45" spans="1:7" s="214" customFormat="1" ht="13.5" customHeight="1">
      <c r="A45" s="777" t="s">
        <v>341</v>
      </c>
      <c r="B45" s="244" t="s">
        <v>85</v>
      </c>
      <c r="C45" s="245">
        <f>C46</f>
        <v>5</v>
      </c>
      <c r="D45" s="235">
        <f>C47</f>
        <v>4.4999999999999997E-3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0.4</v>
      </c>
      <c r="G50" s="247" t="s">
        <v>98</v>
      </c>
    </row>
    <row r="51" spans="1:7" ht="16.5" customHeight="1">
      <c r="A51" s="777" t="s">
        <v>345</v>
      </c>
      <c r="B51" s="210" t="s">
        <v>105</v>
      </c>
      <c r="C51" s="232">
        <f ca="1">ROUND(C49*F50,0)</f>
        <v>15</v>
      </c>
      <c r="D51" s="232"/>
      <c r="E51" s="232"/>
      <c r="F51" s="264"/>
      <c r="G51" s="234" t="s">
        <v>37</v>
      </c>
    </row>
    <row r="52" spans="1:7" s="208" customFormat="1" ht="16.5" thickBot="1">
      <c r="A52" s="265" t="s">
        <v>38</v>
      </c>
      <c r="B52" s="266"/>
      <c r="C52" s="267">
        <f ca="1">C31+C51</f>
        <v>27243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1398</v>
      </c>
      <c r="E5" s="1491"/>
    </row>
    <row r="6" spans="1:5" ht="15.75">
      <c r="A6" s="1491"/>
      <c r="B6" s="3466"/>
      <c r="C6" s="1494" t="s">
        <v>911</v>
      </c>
      <c r="D6" s="850" t="str">
        <f ca="1">NUMBERSTRING(INT(D5*10000),2)&amp;"元整"</f>
        <v>壹仟叁佰玖拾捌万元整</v>
      </c>
      <c r="E6" s="1491"/>
    </row>
    <row r="7" spans="1:5" ht="15.75">
      <c r="A7" s="1491"/>
      <c r="B7" s="3471"/>
      <c r="C7" s="1495" t="s">
        <v>912</v>
      </c>
      <c r="D7" s="851">
        <f ca="1">结果表!H102</f>
        <v>122639</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1398</v>
      </c>
      <c r="E13" s="1491"/>
    </row>
    <row r="14" spans="1:5" ht="15.75">
      <c r="A14" s="1491"/>
      <c r="B14" s="3466"/>
      <c r="C14" s="1494" t="s">
        <v>911</v>
      </c>
      <c r="D14" s="850" t="str">
        <f ca="1">NUMBERSTRING(INT(D13*10000),2)&amp;"元整"</f>
        <v>壹仟叁佰玖拾捌万元整</v>
      </c>
      <c r="E14" s="1491"/>
    </row>
    <row r="15" spans="1:5" ht="15">
      <c r="A15" s="1491"/>
      <c r="B15" s="3471"/>
      <c r="C15" s="1495" t="s">
        <v>921</v>
      </c>
      <c r="D15" s="859">
        <f ca="1">结果表!H108</f>
        <v>122639</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7" t="s">
        <v>2839</v>
      </c>
      <c r="B1" s="3787"/>
      <c r="C1" s="3787"/>
      <c r="D1" s="3787"/>
      <c r="E1" s="3787"/>
      <c r="F1" s="3787"/>
      <c r="G1" s="378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45701</v>
      </c>
      <c r="B1" s="3209" t="s">
        <v>3380</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792" t="s">
        <v>2827</v>
      </c>
      <c r="S26" s="3793"/>
      <c r="T26" s="3793"/>
      <c r="U26" s="3793"/>
      <c r="V26" s="3793"/>
      <c r="W26" s="3793"/>
      <c r="X26" s="3164"/>
      <c r="Y26" s="3792" t="s">
        <v>2828</v>
      </c>
      <c r="Z26" s="3793"/>
      <c r="AA26" s="3793"/>
      <c r="AB26" s="3793"/>
      <c r="AC26" s="3793"/>
      <c r="AD26" s="3793"/>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45701</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45586</v>
      </c>
      <c r="D13" s="2821">
        <v>3.1</v>
      </c>
      <c r="E13" s="2821">
        <f>D13</f>
        <v>3.1</v>
      </c>
      <c r="F13" s="2821">
        <f>D13</f>
        <v>3.1</v>
      </c>
      <c r="G13" s="2821">
        <f>D13</f>
        <v>3.1</v>
      </c>
      <c r="H13" s="282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45495</v>
      </c>
      <c r="D14" s="2816">
        <v>3.35</v>
      </c>
      <c r="E14" s="2816">
        <f>D14</f>
        <v>3.35</v>
      </c>
      <c r="F14" s="2816">
        <f>D14</f>
        <v>3.35</v>
      </c>
      <c r="G14" s="2816">
        <f>D14</f>
        <v>3.35</v>
      </c>
      <c r="H14" s="2816">
        <v>3.85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45342</v>
      </c>
      <c r="D15" s="2816">
        <v>3.45</v>
      </c>
      <c r="E15" s="2816">
        <f>D15</f>
        <v>3.45</v>
      </c>
      <c r="F15" s="2816">
        <f>D15</f>
        <v>3.45</v>
      </c>
      <c r="G15" s="2816">
        <f>D15</f>
        <v>3.45</v>
      </c>
      <c r="H15" s="2816">
        <v>3.95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45159</v>
      </c>
      <c r="D16" s="2816">
        <v>3.45</v>
      </c>
      <c r="E16" s="2816">
        <f>D16</f>
        <v>3.45</v>
      </c>
      <c r="F16" s="2816">
        <f>D16</f>
        <v>3.45</v>
      </c>
      <c r="G16" s="2816">
        <f>D16</f>
        <v>3.45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45097</v>
      </c>
      <c r="D17" s="2816">
        <v>3.55</v>
      </c>
      <c r="E17" s="2816">
        <f>D17</f>
        <v>3.55</v>
      </c>
      <c r="F17" s="2816">
        <f>D17</f>
        <v>3.55</v>
      </c>
      <c r="G17" s="2816">
        <f>D17</f>
        <v>3.55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44701</v>
      </c>
      <c r="D19" s="2816">
        <v>3.7</v>
      </c>
      <c r="E19" s="2816">
        <f>D19</f>
        <v>3.7</v>
      </c>
      <c r="F19" s="2816">
        <f>D19</f>
        <v>3.7</v>
      </c>
      <c r="G19" s="2816">
        <f>D19</f>
        <v>3.7</v>
      </c>
      <c r="H19" s="2816">
        <v>4.45</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44581</v>
      </c>
      <c r="D20" s="2816">
        <v>3.7</v>
      </c>
      <c r="E20" s="2816">
        <f>D20</f>
        <v>3.7</v>
      </c>
      <c r="F20" s="2816">
        <f>D20</f>
        <v>3.7</v>
      </c>
      <c r="G20" s="2816">
        <f>D20</f>
        <v>3.7</v>
      </c>
      <c r="H20" s="2816">
        <v>4.5999999999999996</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44550</v>
      </c>
      <c r="D21" s="2816">
        <v>3.8</v>
      </c>
      <c r="E21" s="2816">
        <f>D21</f>
        <v>3.8</v>
      </c>
      <c r="F21" s="2816">
        <f>D21</f>
        <v>3.8</v>
      </c>
      <c r="G21" s="2816">
        <f>D21</f>
        <v>3.8</v>
      </c>
      <c r="H21" s="2816">
        <v>4.6500000000000004</v>
      </c>
      <c r="I21" s="2816"/>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43941</v>
      </c>
      <c r="D22" s="2816">
        <v>3.85</v>
      </c>
      <c r="E22" s="2816">
        <v>3.85</v>
      </c>
      <c r="F22" s="2816">
        <v>3.85</v>
      </c>
      <c r="G22" s="2816">
        <v>3.85</v>
      </c>
      <c r="H22" s="2816">
        <v>4.6500000000000004</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43881</v>
      </c>
      <c r="D23" s="2816">
        <v>4.05</v>
      </c>
      <c r="E23" s="2816">
        <v>4.05</v>
      </c>
      <c r="F23" s="2816">
        <v>4.05</v>
      </c>
      <c r="G23" s="2816">
        <v>4.05</v>
      </c>
      <c r="H23" s="2816">
        <v>4.75</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43789</v>
      </c>
      <c r="D24" s="2816">
        <v>4.1500000000000004</v>
      </c>
      <c r="E24" s="2816">
        <v>4.1500000000000004</v>
      </c>
      <c r="F24" s="2816">
        <v>4.1500000000000004</v>
      </c>
      <c r="G24" s="2816">
        <v>4.1500000000000004</v>
      </c>
      <c r="H24" s="2816">
        <v>4.8</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43728</v>
      </c>
      <c r="D25" s="2816">
        <v>4.2</v>
      </c>
      <c r="E25" s="2816">
        <v>4.2</v>
      </c>
      <c r="F25" s="2816">
        <v>4.2</v>
      </c>
      <c r="G25" s="2816">
        <v>4.2</v>
      </c>
      <c r="H25" s="2816">
        <v>4.8499999999999996</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5" t="s">
        <v>2309</v>
      </c>
      <c r="C26" s="2818">
        <v>43697</v>
      </c>
      <c r="D26" s="2819">
        <v>4.25</v>
      </c>
      <c r="E26" s="2819">
        <v>4.25</v>
      </c>
      <c r="F26" s="2819">
        <v>4.25</v>
      </c>
      <c r="G26" s="2819">
        <v>4.25</v>
      </c>
      <c r="H26" s="2819">
        <v>4.8499999999999996</v>
      </c>
      <c r="I26" s="2819"/>
      <c r="J26" s="281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3"/>
      <c r="C27" s="2824">
        <v>42301</v>
      </c>
      <c r="D27" s="2825">
        <v>4.3499999999999996</v>
      </c>
      <c r="E27" s="2825">
        <v>4.3499999999999996</v>
      </c>
      <c r="F27" s="2825">
        <v>4.75</v>
      </c>
      <c r="G27" s="2825">
        <v>4.75</v>
      </c>
      <c r="H27" s="2825">
        <v>4.9000000000000004</v>
      </c>
      <c r="I27" s="2825"/>
      <c r="J27" s="282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S88" sqref="S88"/>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114</v>
      </c>
      <c r="C4" s="854">
        <f>项目基本情况!C18</f>
        <v>0</v>
      </c>
      <c r="D4" s="854" t="e">
        <f ca="1">结果表!D118</f>
        <v>#REF!</v>
      </c>
      <c r="E4" s="854" t="e">
        <f ca="1">结果表!E118</f>
        <v>#REF!</v>
      </c>
      <c r="F4" s="854" t="e">
        <f ca="1">结果表!F118</f>
        <v>#REF!</v>
      </c>
      <c r="G4" s="854" t="e">
        <f ca="1">结果表!G118</f>
        <v>#REF!</v>
      </c>
      <c r="H4" s="854">
        <f ca="1">结果表!H118</f>
        <v>1398</v>
      </c>
      <c r="I4" s="854">
        <f ca="1">结果表!I118</f>
        <v>122639</v>
      </c>
    </row>
    <row r="5" spans="1:9" ht="30" customHeight="1">
      <c r="A5" s="3478" t="s">
        <v>927</v>
      </c>
      <c r="B5" s="3478"/>
      <c r="C5" s="3478"/>
      <c r="D5" s="3478" t="e">
        <f ca="1">结果表!D119</f>
        <v>#REF!</v>
      </c>
      <c r="E5" s="3478"/>
      <c r="F5" s="3478" t="e">
        <f ca="1">结果表!F119</f>
        <v>#REF!</v>
      </c>
      <c r="G5" s="3478"/>
      <c r="H5" s="3478" t="str">
        <f ca="1">结果表!H119</f>
        <v>壹仟叁佰玖拾捌万元整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1398</v>
      </c>
      <c r="E8" s="3477"/>
      <c r="F8" s="3477"/>
      <c r="G8" s="3477"/>
      <c r="H8" s="3477"/>
      <c r="I8" s="3477"/>
    </row>
    <row r="9" spans="1:9" ht="15">
      <c r="A9" s="3478" t="s">
        <v>927</v>
      </c>
      <c r="B9" s="3478"/>
      <c r="C9" s="3478"/>
      <c r="D9" s="3478" t="str">
        <f ca="1">结果表!D123</f>
        <v>壹仟叁佰玖拾捌万元整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45702</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2437</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2"/>
      <c r="E18" s="3503" t="s">
        <v>2162</v>
      </c>
      <c r="F18" s="3502"/>
      <c r="G18" s="350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基准地价修正</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2025-02-14T08:02:17Z</dcterms:modified>
</cp:coreProperties>
</file>