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20" i="1" l="1"/>
  <c r="W18" i="1"/>
  <c r="G19" i="6"/>
  <c r="B24" i="31"/>
  <c r="G44" i="43" l="1"/>
  <c r="E82" i="35" l="1"/>
  <c r="U20" i="1"/>
  <c r="U18" i="1"/>
  <c r="F74" i="35" l="1"/>
  <c r="E74" i="35"/>
  <c r="F73" i="35"/>
  <c r="E73" i="35"/>
  <c r="D73" i="35"/>
  <c r="C73" i="35"/>
  <c r="I7" i="35"/>
  <c r="G7" i="35"/>
  <c r="Q20" i="1" l="1"/>
  <c r="R21" i="1"/>
  <c r="B14" i="74"/>
  <c r="D5" i="9" l="1"/>
  <c r="N20" i="1" l="1"/>
  <c r="N25" i="1"/>
  <c r="O21" i="1"/>
  <c r="N23" i="1" s="1"/>
  <c r="D42" i="43"/>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E1" i="73"/>
  <c r="G22" i="69"/>
  <c r="G23" i="68"/>
  <c r="G30" i="12"/>
  <c r="G22" i="11"/>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S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D34" i="9"/>
  <c r="F20" i="31"/>
  <c r="F7" i="73"/>
  <c r="F4" i="73"/>
  <c r="B9" i="76"/>
  <c r="AO13" i="1"/>
  <c r="E10" i="76"/>
  <c r="B11" i="76"/>
  <c r="F5" i="73"/>
  <c r="B10" i="76"/>
  <c r="E13" i="76"/>
  <c r="E9" i="76"/>
  <c r="E12" i="76"/>
  <c r="F6" i="73"/>
  <c r="B7" i="76"/>
  <c r="E2" i="69"/>
  <c r="E8" i="76"/>
  <c r="E7" i="76"/>
  <c r="D35" i="9"/>
  <c r="F3" i="73"/>
  <c r="B8" i="76"/>
  <c r="D6" i="73"/>
  <c r="B13" i="76"/>
  <c r="E11" i="76"/>
  <c r="B12" i="76"/>
  <c r="G1" i="67" l="1"/>
  <c r="G1" i="69"/>
  <c r="G1" i="68"/>
  <c r="G1" i="15"/>
  <c r="B6" i="1"/>
  <c r="E6" i="1" s="1"/>
  <c r="W23" i="35"/>
  <c r="AC25" i="35"/>
  <c r="W25" i="35"/>
  <c r="S24" i="35"/>
  <c r="U24" i="35"/>
  <c r="W35" i="35"/>
  <c r="S23" i="35"/>
  <c r="AB23" i="35"/>
  <c r="K6" i="1"/>
  <c r="U19" i="1" s="1"/>
  <c r="C18" i="9"/>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F28" i="81"/>
  <c r="M6" i="15"/>
  <c r="F26" i="15"/>
  <c r="F43" i="67"/>
  <c r="L56" i="81"/>
  <c r="F32" i="81"/>
  <c r="M36" i="15"/>
  <c r="M30" i="15"/>
  <c r="L57" i="15"/>
  <c r="M9" i="67"/>
  <c r="F48" i="81"/>
  <c r="F38" i="81"/>
  <c r="M26" i="67"/>
  <c r="M22" i="15"/>
  <c r="F32" i="15"/>
  <c r="F6" i="15"/>
  <c r="F30" i="81"/>
  <c r="M31" i="15"/>
  <c r="F38" i="15"/>
  <c r="L57" i="81"/>
  <c r="F9" i="81"/>
  <c r="M26" i="81"/>
  <c r="M24" i="15"/>
  <c r="F52" i="81"/>
  <c r="F48" i="15"/>
  <c r="F13" i="67"/>
  <c r="D15" i="80"/>
  <c r="M36" i="81"/>
  <c r="F8" i="67"/>
  <c r="D4" i="73"/>
  <c r="M22" i="67"/>
  <c r="L48" i="67"/>
  <c r="F22" i="15"/>
  <c r="F7" i="81"/>
  <c r="M29" i="67"/>
  <c r="M9" i="15"/>
  <c r="D5" i="73"/>
  <c r="F7" i="67"/>
  <c r="F8" i="15"/>
  <c r="M8" i="81"/>
  <c r="L56" i="15"/>
  <c r="F37" i="67"/>
  <c r="L47" i="67"/>
  <c r="F26" i="67"/>
  <c r="F24" i="15"/>
  <c r="M6" i="81"/>
  <c r="J15" i="67"/>
  <c r="M30" i="81"/>
  <c r="F36" i="67"/>
  <c r="F9" i="67"/>
  <c r="M28" i="67"/>
  <c r="M24" i="81"/>
  <c r="F30" i="15"/>
  <c r="M9" i="81"/>
  <c r="F7" i="15"/>
  <c r="M8" i="15"/>
  <c r="C76" i="67"/>
  <c r="M28" i="15"/>
  <c r="M22" i="81"/>
  <c r="F52" i="15"/>
  <c r="M24" i="67"/>
  <c r="F42" i="67"/>
  <c r="F40" i="67"/>
  <c r="F26" i="81"/>
  <c r="M31" i="81"/>
  <c r="F16" i="67"/>
  <c r="D3" i="73"/>
  <c r="F9" i="15"/>
  <c r="M6" i="67"/>
  <c r="F8" i="81"/>
  <c r="F6" i="67"/>
  <c r="F24" i="81"/>
  <c r="F22" i="81"/>
  <c r="M26" i="15"/>
  <c r="M8" i="67"/>
  <c r="F38" i="67"/>
  <c r="M28" i="81"/>
  <c r="D7" i="73"/>
  <c r="M23" i="67"/>
  <c r="C88" i="15"/>
  <c r="C88" i="81"/>
  <c r="F28" i="15"/>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H16" i="1"/>
  <c r="F30" i="6"/>
  <c r="E14" i="6"/>
  <c r="E61" i="40" s="1"/>
  <c r="Q16" i="1"/>
  <c r="F27" i="69" s="1"/>
  <c r="C47" i="69" s="1"/>
  <c r="D45" i="69" s="1"/>
  <c r="N68" i="15"/>
  <c r="F65" i="67"/>
  <c r="N59" i="67"/>
  <c r="L59" i="67"/>
  <c r="Q61" i="67" s="1"/>
  <c r="M59" i="67"/>
  <c r="Q71" i="67"/>
  <c r="C6" i="67"/>
  <c r="F51" i="67"/>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F27" i="80"/>
  <c r="C19" i="15"/>
  <c r="C38" i="81"/>
  <c r="C16" i="67"/>
  <c r="C38" i="15"/>
  <c r="G1" i="73"/>
  <c r="C49" i="67" l="1"/>
  <c r="J18" i="67"/>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H6" i="3" s="1"/>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62" i="15"/>
  <c r="C54" i="80"/>
  <c r="Q84" i="15"/>
  <c r="C29" i="80"/>
  <c r="K16" i="1"/>
  <c r="E53" i="40"/>
  <c r="E58" i="39"/>
  <c r="E67" i="39" s="1"/>
  <c r="F69" i="39"/>
  <c r="G69" i="39" s="1"/>
  <c r="L68" i="81"/>
  <c r="Q85" i="81" s="1"/>
  <c r="F1" i="67"/>
  <c r="Q73" i="67"/>
  <c r="C52" i="12"/>
  <c r="E3" i="6"/>
  <c r="M18" i="9" s="1"/>
  <c r="B118" i="9" s="1"/>
  <c r="B1" i="74" s="1"/>
  <c r="AS16" i="1"/>
  <c r="F34" i="83" s="1"/>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M27" i="67"/>
  <c r="AE6" i="1"/>
  <c r="F41" i="67"/>
  <c r="C10" i="80"/>
  <c r="M29" i="15"/>
  <c r="F29" i="15"/>
  <c r="C5" i="15" l="1"/>
  <c r="C26" i="15" s="1"/>
  <c r="AG6" i="1"/>
  <c r="C39" i="43"/>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H12" i="40"/>
  <c r="AB12" i="40" s="1"/>
  <c r="J12" i="40"/>
  <c r="F52" i="68"/>
  <c r="J12" i="39"/>
  <c r="W12" i="39" s="1"/>
  <c r="F12" i="40"/>
  <c r="C54" i="68"/>
  <c r="H12" i="39"/>
  <c r="U12" i="39" s="1"/>
  <c r="G54" i="34"/>
  <c r="H54" i="34" s="1"/>
  <c r="J6" i="81"/>
  <c r="C57"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G38" i="43"/>
  <c r="I38" i="43" s="1"/>
  <c r="E38"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17" i="67"/>
  <c r="C39" i="81"/>
  <c r="D16" i="80"/>
  <c r="C39" i="15"/>
  <c r="C14" i="67"/>
  <c r="M29" i="81"/>
  <c r="F29" i="81"/>
  <c r="C28" i="15" l="1"/>
  <c r="G41" i="43"/>
  <c r="I41" i="43" s="1"/>
  <c r="G42" i="43"/>
  <c r="I42" i="43" s="1"/>
  <c r="J16" i="81"/>
  <c r="J10" i="81"/>
  <c r="J5" i="81" s="1"/>
  <c r="J26" i="81" s="1"/>
  <c r="E40" i="43"/>
  <c r="C7" i="80"/>
  <c r="C8" i="80" s="1"/>
  <c r="C6" i="80" s="1"/>
  <c r="C24" i="80" s="1"/>
  <c r="E42" i="43"/>
  <c r="H24" i="6"/>
  <c r="R24" i="6" s="1"/>
  <c r="R11" i="1" s="1"/>
  <c r="F81" i="81"/>
  <c r="G37" i="43"/>
  <c r="I37" i="43" s="1"/>
  <c r="C31" i="43" s="1"/>
  <c r="E33" i="43"/>
  <c r="C16" i="80"/>
  <c r="C14" i="80" s="1"/>
  <c r="U12" i="40"/>
  <c r="AC12" i="39"/>
  <c r="AC12" i="40"/>
  <c r="W12" i="40"/>
  <c r="S12" i="40"/>
  <c r="AA12" i="40"/>
  <c r="D17" i="80"/>
  <c r="C17" i="80" s="1"/>
  <c r="AB12" i="39"/>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0" i="43" l="1"/>
  <c r="D18" i="80"/>
  <c r="C18" i="80" s="1"/>
  <c r="C44" i="80" s="1"/>
  <c r="D31" i="6"/>
  <c r="I5" i="6" s="1"/>
  <c r="G18" i="80"/>
  <c r="G28" i="80"/>
  <c r="G18" i="68"/>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E6" i="76"/>
  <c r="C12" i="80"/>
  <c r="I6" i="6" l="1"/>
  <c r="E2" i="76"/>
  <c r="B2" i="43"/>
  <c r="C43"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50" i="80" l="1"/>
  <c r="C49" i="80" s="1"/>
  <c r="B2" i="76"/>
  <c r="B3" i="76" s="1"/>
  <c r="B4" i="43"/>
  <c r="D4" i="43"/>
  <c r="B3" i="43"/>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15"/>
  <c r="M21" i="15"/>
  <c r="F35" i="67"/>
  <c r="M21" i="81"/>
  <c r="F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U6" i="1" s="1"/>
  <c r="N65" i="40"/>
  <c r="M67" i="40"/>
  <c r="E43" i="35"/>
  <c r="F43" i="35" s="1"/>
  <c r="E42" i="35"/>
  <c r="F42" i="35" s="1"/>
  <c r="I43" i="35"/>
  <c r="J43" i="35" s="1"/>
  <c r="F2" i="33"/>
  <c r="L51" i="67"/>
  <c r="C19" i="9"/>
  <c r="F6" i="81"/>
  <c r="C7" i="81" l="1"/>
  <c r="C9" i="81" s="1"/>
  <c r="C6"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6"/>
  <c r="F2" i="34"/>
  <c r="C20" i="9"/>
  <c r="C19" i="81" l="1"/>
  <c r="C16" i="81"/>
  <c r="C10" i="81"/>
  <c r="C5" i="81" s="1"/>
  <c r="C26" i="81" s="1"/>
  <c r="C17" i="81" s="1"/>
  <c r="D2" i="35"/>
  <c r="B2" i="35" s="1"/>
  <c r="C83" i="81"/>
  <c r="C84" i="81" s="1"/>
  <c r="L66" i="81"/>
  <c r="L69" i="81" s="1"/>
  <c r="Q66"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18" i="81" l="1"/>
  <c r="C15" i="81" s="1"/>
  <c r="C14" i="81" s="1"/>
  <c r="C13" i="81" s="1"/>
  <c r="C27" i="81" s="1"/>
  <c r="L55" i="81"/>
  <c r="Q75" i="8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60" i="81"/>
  <c r="Q77" i="81" l="1"/>
  <c r="C92" i="81"/>
  <c r="C91" i="81" s="1"/>
  <c r="Q80" i="81"/>
  <c r="Q79" i="81" s="1"/>
  <c r="F33" i="81"/>
  <c r="C28" i="81"/>
  <c r="C95" i="81" s="1"/>
  <c r="C94"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Q74" i="81" l="1"/>
  <c r="Q86" i="81" s="1"/>
  <c r="Q56" i="81"/>
  <c r="Q62" i="81" s="1"/>
  <c r="Q65" i="81"/>
  <c r="Q71" i="81" s="1"/>
  <c r="C31" i="81"/>
  <c r="D3"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32" i="81" l="1"/>
  <c r="C55" i="81"/>
  <c r="B2" i="81"/>
  <c r="D19" i="9" s="1"/>
  <c r="B3" i="81"/>
  <c r="D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03" i="9" l="1"/>
  <c r="G20" i="9"/>
  <c r="G19" i="9"/>
  <c r="D102" i="9"/>
  <c r="I19" i="9"/>
  <c r="D14" i="74" s="1"/>
  <c r="E14" i="74" s="1"/>
  <c r="D22" i="9"/>
  <c r="R26" i="31"/>
  <c r="D16" i="74" s="1"/>
  <c r="B3" i="40"/>
  <c r="B4" i="40"/>
  <c r="B5" i="40"/>
  <c r="C95" i="15"/>
  <c r="C94" i="15" s="1"/>
  <c r="AO8" i="1"/>
  <c r="AO9" i="1"/>
  <c r="AO6" i="1"/>
  <c r="G22" i="9" l="1"/>
  <c r="J21" i="9"/>
  <c r="F14" i="74"/>
  <c r="C32" i="9"/>
  <c r="R24" i="31"/>
  <c r="S26" i="31"/>
  <c r="E15" i="74"/>
  <c r="F15" i="74"/>
  <c r="B9" i="70"/>
  <c r="B8" i="70"/>
  <c r="B6" i="70"/>
  <c r="B3" i="15"/>
  <c r="B6" i="74"/>
  <c r="S24" i="31" l="1"/>
  <c r="R25" i="31"/>
  <c r="S25" i="31" s="1"/>
  <c r="N119" i="9"/>
  <c r="I118" i="9" s="1"/>
  <c r="N117" i="9"/>
  <c r="H118" i="9" s="1"/>
  <c r="I4" i="52" s="1"/>
  <c r="C35" i="9"/>
  <c r="E16" i="74"/>
  <c r="F16" i="74"/>
  <c r="B5" i="74"/>
  <c r="D6" i="74"/>
  <c r="C6" i="74"/>
  <c r="B2" i="70"/>
  <c r="B3" i="70" s="1"/>
  <c r="S22" i="31" l="1"/>
  <c r="R22" i="31" s="1"/>
  <c r="H102" i="9"/>
  <c r="D7" i="53" s="1"/>
  <c r="B21" i="72" s="1"/>
  <c r="C105" i="9"/>
  <c r="C104" i="9"/>
  <c r="H101" i="9"/>
  <c r="H4" i="52"/>
  <c r="H119" i="9"/>
  <c r="H5" i="52" s="1"/>
  <c r="M117" i="9"/>
  <c r="C34" i="9"/>
  <c r="M119" i="9"/>
  <c r="G118" i="9" s="1"/>
  <c r="F118" i="9" s="1"/>
  <c r="D5" i="74"/>
  <c r="C5" i="74"/>
  <c r="M49" i="9"/>
  <c r="B20" i="31" l="1"/>
  <c r="B21" i="31" s="1"/>
  <c r="D5" i="53"/>
  <c r="M48" i="9"/>
  <c r="H107" i="9"/>
  <c r="D45" i="9"/>
  <c r="L119" i="9"/>
  <c r="E118" i="9" s="1"/>
  <c r="L117" i="9"/>
  <c r="L67" i="9"/>
  <c r="M67" i="9" s="1"/>
  <c r="L66" i="9"/>
  <c r="M66" i="9" s="1"/>
  <c r="L65" i="9"/>
  <c r="M65" i="9" s="1"/>
  <c r="L63" i="9"/>
  <c r="M63" i="9" s="1"/>
  <c r="L68" i="9"/>
  <c r="M68" i="9" s="1"/>
  <c r="L64" i="9"/>
  <c r="M64" i="9" s="1"/>
  <c r="D55" i="9" l="1"/>
  <c r="M53" i="9" s="1"/>
  <c r="H65" i="9"/>
  <c r="H64" i="9" s="1"/>
  <c r="H63" i="9" s="1"/>
  <c r="D53" i="9" s="1"/>
  <c r="C93" i="9" s="1"/>
  <c r="C64" i="9"/>
  <c r="C63" i="9" s="1"/>
  <c r="C67" i="9" s="1"/>
  <c r="C68" i="9" s="1"/>
  <c r="D52" i="9"/>
  <c r="D13" i="53"/>
  <c r="H122" i="9"/>
  <c r="H108" i="9"/>
  <c r="D15" i="53" s="1"/>
  <c r="B31" i="72" s="1"/>
  <c r="B20" i="72"/>
  <c r="D6" i="53"/>
  <c r="B22" i="72" s="1"/>
  <c r="M69" i="9"/>
  <c r="N69" i="9" s="1"/>
  <c r="C85" i="9" l="1"/>
  <c r="D54" i="9"/>
  <c r="C72" i="9" s="1"/>
  <c r="D56" i="9" s="1"/>
  <c r="D59" i="9"/>
  <c r="M55" i="9" s="1"/>
  <c r="H123" i="9"/>
  <c r="D9" i="52" s="1"/>
  <c r="D8" i="52"/>
  <c r="B30" i="72"/>
  <c r="D14" i="53"/>
  <c r="B32" i="72" s="1"/>
  <c r="C86" i="9"/>
  <c r="D119" i="9"/>
  <c r="D5" i="52" s="1"/>
  <c r="B49" i="72" s="1"/>
  <c r="D4" i="52"/>
  <c r="B47" i="72" s="1"/>
  <c r="F119" i="9"/>
  <c r="F5" i="52" s="1"/>
  <c r="B53" i="72" s="1"/>
  <c r="F4" i="52"/>
  <c r="B51" i="72" s="1"/>
  <c r="C95" i="9" l="1"/>
  <c r="C96" i="9" s="1"/>
  <c r="E96" i="9" s="1"/>
  <c r="E97" i="9" s="1"/>
  <c r="C78" i="9"/>
  <c r="C73" i="9" s="1"/>
  <c r="C79" i="9" s="1"/>
  <c r="C80" i="9" s="1"/>
  <c r="E80" i="9" s="1"/>
  <c r="E81"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<sst xmlns="http://schemas.openxmlformats.org/spreadsheetml/2006/main" count="9255" uniqueCount="4205">
  <si>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</si>
  <si>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</si>
  <si>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</si>
  <si>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</si>
  <si>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</si>
  <si>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</si>
  <si>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</si>
  <si>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</si>
  <si>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</si>
  <si>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</si>
  <si>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</si>
  <si>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</si>
  <si>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</si>
  <si>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</si>
  <si>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</si>
  <si>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</si>
  <si>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</si>
  <si>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</si>
  <si>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</si>
  <si>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</si>
  <si>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</si>
  <si>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</si>
  <si>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</si>
  <si>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</si>
  <si>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</si>
  <si>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</si>
  <si>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</si>
  <si>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</si>
  <si>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</si>
  <si>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</si>
  <si>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</si>
  <si>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</si>
  <si>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</si>
  <si>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</si>
  <si>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</si>
  <si>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</si>
  <si>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</si>
  <si>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</si>
  <si>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</si>
  <si>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</si>
  <si>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</si>
  <si>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</si>
  <si>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</si>
  <si>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</si>
  <si>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</si>
  <si>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</si>
  <si>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</si>
  <si>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</si>
  <si>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</si>
  <si>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</si>
  <si>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</si>
  <si>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</si>
  <si>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</si>
  <si>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</si>
  <si>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</si>
  <si>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</si>
  <si>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</si>
  <si>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</si>
  <si>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</si>
  <si>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</si>
  <si>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</si>
  <si>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</si>
  <si>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</si>
  <si>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</si>
  <si>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</si>
  <si>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</si>
  <si>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</si>
  <si>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</si>
  <si>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</si>
  <si>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</si>
  <si>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</si>
  <si>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</si>
  <si>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</si>
  <si>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</si>
  <si>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</si>
  <si>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</si>
  <si>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</si>
  <si>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</si>
  <si>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</si>
  <si>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</si>
  <si>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</si>
  <si>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</si>
  <si>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</si>
  <si>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</si>
  <si>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</si>
  <si>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</si>
  <si>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</si>
  <si>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</si>
  <si>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</si>
  <si>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</si>
  <si>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</si>
  <si>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</si>
  <si>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</si>
  <si>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</si>
  <si>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</si>
  <si>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</si>
  <si>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</si>
  <si>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</si>
  <si>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</si>
  <si>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</si>
  <si>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</si>
  <si>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</si>
  <si>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</si>
  <si>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</si>
  <si>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</si>
  <si>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</si>
  <si>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</si>
  <si>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</si>
  <si>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</si>
  <si>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</si>
  <si>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</si>
  <si>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</si>
  <si>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</si>
  <si>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</si>
  <si>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</si>
  <si>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</si>
  <si>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</si>
  <si>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</si>
  <si>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</si>
  <si>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</si>
  <si>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</si>
  <si>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</si>
  <si>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</si>
  <si>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</si>
  <si>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</si>
  <si>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</si>
  <si>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</si>
  <si>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</si>
  <si>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</si>
  <si>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</si>
  <si>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</si>
  <si>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</si>
  <si>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</si>
  <si>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</si>
  <si>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</si>
  <si>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</si>
  <si>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</si>
  <si>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</si>
  <si>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</si>
  <si>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</si>
  <si>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</si>
  <si>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</si>
  <si>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</si>
  <si>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</si>
  <si>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</si>
  <si>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</si>
  <si>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</si>
  <si>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</si>
  <si>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</si>
  <si>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</si>
  <si>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</si>
  <si>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</si>
  <si>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</si>
  <si>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</si>
  <si>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</si>
  <si>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</si>
  <si>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</si>
  <si>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</si>
  <si>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</si>
  <si>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</si>
  <si>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</si>
  <si>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</si>
  <si>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</si>
  <si>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</si>
  <si>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</si>
  <si>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</si>
  <si>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</si>
  <si>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</si>
  <si>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</si>
  <si>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</si>
  <si>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</si>
  <si>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</si>
  <si>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</si>
  <si>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</si>
  <si>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</si>
  <si>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</si>
  <si>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</si>
  <si>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</si>
  <si>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</si>
  <si>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</si>
  <si>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</si>
  <si>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</si>
  <si>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</si>
  <si>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</si>
  <si>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</si>
  <si>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</si>
  <si>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</si>
  <si>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</si>
  <si>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</si>
  <si>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</si>
  <si>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</si>
  <si>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</si>
  <si>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</si>
  <si>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</si>
  <si>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</si>
  <si>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</si>
  <si>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</si>
  <si>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</si>
  <si>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</si>
  <si>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</si>
  <si>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</si>
  <si>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</si>
  <si>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</si>
  <si>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</si>
  <si>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</si>
  <si>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</si>
  <si>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</si>
  <si>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</si>
  <si>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</si>
  <si>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</si>
  <si>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</si>
  <si>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</si>
  <si>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</si>
  <si>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</si>
  <si>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</si>
  <si>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</si>
  <si>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</si>
  <si>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</si>
  <si>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</si>
  <si>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</si>
  <si>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</si>
  <si>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</si>
  <si>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</si>
  <si>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</si>
  <si>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</si>
  <si>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</si>
  <si>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</si>
  <si>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</si>
  <si>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</si>
  <si>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</si>
  <si>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</si>
  <si>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</si>
  <si>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</si>
  <si>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</si>
  <si>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</si>
  <si>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</si>
  <si>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</si>
  <si>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</si>
  <si>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</si>
  <si>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</si>
  <si>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</si>
  <si>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</si>
  <si>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</si>
  <si>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</si>
  <si>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</si>
  <si>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</si>
  <si>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</si>
  <si>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</si>
  <si>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</si>
  <si>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</si>
  <si>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</si>
  <si>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</si>
  <si>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</si>
  <si>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</si>
  <si>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</si>
  <si>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</si>
  <si>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</si>
  <si>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</si>
  <si>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</si>
  <si>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</si>
  <si>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</si>
  <si>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</si>
  <si>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</si>
  <si>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</si>
  <si>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</si>
  <si>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</si>
  <si>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</si>
  <si>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</si>
  <si>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</si>
  <si>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</si>
  <si>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</si>
  <si>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</si>
  <si>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</si>
  <si>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</si>
  <si>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</si>
  <si>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</si>
  <si>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</si>
  <si>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</si>
  <si>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</si>
  <si>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</si>
  <si>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</si>
  <si>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</si>
  <si>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</si>
  <si>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</si>
  <si>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</si>
  <si>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</si>
  <si>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</si>
  <si>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</si>
  <si>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</si>
  <si>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</si>
  <si>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</si>
  <si>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</si>
  <si>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</si>
  <si>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</si>
  <si>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</si>
  <si>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</si>
  <si>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</si>
  <si>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</si>
  <si>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</si>
  <si>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</si>
  <si>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</si>
  <si>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</si>
  <si>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</si>
  <si>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</si>
  <si>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</si>
  <si>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</si>
  <si>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</si>
  <si>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</si>
  <si>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</si>
  <si>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</si>
  <si>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</si>
  <si>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</si>
  <si>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</si>
  <si>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</si>
  <si>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</si>
  <si>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</si>
  <si>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</si>
  <si>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</si>
  <si>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</si>
  <si>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</si>
  <si>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</si>
  <si>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</si>
  <si>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</si>
  <si>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</si>
  <si>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</si>
  <si>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</si>
  <si>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</si>
  <si>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</si>
  <si>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</si>
  <si>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</si>
  <si>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</si>
  <si>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</si>
  <si>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</si>
  <si>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</si>
  <si>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</si>
  <si>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</si>
  <si>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</si>
  <si>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</si>
  <si>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</si>
  <si>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</si>
  <si>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</si>
  <si>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</si>
  <si>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</si>
  <si>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</si>
  <si>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</si>
  <si>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</si>
  <si>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</si>
  <si>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</si>
  <si>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</si>
  <si>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</si>
  <si>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</si>
  <si>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</si>
  <si>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</si>
  <si>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</si>
  <si>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</si>
  <si>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</si>
  <si>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</si>
  <si>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</si>
  <si>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</si>
  <si>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</si>
  <si>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</si>
  <si>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</si>
  <si>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</si>
  <si>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</si>
  <si>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</si>
  <si>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</si>
  <si>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</si>
  <si>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</si>
  <si>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</si>
  <si>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</si>
  <si>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</si>
  <si>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</si>
  <si>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</si>
  <si>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</si>
  <si>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</si>
  <si>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</si>
  <si>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</si>
  <si>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</si>
  <si>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</si>
  <si>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</si>
  <si>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</si>
  <si>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</si>
  <si>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</si>
  <si>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</si>
  <si>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</si>
  <si>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</si>
  <si>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</si>
  <si>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</si>
  <si>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</si>
  <si>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</si>
  <si>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</si>
  <si>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</si>
  <si>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</si>
  <si>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</si>
  <si>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</si>
  <si>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</si>
  <si>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</si>
  <si>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</si>
  <si>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</si>
  <si>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</si>
  <si>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</si>
  <si>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</si>
  <si>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</si>
  <si>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</si>
  <si>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</si>
  <si>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</si>
  <si>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</si>
  <si>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</si>
  <si>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</si>
  <si>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</si>
  <si>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</si>
  <si>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</si>
  <si>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</si>
  <si>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</si>
  <si>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</si>
  <si>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</si>
  <si>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</si>
  <si>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</si>
  <si>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</si>
  <si>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</si>
  <si>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</si>
  <si>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</si>
  <si>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</si>
  <si>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</si>
  <si>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</si>
  <si>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</si>
  <si>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</si>
  <si>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</si>
  <si>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</si>
  <si>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</si>
  <si>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</si>
  <si>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</si>
  <si>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</si>
  <si>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</si>
  <si>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</si>
  <si>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</si>
  <si>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</si>
  <si>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</si>
  <si>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</si>
  <si>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</si>
  <si>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</si>
  <si>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</si>
  <si>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</si>
  <si>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</si>
  <si>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</si>
  <si>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</si>
  <si>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</si>
  <si>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</si>
  <si>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</si>
  <si>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</si>
  <si>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</si>
  <si>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</si>
  <si>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</si>
  <si>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</si>
  <si>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</si>
  <si>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</si>
  <si>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</si>
  <si>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</si>
  <si>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</si>
  <si>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</si>
  <si>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</si>
  <si>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</si>
  <si>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</si>
  <si>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</si>
  <si>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</si>
  <si>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</si>
  <si>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</si>
  <si>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</si>
  <si>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</si>
  <si>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</si>
  <si>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</si>
  <si>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</si>
  <si>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</si>
  <si>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</si>
  <si>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</si>
  <si>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</si>
  <si>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</si>
  <si>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</si>
  <si>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</si>
  <si>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</si>
  <si>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</si>
  <si>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</si>
  <si>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</si>
  <si>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</si>
  <si>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</si>
  <si>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</si>
  <si>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</si>
  <si>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</si>
  <si>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</si>
  <si>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</si>
  <si>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</si>
  <si>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</si>
  <si>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</si>
  <si>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</si>
  <si>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</si>
  <si>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</si>
  <si>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</si>
  <si>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</si>
  <si>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</si>
  <si>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</si>
  <si>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</si>
  <si>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</si>
  <si>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</si>
  <si>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</si>
  <si>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</si>
  <si>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</si>
  <si>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</si>
  <si>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</si>
  <si>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</si>
  <si>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</si>
  <si>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</si>
  <si>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</si>
  <si>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</si>
  <si>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</si>
  <si>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</si>
  <si>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</si>
  <si>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</si>
  <si>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</si>
  <si>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</si>
  <si>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</si>
  <si>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</si>
  <si>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</si>
  <si>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</si>
  <si>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</si>
  <si>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</si>
  <si>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</si>
  <si>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</si>
  <si>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</si>
  <si>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</si>
  <si>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</si>
  <si>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</si>
  <si>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</si>
  <si>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</si>
  <si>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</si>
  <si>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</si>
  <si>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</si>
  <si>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</si>
  <si>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</si>
  <si>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</si>
  <si>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</si>
  <si>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</si>
  <si>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</si>
  <si>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</si>
  <si>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</si>
  <si>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</si>
  <si>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</si>
  <si>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</si>
  <si>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</si>
  <si>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</si>
  <si>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</si>
  <si>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</si>
  <si>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</si>
  <si>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</si>
  <si>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</si>
  <si>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</si>
  <si>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</si>
  <si>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</si>
  <si>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</si>
  <si>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</si>
  <si>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</si>
  <si>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</si>
  <si>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</si>
  <si>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</si>
  <si>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</si>
  <si>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</si>
  <si>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</si>
  <si>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</si>
  <si>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</si>
  <si>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</si>
  <si>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</si>
  <si>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</si>
  <si>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</si>
  <si>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</si>
  <si>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</si>
  <si>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</si>
  <si>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</si>
  <si>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</si>
  <si>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</si>
  <si>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</si>
  <si>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</si>
  <si>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</si>
  <si>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</si>
  <si>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</si>
  <si>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</si>
  <si>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</si>
  <si>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</si>
  <si>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</si>
  <si>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</si>
  <si>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</si>
  <si>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</si>
  <si>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</si>
  <si>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</si>
  <si>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</si>
  <si>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</si>
  <si>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</si>
  <si>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</si>
  <si>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</si>
  <si>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</si>
  <si>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</si>
  <si>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</si>
  <si>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</si>
  <si>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</si>
  <si>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</si>
  <si>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</si>
  <si>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</si>
  <si>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</si>
  <si>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</si>
  <si>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</si>
  <si>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</si>
  <si>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</si>
  <si>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</si>
  <si>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</si>
  <si>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</si>
  <si>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</si>
  <si>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</si>
  <si>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</si>
  <si>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</si>
  <si>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</si>
  <si>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</si>
  <si>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</si>
  <si>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</si>
  <si>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</si>
  <si>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</si>
  <si>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</si>
  <si>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</si>
  <si>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</si>
  <si>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</si>
  <si>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</si>
  <si>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</si>
  <si>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</si>
  <si>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</si>
  <si>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</si>
  <si>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</si>
  <si>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</si>
  <si>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</si>
  <si>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</si>
  <si>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</si>
  <si>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</si>
  <si>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</si>
  <si>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</si>
  <si>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</si>
  <si>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</si>
  <si>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</si>
  <si>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</si>
  <si>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</si>
  <si>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</si>
  <si>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</si>
  <si>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</si>
  <si>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</si>
  <si>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</si>
  <si>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</si>
  <si>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</si>
  <si>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</si>
  <si>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</si>
  <si>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</si>
  <si>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</si>
  <si>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</si>
  <si>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</si>
  <si>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</si>
  <si>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</si>
  <si>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</si>
  <si>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</si>
  <si>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</si>
  <si>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</si>
  <si>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</si>
  <si>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</si>
  <si>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</si>
  <si>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</si>
  <si>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</si>
  <si>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</si>
  <si>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</si>
  <si>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</si>
  <si>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</si>
  <si>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</si>
  <si>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</si>
  <si>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</si>
  <si>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</si>
  <si>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</si>
  <si>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</si>
  <si>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</si>
  <si>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</si>
  <si>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</si>
  <si>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</si>
  <si>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</si>
  <si>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</si>
  <si>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</si>
  <si>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</si>
  <si>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</si>
  <si>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</si>
  <si>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</si>
  <si>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</si>
  <si>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</si>
  <si>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</si>
  <si>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</si>
  <si>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</si>
  <si>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</si>
  <si>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</si>
  <si>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</si>
  <si>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</si>
  <si>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</si>
  <si>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</si>
  <si>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</si>
  <si>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</si>
  <si>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</si>
  <si>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</si>
  <si>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</si>
  <si>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</si>
  <si>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</si>
  <si>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</si>
  <si>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</si>
  <si>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</si>
  <si>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</si>
  <si>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</si>
  <si>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</si>
  <si>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</si>
  <si>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</si>
  <si>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</si>
  <si>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</si>
  <si>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</si>
  <si>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</si>
  <si>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</si>
  <si>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</si>
  <si>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</si>
  <si>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</si>
  <si>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</si>
  <si>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</si>
  <si>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</si>
  <si>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</si>
  <si>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</si>
  <si>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</si>
  <si>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</si>
  <si>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</si>
  <si>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</si>
  <si>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</si>
  <si>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</si>
  <si>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</si>
  <si>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</si>
  <si>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</si>
  <si>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</si>
  <si>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</si>
  <si>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</si>
  <si>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</si>
  <si>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</si>
  <si>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</si>
  <si>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</si>
  <si>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</si>
  <si>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</si>
  <si>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</si>
  <si>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</si>
  <si>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</si>
  <si>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</si>
  <si>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</si>
  <si>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</si>
  <si>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</si>
  <si>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</si>
  <si>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</si>
  <si>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</si>
  <si>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</si>
  <si>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</si>
  <si>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</si>
  <si>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</si>
  <si>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</si>
  <si>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</si>
  <si>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</si>
  <si>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</si>
  <si>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</si>
  <si>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</si>
  <si>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</si>
  <si>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</si>
  <si>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</si>
  <si>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</si>
  <si>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</si>
  <si>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</si>
  <si>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</si>
  <si>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</si>
  <si>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</si>
  <si>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</si>
  <si>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</si>
  <si>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</si>
  <si>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</si>
  <si>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</si>
  <si>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</si>
  <si>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</si>
  <si>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</si>
  <si>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</si>
  <si>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</si>
  <si>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</si>
  <si>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</si>
  <si>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</si>
  <si>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</si>
  <si>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</si>
  <si>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</si>
  <si>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</si>
  <si>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</si>
  <si>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</si>
  <si>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</si>
  <si>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</si>
  <si>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</si>
  <si>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</si>
  <si>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</si>
  <si>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</si>
  <si>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</si>
  <si>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</si>
  <si>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</si>
  <si>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</si>
  <si>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</si>
  <si>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</si>
  <si>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</si>
  <si>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</si>
  <si>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</si>
  <si>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</si>
  <si>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</si>
  <si>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</si>
  <si>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</si>
  <si>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</si>
  <si>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</si>
  <si>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</si>
  <si>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</si>
  <si>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</si>
  <si>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</si>
  <si>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</si>
  <si>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</si>
  <si>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</si>
  <si>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</si>
  <si>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</si>
  <si>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</si>
  <si>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</si>
  <si>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</si>
  <si>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</si>
  <si>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</si>
  <si>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</si>
  <si>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</si>
  <si>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</si>
  <si>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</si>
  <si>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</si>
  <si>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</si>
  <si>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</si>
  <si>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</si>
  <si>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</si>
  <si>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</si>
  <si>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</si>
  <si>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</si>
  <si>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</si>
  <si>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</si>
  <si>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</si>
  <si>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</si>
  <si>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</si>
  <si>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</si>
  <si>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</si>
  <si>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</si>
  <si>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</si>
  <si>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</si>
  <si>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</si>
  <si>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</si>
  <si>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</si>
  <si>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</si>
  <si>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</si>
  <si>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</si>
  <si>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</si>
  <si>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</si>
  <si>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</si>
  <si>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</si>
  <si>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</si>
  <si>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</si>
  <si>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</si>
  <si>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</si>
  <si>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</si>
  <si>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</si>
  <si>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</si>
  <si>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</si>
  <si>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</si>
  <si>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</si>
  <si>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</si>
  <si>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</si>
  <si>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</si>
  <si>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</si>
  <si>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</si>
  <si>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</si>
  <si>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</si>
  <si>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</si>
  <si>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</si>
  <si>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</si>
  <si>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</si>
  <si>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</si>
  <si>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</si>
  <si>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</si>
  <si>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</si>
  <si>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</si>
  <si>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</si>
  <si>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</si>
  <si>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</si>
  <si>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</si>
  <si>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</si>
  <si>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</si>
  <si>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</si>
  <si>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</si>
  <si>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</si>
  <si>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</si>
  <si>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</si>
  <si>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</si>
  <si>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</si>
  <si>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</si>
  <si>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</si>
  <si>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</si>
  <si>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</si>
  <si>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</si>
  <si>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</si>
  <si>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</si>
  <si>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</si>
  <si>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</si>
  <si>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</si>
  <si>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</si>
  <si>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</si>
  <si>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</si>
  <si>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</si>
  <si>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</si>
  <si>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</si>
  <si>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</si>
  <si>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</si>
  <si>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</si>
  <si>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</si>
  <si>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</si>
  <si>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</si>
  <si>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</si>
  <si>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</si>
  <si>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</si>
  <si>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</si>
  <si>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</si>
  <si>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</si>
  <si>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</si>
  <si>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</si>
  <si>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</si>
  <si>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</si>
  <si>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</si>
  <si>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</si>
  <si>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</si>
  <si>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</si>
  <si>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</si>
  <si>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</si>
  <si>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</si>
  <si>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</si>
  <si>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</si>
  <si>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</si>
  <si>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</si>
  <si>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</si>
  <si>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</si>
  <si>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</si>
  <si>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</si>
  <si>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</si>
  <si>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</si>
  <si>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</si>
  <si>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</si>
  <si>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</si>
  <si>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</si>
  <si>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</si>
  <si>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</si>
  <si>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</si>
  <si>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</si>
  <si>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</si>
  <si>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</si>
  <si>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</si>
  <si>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</si>
  <si>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</si>
  <si>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</si>
  <si>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</si>
  <si>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</si>
  <si>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</si>
  <si>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</si>
  <si>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</si>
  <si>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</si>
  <si>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</si>
  <si>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</si>
  <si>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</si>
  <si>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</si>
  <si>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</si>
  <si>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</si>
  <si>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</si>
  <si>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</si>
  <si>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</si>
  <si>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</si>
  <si>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</si>
  <si>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</si>
  <si>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</si>
  <si>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</si>
  <si>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</si>
  <si>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</si>
  <si>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</si>
  <si>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</si>
  <si>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</si>
  <si>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</si>
  <si>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</si>
  <si>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</si>
  <si>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</si>
  <si>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</si>
  <si>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</si>
  <si>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</si>
  <si>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</si>
  <si>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</si>
  <si>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</si>
  <si>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</si>
  <si>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</si>
  <si>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</si>
  <si>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</si>
  <si>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</si>
  <si>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</si>
  <si>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</si>
  <si>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</si>
  <si>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</si>
  <si>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</si>
  <si>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</si>
  <si>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</si>
  <si>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</si>
  <si>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</si>
  <si>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</si>
  <si>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</si>
  <si>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</si>
  <si>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</si>
  <si>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</si>
  <si>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</si>
  <si>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</si>
  <si>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</si>
  <si>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</si>
  <si>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</si>
  <si>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</si>
  <si>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</si>
  <si>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</si>
  <si>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</si>
  <si>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</si>
  <si>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</si>
  <si>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</si>
  <si>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</si>
  <si>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</si>
  <si>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</si>
  <si>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</si>
  <si>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</si>
  <si>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</si>
  <si>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</si>
  <si>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</si>
  <si>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</si>
  <si>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</si>
  <si>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</si>
  <si>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</si>
  <si>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</si>
  <si>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</si>
  <si>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</si>
  <si>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</si>
  <si>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</si>
  <si>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</si>
  <si>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</si>
  <si>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</si>
  <si>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</si>
  <si>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</si>
  <si>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</si>
  <si>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</si>
  <si>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</si>
  <si>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</si>
  <si>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</si>
  <si>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</si>
  <si>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</si>
  <si>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</si>
  <si>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</si>
  <si>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</si>
  <si>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</si>
  <si>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</si>
  <si>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</si>
  <si>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</si>
  <si>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</si>
  <si>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</si>
  <si>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</si>
  <si>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</si>
  <si>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</si>
  <si>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</si>
  <si>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</si>
  <si>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</si>
  <si>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</si>
  <si>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</si>
  <si>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</si>
  <si>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</si>
  <si>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</si>
  <si>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</si>
  <si>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</si>
  <si>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</si>
  <si>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</si>
  <si>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</si>
  <si>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</si>
  <si>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</si>
  <si>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</si>
  <si>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</si>
  <si>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</si>
  <si>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</si>
  <si>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</si>
  <si>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</si>
  <si>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</si>
  <si>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</si>
  <si>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</si>
  <si>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</si>
  <si>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</si>
  <si>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</si>
  <si>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</si>
  <si>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</si>
  <si>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</si>
  <si>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</si>
  <si>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</si>
  <si>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</si>
  <si>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</si>
  <si>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</si>
  <si>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</si>
  <si>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</si>
  <si>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</si>
  <si>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</si>
  <si>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</si>
  <si>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</si>
  <si>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</si>
  <si>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</si>
  <si>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</si>
  <si>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</si>
  <si>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</si>
  <si>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</si>
  <si>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</si>
  <si>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</si>
  <si>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</si>
  <si>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</si>
  <si>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</si>
  <si>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</si>
  <si>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</si>
  <si>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</si>
  <si>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</si>
  <si>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</si>
  <si>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</si>
  <si>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</si>
  <si>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</si>
  <si>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</si>
  <si>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</si>
  <si>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</si>
  <si>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</si>
  <si>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</si>
  <si>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</si>
  <si>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</si>
  <si>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</si>
  <si>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</si>
  <si>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</si>
  <si>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</si>
  <si>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</si>
  <si>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</si>
  <si>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</si>
  <si>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</si>
  <si>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</si>
  <si>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</si>
  <si>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</si>
  <si>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</si>
  <si>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</si>
  <si>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</si>
  <si>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</si>
  <si>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</si>
  <si>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</si>
  <si>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</si>
  <si>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</si>
  <si>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</si>
  <si>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</si>
  <si>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</si>
  <si>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</si>
  <si>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</si>
  <si>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</si>
  <si>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</si>
  <si>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</si>
  <si>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</si>
  <si>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</si>
  <si>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</si>
  <si>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</si>
  <si>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</si>
  <si>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</si>
  <si>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</si>
  <si>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</si>
  <si>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</si>
  <si>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</si>
  <si>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</si>
  <si>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</si>
  <si>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</si>
  <si>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</si>
  <si>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</si>
  <si>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</si>
  <si>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</si>
  <si>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</si>
  <si>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</si>
  <si>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</si>
  <si>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</si>
  <si>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</si>
  <si>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</si>
  <si>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</si>
  <si>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</si>
  <si>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</si>
  <si>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</si>
  <si>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</si>
  <si>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</si>
  <si>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</si>
  <si>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</si>
  <si>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</si>
  <si>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</si>
  <si>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</si>
  <si>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</si>
  <si>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</si>
  <si>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</si>
  <si>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</si>
  <si>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</si>
  <si>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</si>
  <si>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</si>
  <si>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</si>
  <si>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</si>
  <si>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</si>
  <si>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</si>
  <si>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</si>
  <si>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</si>
  <si>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</si>
  <si>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</si>
  <si>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</si>
  <si>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</si>
  <si>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</si>
  <si>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</si>
  <si>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</si>
  <si>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</si>
  <si>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</si>
  <si>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</si>
  <si>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</si>
  <si>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</si>
  <si>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</si>
  <si>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</si>
  <si>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</si>
  <si>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</si>
  <si>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</si>
  <si>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</si>
  <si>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</si>
  <si>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</si>
  <si>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</si>
  <si>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</si>
  <si>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</si>
  <si>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</si>
  <si>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</si>
  <si>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</si>
  <si>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</si>
  <si>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</si>
  <si>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</si>
  <si>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</si>
  <si>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</si>
  <si>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</si>
  <si>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</si>
  <si>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</si>
  <si>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</si>
  <si>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</si>
  <si>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</si>
  <si>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</si>
  <si>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</si>
  <si>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</si>
  <si>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</si>
  <si>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</si>
  <si>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</si>
  <si>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</si>
  <si>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</si>
  <si>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</si>
  <si>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</si>
  <si>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</si>
  <si>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</si>
  <si>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</si>
  <si>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</si>
  <si>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</si>
  <si>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</si>
  <si>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</si>
  <si>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</si>
  <si>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</si>
  <si>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</si>
  <si>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</si>
  <si>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</si>
  <si>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</si>
  <si>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</si>
  <si>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</si>
  <si>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</si>
  <si>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</si>
  <si>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</si>
  <si>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</si>
  <si>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</si>
  <si>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</si>
  <si>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</si>
  <si>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</si>
  <si>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</si>
  <si>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</si>
  <si>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</si>
  <si>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</si>
  <si>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</si>
  <si>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</si>
  <si>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</si>
  <si>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</si>
  <si>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</si>
  <si>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</si>
  <si>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</si>
  <si>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</si>
  <si>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</si>
  <si>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</si>
  <si>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</si>
  <si>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</si>
  <si>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</si>
  <si>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</si>
  <si>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</si>
  <si>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</si>
  <si>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</si>
  <si>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</si>
  <si>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</si>
  <si>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</si>
  <si>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</si>
  <si>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</si>
  <si>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</si>
  <si>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</si>
  <si>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</si>
  <si>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</si>
  <si>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</si>
  <si>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</si>
  <si>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</si>
  <si>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</si>
  <si>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</si>
  <si>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</si>
  <si>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</si>
  <si>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</si>
  <si>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</si>
  <si>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</si>
  <si>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</si>
  <si>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</si>
  <si>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</si>
  <si>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</si>
  <si>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</si>
  <si>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</si>
  <si>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</si>
  <si>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</si>
  <si>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</si>
  <si>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</si>
  <si>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</si>
  <si>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</si>
  <si>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</si>
  <si>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</si>
  <si>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</si>
  <si>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</si>
  <si>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</si>
  <si>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</si>
  <si>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</si>
  <si>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</si>
  <si>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</si>
  <si>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</si>
  <si>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</si>
  <si>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</si>
  <si>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</si>
  <si>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</si>
  <si>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</si>
  <si>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</si>
  <si>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</si>
  <si>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</si>
  <si>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</si>
  <si>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</si>
  <si>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</si>
  <si>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</si>
  <si>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</si>
  <si>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</si>
  <si>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</si>
  <si>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</si>
  <si>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</si>
  <si>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</si>
  <si>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</si>
  <si>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</si>
  <si>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</si>
  <si>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</si>
  <si>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</si>
  <si>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</si>
  <si>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</si>
  <si>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</si>
  <si>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</si>
  <si>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</si>
  <si>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</si>
  <si>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</si>
  <si>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</si>
  <si>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</si>
  <si>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</si>
  <si>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</si>
  <si>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</si>
  <si>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</si>
  <si>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</si>
  <si>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</si>
  <si>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</si>
  <si>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</si>
  <si>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</si>
  <si>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</si>
  <si>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</si>
  <si>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</si>
  <si>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</si>
  <si>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</si>
  <si>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</si>
  <si>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</si>
  <si>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</si>
  <si>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</si>
  <si>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</si>
  <si>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</si>
  <si>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</si>
  <si>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</si>
  <si>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</si>
  <si>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</si>
  <si>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</si>
  <si>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</si>
  <si>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</si>
  <si>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</si>
  <si>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</si>
  <si>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</si>
  <si>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</si>
  <si>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</si>
  <si>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</si>
  <si>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</si>
  <si>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</si>
  <si>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</si>
  <si>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</si>
  <si>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</si>
  <si>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</si>
  <si>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</si>
  <si>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</si>
  <si>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</si>
  <si>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</si>
  <si>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</si>
  <si>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</si>
  <si>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</si>
  <si>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</si>
  <si>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</si>
  <si>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</si>
  <si>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</si>
  <si>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</si>
  <si>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</si>
  <si>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</si>
  <si>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</si>
  <si>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</si>
  <si>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</si>
  <si>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</si>
  <si>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</si>
  <si>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</si>
  <si>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</si>
  <si>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</si>
  <si>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</si>
  <si>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</si>
  <si>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</si>
  <si>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</si>
  <si>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</si>
  <si>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</si>
  <si>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</si>
  <si>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</si>
  <si>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</si>
  <si>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</si>
  <si>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</si>
  <si>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</si>
  <si>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</si>
  <si>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</si>
  <si>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</si>
  <si>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</si>
  <si>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</si>
  <si>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</si>
  <si>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</si>
  <si>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</si>
  <si>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</si>
  <si>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</si>
  <si>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</si>
  <si>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</si>
  <si>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</si>
  <si>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</si>
  <si>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</si>
  <si>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</si>
  <si>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</si>
  <si>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</si>
  <si>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</si>
  <si>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</si>
  <si>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</si>
  <si>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</si>
  <si>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</si>
  <si>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</si>
  <si>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</si>
  <si>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</si>
  <si>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</si>
  <si>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</si>
  <si>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</si>
  <si>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</si>
  <si>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</si>
  <si>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</si>
  <si>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</si>
  <si>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</si>
  <si>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</si>
  <si>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</si>
  <si>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</si>
  <si>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</si>
  <si>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</si>
  <si>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</si>
  <si>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</si>
  <si>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</si>
  <si>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</si>
  <si>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</si>
  <si>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</si>
  <si>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</si>
  <si>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</si>
  <si>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</si>
  <si>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</si>
  <si>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</si>
  <si>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</si>
  <si>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</si>
  <si>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</si>
  <si>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</si>
  <si>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</si>
  <si>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</si>
  <si>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</si>
  <si>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</si>
  <si>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</si>
  <si>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</si>
  <si>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</si>
  <si>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</si>
  <si>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</si>
  <si>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</si>
  <si>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</si>
  <si>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</si>
  <si>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</si>
  <si>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</si>
  <si>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</si>
  <si>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</si>
  <si>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</si>
  <si>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</si>
  <si>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</si>
  <si>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</si>
  <si>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</si>
  <si>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</si>
  <si>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</si>
  <si>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</si>
  <si>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</si>
  <si>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</si>
  <si>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</si>
  <si>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</si>
  <si>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</si>
  <si>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</si>
  <si>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</si>
  <si>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</si>
  <si>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</si>
  <si>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</si>
  <si>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</si>
  <si>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</si>
  <si>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</si>
  <si>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</si>
  <si>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</si>
  <si>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</si>
  <si>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</si>
  <si>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</si>
  <si>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</si>
  <si>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</si>
  <si>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</si>
  <si>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</si>
  <si>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</si>
  <si>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</si>
  <si>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</si>
  <si>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</si>
  <si>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</si>
  <si>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</si>
  <si>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</si>
  <si>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</si>
  <si>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</si>
  <si>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</si>
  <si>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</si>
  <si>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</si>
  <si>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</si>
  <si>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</si>
  <si>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</si>
  <si>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</si>
  <si>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</si>
  <si>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</si>
  <si>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</si>
  <si>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</si>
  <si>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</si>
  <si>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</si>
  <si>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</si>
  <si>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</si>
  <si>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</si>
  <si>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</si>
  <si>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</si>
  <si>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</si>
  <si>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</si>
  <si>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</si>
  <si>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</si>
  <si>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</si>
  <si>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</si>
  <si>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</si>
  <si>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</si>
  <si>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</si>
  <si>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</si>
  <si>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</si>
  <si>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</si>
  <si>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</si>
  <si>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</si>
  <si>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</si>
  <si>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</si>
  <si>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</si>
  <si>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</si>
  <si>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</si>
  <si>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</si>
  <si>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</si>
  <si>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</si>
  <si>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</si>
  <si>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</si>
  <si>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</si>
  <si>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</si>
  <si>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</si>
  <si>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</si>
  <si>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</si>
  <si>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</si>
  <si>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</si>
  <si>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</si>
  <si>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</si>
  <si>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</si>
  <si>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</si>
  <si>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</si>
  <si>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</si>
  <si>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</si>
  <si>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</si>
  <si>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</si>
  <si>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</si>
  <si>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</si>
  <si>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</si>
  <si>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</si>
  <si>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</si>
  <si>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</si>
  <si>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</si>
  <si>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</si>
  <si>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</si>
  <si>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</si>
  <si>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</si>
  <si>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</si>
  <si>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</si>
  <si>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</si>
  <si>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</si>
  <si>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</si>
  <si>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</si>
  <si>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</si>
  <si>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</si>
  <si>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</si>
  <si>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</si>
  <si>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</si>
  <si>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</si>
  <si>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</si>
  <si>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</si>
  <si>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</si>
  <si>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</si>
  <si>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</si>
  <si>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</si>
  <si>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</si>
  <si>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</si>
  <si>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</si>
  <si>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</si>
  <si>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</si>
  <si>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</si>
  <si>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</si>
  <si>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</si>
  <si>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</si>
  <si>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</si>
  <si>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</si>
  <si>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</si>
  <si>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</si>
  <si>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</si>
  <si>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</si>
  <si>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</si>
  <si>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</si>
  <si>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</si>
  <si>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</si>
  <si>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</si>
  <si>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</si>
  <si>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</si>
  <si>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</si>
  <si>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</si>
  <si>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</si>
  <si>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</si>
  <si>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</si>
  <si>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</si>
  <si>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</si>
  <si>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</si>
  <si>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</si>
  <si>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</si>
  <si>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</si>
  <si>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</si>
  <si>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</si>
  <si>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</si>
  <si>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</si>
  <si>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</si>
  <si>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</si>
  <si>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</si>
  <si>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</si>
  <si>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</si>
  <si>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</si>
  <si>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</si>
  <si>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</si>
  <si>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</si>
  <si>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</si>
  <si>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</si>
  <si>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</si>
  <si>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</si>
  <si>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</si>
  <si>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</si>
  <si>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</si>
  <si>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</si>
  <si>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</si>
  <si>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</si>
  <si>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</si>
  <si>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</si>
  <si>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</si>
  <si>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</si>
  <si>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</si>
  <si>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</si>
  <si>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</si>
  <si>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</si>
  <si>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</si>
  <si>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</si>
  <si>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</si>
  <si>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</si>
  <si>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</si>
  <si>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</si>
  <si>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</si>
  <si>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</si>
  <si>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</si>
  <si>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</si>
  <si>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</si>
  <si>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</si>
  <si>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</si>
  <si>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</si>
  <si>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</si>
  <si>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</si>
  <si>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</si>
  <si>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</si>
  <si>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</si>
  <si>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</si>
  <si>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</si>
  <si>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</si>
  <si>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</si>
  <si>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</si>
  <si>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</si>
  <si>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</si>
  <si>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</si>
  <si>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</si>
  <si>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</si>
  <si>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</si>
  <si>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</si>
  <si>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</si>
  <si>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</si>
  <si>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</si>
  <si>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</si>
  <si>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</si>
  <si>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</si>
  <si>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</si>
  <si>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</si>
  <si>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</si>
  <si>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</si>
  <si>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</si>
  <si>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</si>
  <si>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</si>
  <si>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</si>
  <si>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</si>
  <si>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</si>
  <si>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</si>
  <si>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</si>
  <si>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</si>
  <si>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</si>
  <si>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</si>
  <si>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</si>
  <si>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</si>
  <si>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</si>
  <si>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</si>
  <si>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</si>
  <si>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</si>
  <si>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</si>
  <si>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</si>
  <si>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</si>
  <si>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</si>
  <si>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</si>
  <si>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</si>
  <si>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</si>
  <si>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</si>
  <si>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</si>
  <si>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</si>
  <si>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</si>
  <si>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</si>
  <si>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</si>
  <si>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</si>
  <si>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</si>
  <si>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</si>
  <si>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</si>
  <si>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</si>
  <si>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</si>
  <si>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</si>
  <si>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</si>
  <si>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</si>
  <si>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</si>
  <si>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</si>
  <si>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</si>
  <si>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</si>
  <si>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</si>
  <si>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</si>
  <si>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</si>
  <si>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</si>
  <si>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</si>
  <si>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</si>
  <si>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</si>
  <si>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</si>
  <si>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</si>
  <si>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</si>
  <si>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</si>
  <si>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</si>
  <si>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</si>
  <si>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</si>
  <si>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</si>
  <si>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</si>
  <si>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</si>
  <si>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</si>
  <si>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</si>
  <si>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</si>
  <si>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</si>
  <si>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</si>
  <si>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</si>
  <si>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</si>
  <si>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</si>
  <si>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</si>
  <si>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</si>
  <si>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</si>
  <si>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</si>
  <si>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</si>
  <si>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</si>
  <si>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</si>
  <si>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</si>
  <si>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</si>
  <si>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</si>
  <si>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</si>
  <si>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</si>
  <si>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</si>
  <si>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</si>
  <si>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</si>
  <si>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</si>
  <si>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</si>
  <si>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</si>
  <si>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</si>
  <si>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</si>
  <si>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</si>
  <si>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</si>
  <si>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</si>
  <si>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</si>
  <si>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</si>
  <si>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</si>
  <si>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</si>
  <si>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</si>
  <si>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</si>
  <si>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</si>
  <si>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</si>
  <si>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</si>
  <si>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</si>
  <si>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</si>
  <si>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</si>
  <si>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</si>
  <si>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</si>
  <si>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</si>
  <si>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</si>
  <si>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</si>
  <si>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</si>
  <si>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</si>
  <si>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</si>
  <si>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</si>
  <si>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</si>
  <si>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</si>
  <si>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</si>
  <si>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</si>
  <si>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</si>
  <si>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</si>
  <si>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</si>
  <si>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</si>
  <si>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</si>
  <si>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</si>
  <si>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</si>
  <si>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</si>
  <si>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</si>
  <si>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</si>
  <si>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</si>
  <si>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</si>
  <si>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</si>
  <si>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</si>
  <si>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</si>
  <si>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</si>
  <si>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</si>
  <si>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</si>
  <si>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</si>
  <si>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</si>
  <si>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</si>
  <si>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</si>
  <si>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</si>
  <si>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</si>
  <si>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</si>
  <si>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</si>
  <si>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</si>
  <si>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</si>
  <si>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</si>
  <si>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</si>
  <si>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</si>
  <si>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</si>
  <si>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</si>
  <si>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</si>
  <si>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</si>
  <si>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</si>
  <si>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</si>
  <si>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</si>
  <si>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</si>
  <si>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</si>
  <si>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</si>
  <si>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</si>
  <si>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</si>
  <si>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</si>
  <si>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</si>
  <si>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</si>
  <si>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</si>
  <si>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</si>
  <si>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</si>
  <si>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</si>
  <si>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</si>
  <si>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</si>
  <si>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</si>
  <si>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</si>
  <si>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</si>
  <si>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</si>
  <si>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</si>
  <si>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</si>
  <si>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</si>
  <si>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</si>
  <si>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</si>
  <si>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</si>
  <si>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</si>
  <si>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</si>
  <si>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</si>
  <si>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</si>
  <si>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</si>
  <si>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</si>
  <si>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</si>
  <si>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</si>
  <si>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</si>
  <si>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</si>
  <si>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</si>
  <si>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</si>
  <si>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</si>
  <si>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</si>
  <si>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</si>
  <si>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</si>
  <si>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</si>
  <si>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</si>
  <si>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</si>
  <si>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</si>
  <si>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</si>
  <si>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</si>
  <si>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</si>
  <si>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</si>
  <si>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</si>
  <si>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</si>
  <si>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</si>
  <si>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</si>
  <si>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</si>
  <si>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</si>
  <si>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</si>
  <si>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</si>
  <si>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</si>
  <si>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</si>
  <si>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</si>
  <si>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</si>
  <si>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</si>
  <si>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</si>
  <si>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</si>
  <si>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</si>
  <si>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</si>
  <si>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</si>
  <si>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</si>
  <si>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</si>
  <si>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</si>
  <si>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</si>
  <si>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</si>
  <si>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</si>
  <si>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</si>
  <si>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</si>
  <si>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</si>
  <si>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</si>
  <si>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</si>
  <si>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</si>
  <si>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</si>
  <si>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</si>
  <si>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</si>
  <si>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</si>
  <si>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</si>
  <si>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</si>
  <si>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</si>
  <si>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</si>
  <si>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</si>
  <si>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</si>
  <si>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</si>
  <si>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</si>
  <si>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</si>
  <si>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</si>
  <si>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</si>
  <si>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</si>
  <si>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</si>
  <si>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</si>
  <si>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</si>
  <si>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</si>
  <si>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</si>
  <si>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</si>
  <si>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</si>
  <si>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</si>
  <si>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</si>
  <si>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</si>
  <si>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</si>
  <si>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</si>
  <si>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</si>
  <si>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</si>
  <si>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</si>
  <si>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</si>
  <si>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</si>
  <si>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</si>
  <si>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</si>
  <si>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</si>
  <si>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</si>
  <si>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</si>
  <si>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</si>
  <si>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</si>
  <si>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</si>
  <si>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</si>
  <si>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</si>
  <si>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</si>
  <si>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</si>
  <si>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</si>
  <si>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</si>
  <si>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</si>
  <si>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</si>
  <si>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</si>
  <si>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</si>
  <si>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</si>
  <si>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</si>
  <si>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</si>
  <si>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</si>
  <si>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</si>
  <si>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</si>
  <si>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</si>
  <si>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</si>
  <si>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</si>
  <si>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</si>
  <si>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</si>
  <si>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</si>
  <si>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</si>
  <si>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</si>
  <si>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</si>
  <si>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</si>
  <si>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</si>
  <si>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</si>
  <si>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</si>
  <si>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</si>
  <si>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</si>
  <si>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</si>
  <si>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</si>
  <si>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</si>
  <si>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</si>
  <si>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</si>
  <si>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</si>
  <si>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</si>
  <si>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</si>
  <si>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</si>
  <si>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</si>
  <si>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</si>
  <si>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</si>
  <si>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</si>
  <si>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</si>
  <si>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</si>
  <si>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</si>
  <si>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</si>
  <si>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</si>
  <si>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</si>
  <si>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</si>
  <si>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</si>
  <si>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</si>
  <si>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</si>
  <si>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</si>
  <si>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</si>
  <si>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</si>
  <si>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</si>
  <si>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</si>
  <si>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</si>
  <si>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</si>
  <si>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</si>
  <si>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</si>
  <si>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</si>
  <si>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</si>
  <si>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</si>
  <si>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</si>
  <si>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</si>
  <si>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</si>
  <si>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</si>
  <si>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</si>
  <si>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</si>
  <si>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</si>
  <si>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</si>
  <si>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</si>
  <si>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</si>
  <si>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</si>
  <si>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</si>
  <si>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</si>
  <si>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</si>
  <si>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</si>
  <si>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</si>
  <si>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</si>
  <si>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</si>
  <si>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</si>
  <si>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</si>
  <si>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</si>
  <si>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</si>
  <si>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</si>
  <si>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</si>
  <si>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</si>
  <si>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</si>
  <si>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</si>
  <si>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</si>
  <si>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</si>
  <si>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</si>
  <si>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</si>
  <si>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</si>
  <si>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</si>
  <si>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</si>
  <si>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</si>
  <si>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</si>
  <si>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</si>
  <si>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</si>
  <si>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</si>
  <si>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</si>
  <si>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</si>
  <si>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</si>
  <si>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</si>
  <si>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</si>
  <si>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</si>
  <si>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</si>
  <si>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</si>
  <si>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</si>
  <si>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</si>
  <si>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</si>
  <si>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</si>
  <si>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</si>
  <si>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</si>
  <si>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</si>
  <si>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</si>
  <si>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</si>
  <si>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</si>
  <si>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</si>
  <si>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</si>
  <si>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</si>
  <si>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</si>
  <si>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</si>
  <si>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</si>
  <si>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</si>
  <si>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</si>
  <si>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</si>
  <si>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</si>
  <si>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</si>
  <si>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</si>
  <si>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</si>
  <si>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</si>
  <si>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</si>
  <si>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</si>
  <si>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</si>
  <si>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</si>
  <si>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</si>
  <si>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</si>
  <si>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</si>
  <si>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</si>
  <si>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</si>
  <si>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</si>
  <si>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</si>
  <si>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</si>
  <si>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</si>
  <si>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</si>
  <si>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</si>
  <si>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</si>
  <si>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</si>
  <si>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</si>
  <si>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</si>
  <si>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</si>
  <si>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</si>
  <si>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</si>
  <si>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</si>
  <si>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</si>
  <si>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</si>
  <si>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</si>
  <si>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</si>
  <si>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</si>
  <si>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</si>
  <si>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</si>
  <si>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</si>
  <si>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</si>
  <si>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</si>
  <si>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</si>
  <si>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</si>
  <si>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</si>
  <si>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</si>
  <si>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</si>
  <si>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</si>
  <si>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</si>
  <si>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</si>
  <si>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</si>
  <si>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</si>
  <si>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</si>
  <si>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</si>
  <si>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</si>
  <si>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</si>
  <si>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</si>
  <si>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</si>
  <si>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</si>
  <si>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</si>
  <si>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</si>
  <si>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</si>
  <si>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</si>
  <si>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</si>
  <si>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</si>
  <si>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</si>
  <si>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</si>
  <si>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</si>
  <si>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</si>
  <si>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</si>
  <si>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</si>
  <si>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</si>
  <si>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</si>
  <si>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</si>
  <si>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</si>
  <si>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</si>
  <si>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</si>
  <si>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</si>
  <si>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</si>
  <si>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</si>
  <si>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</si>
  <si>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</si>
  <si>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</si>
  <si>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</si>
  <si>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</si>
  <si>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</si>
  <si>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</si>
  <si>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</si>
  <si>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</si>
  <si>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</si>
  <si>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</si>
  <si>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</si>
  <si>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</si>
  <si>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</si>
  <si>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</si>
  <si>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</si>
  <si>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</si>
  <si>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</si>
  <si>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</si>
  <si>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</si>
  <si>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</si>
  <si>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</si>
  <si>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</si>
  <si>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</si>
  <si>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</si>
  <si>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</si>
  <si>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</si>
  <si>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</si>
  <si>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</si>
  <si>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</si>
  <si>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</si>
  <si>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</si>
  <si>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</si>
  <si>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</si>
  <si>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</si>
  <si>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</si>
  <si>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</si>
  <si>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</si>
  <si>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</si>
  <si>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</si>
  <si>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</si>
  <si>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</si>
  <si>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</si>
  <si>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</si>
  <si>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</si>
  <si>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</si>
  <si>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</si>
  <si>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</si>
  <si>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</si>
  <si>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</si>
  <si>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</si>
  <si>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</si>
  <si>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</si>
  <si>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</si>
  <si>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</si>
  <si>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</si>
  <si>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</si>
  <si>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</si>
  <si>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</si>
  <si>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</si>
  <si>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</si>
  <si>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</si>
  <si>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</si>
  <si>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</si>
  <si>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</si>
  <si>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</si>
  <si>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</si>
  <si>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</si>
  <si>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</si>
  <si>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</si>
  <si>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</si>
  <si>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</si>
  <si>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</si>
  <si>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</si>
  <si>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</si>
  <si>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</si>
  <si>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</si>
  <si>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</si>
  <si>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</si>
  <si>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</si>
  <si>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</si>
  <si>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</si>
  <si>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</si>
  <si>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</si>
  <si>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</si>
  <si>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</si>
  <si>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</si>
  <si>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</si>
  <si>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</si>
  <si>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</si>
  <si>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</si>
  <si>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</si>
  <si>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</si>
  <si>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</si>
  <si>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</si>
  <si>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</si>
  <si>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</si>
  <si>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</si>
  <si>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</si>
  <si>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</si>
  <si>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</si>
  <si>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</si>
  <si>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</si>
  <si>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</si>
  <si>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</si>
  <si>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</si>
  <si>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</si>
  <si>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</si>
  <si>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</si>
  <si>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</si>
  <si>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</si>
  <si>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</si>
  <si>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</si>
  <si>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</si>
  <si>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</si>
  <si>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</si>
  <si>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</si>
  <si>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</si>
  <si>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</si>
  <si>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</si>
  <si>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</si>
  <si>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</si>
  <si>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</si>
  <si>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</si>
  <si>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</si>
  <si>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</si>
  <si>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</si>
  <si>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</si>
  <si>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</si>
  <si>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</si>
  <si>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</si>
  <si>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</si>
  <si>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</si>
  <si>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</si>
  <si>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</si>
  <si>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</si>
  <si>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</si>
  <si>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</si>
  <si>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</si>
  <si>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</si>
  <si>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</si>
  <si>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</si>
  <si>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</si>
  <si>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</si>
  <si>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</si>
  <si>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</si>
  <si>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</si>
  <si>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</si>
  <si>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</si>
  <si>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</si>
  <si>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</si>
  <si>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</si>
  <si>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</si>
  <si>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</si>
  <si>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</si>
  <si>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</si>
  <si>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</si>
  <si>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</si>
  <si>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</si>
  <si>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</si>
  <si>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</si>
  <si>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</si>
  <si>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</si>
  <si>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</si>
  <si>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</si>
  <si>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</si>
  <si>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</si>
  <si>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</si>
  <si>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</si>
  <si>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</si>
  <si>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</si>
  <si>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</si>
  <si>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</si>
  <si>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</si>
  <si>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</si>
  <si>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</si>
  <si>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</si>
  <si>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</si>
  <si>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</si>
  <si>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</si>
  <si>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</si>
  <si>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</si>
  <si>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</si>
  <si>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</si>
  <si>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</si>
  <si>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</si>
  <si>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</si>
  <si>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</si>
  <si>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</si>
  <si>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</si>
  <si>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</si>
  <si>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</si>
  <si>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</si>
  <si>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</si>
  <si>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</si>
  <si>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</si>
  <si>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</si>
  <si>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</si>
  <si>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</si>
  <si>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</si>
  <si>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</si>
  <si>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</si>
  <si>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</si>
  <si>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</si>
  <si>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</si>
  <si>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</si>
  <si>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</si>
  <si>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</si>
  <si>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</si>
  <si>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</si>
  <si>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</si>
  <si>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</si>
  <si>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</si>
  <si>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</si>
  <si>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</si>
  <si>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</si>
  <si>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</si>
  <si>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</si>
  <si>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</si>
  <si>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</si>
  <si>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</si>
  <si>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</si>
  <si>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</si>
  <si>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</si>
  <si>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</si>
  <si>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</si>
  <si>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</si>
  <si>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</si>
  <si>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</si>
  <si>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</si>
  <si>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</si>
  <si>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</si>
  <si>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</si>
  <si>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</si>
  <si>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</si>
  <si>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</si>
  <si>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</si>
  <si>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</si>
  <si>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</si>
  <si>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</si>
  <si>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</si>
  <si>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</si>
  <si>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</si>
  <si>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</si>
  <si>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</si>
  <si>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</si>
  <si>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</si>
  <si>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</si>
  <si>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</si>
  <si>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</si>
  <si>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</si>
  <si>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</si>
  <si>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</si>
  <si>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</si>
  <si>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</si>
  <si>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</si>
  <si>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</si>
  <si>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</si>
  <si>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</si>
  <si>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</si>
  <si>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</si>
  <si>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</si>
  <si>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</si>
  <si>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</si>
  <si>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</si>
  <si>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</si>
  <si>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</si>
  <si>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</si>
  <si>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</si>
  <si>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</si>
  <si>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</si>
  <si>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</si>
  <si>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</si>
  <si>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</si>
  <si>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</si>
  <si>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</si>
  <si>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</si>
  <si>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</si>
  <si>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</si>
  <si>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</si>
  <si>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</si>
  <si>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</si>
  <si>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</si>
  <si>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</si>
  <si>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</si>
  <si>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</si>
  <si>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</si>
  <si>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</si>
  <si>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</si>
  <si>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</si>
  <si>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</si>
  <si>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</si>
  <si>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</si>
  <si>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</si>
  <si>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</si>
  <si>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</si>
  <si>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</si>
  <si>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</si>
  <si>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</si>
  <si>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</si>
  <si>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</si>
  <si>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</si>
  <si>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</si>
  <si>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</si>
  <si>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</si>
  <si>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</si>
  <si>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</si>
  <si>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</si>
  <si>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</si>
  <si>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</si>
  <si>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</si>
  <si>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</si>
  <si>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</si>
  <si>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</si>
  <si>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</si>
  <si>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</si>
  <si>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</si>
  <si>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</si>
  <si>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</si>
  <si>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</si>
  <si>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</si>
  <si>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</si>
  <si>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</si>
  <si>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</si>
  <si>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</si>
  <si>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</si>
  <si>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</si>
  <si>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</si>
  <si>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</si>
  <si>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</si>
  <si>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</si>
  <si>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</si>
  <si>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</si>
  <si>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</si>
  <si>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</si>
  <si>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</si>
  <si>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</si>
  <si>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</si>
  <si>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</si>
  <si>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</si>
  <si>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</si>
  <si>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</si>
  <si>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</si>
  <si>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</si>
  <si>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</si>
  <si>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</si>
  <si>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</si>
  <si>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</si>
  <si>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</si>
  <si>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</si>
  <si>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</si>
  <si>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</si>
  <si>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</si>
  <si>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</si>
  <si>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</si>
  <si>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</si>
  <si>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</si>
  <si>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</si>
  <si>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</si>
  <si>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</si>
  <si>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</si>
  <si>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</si>
  <si>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</si>
  <si>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</si>
  <si>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</si>
  <si>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</si>
  <si>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</si>
  <si>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</si>
  <si>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</si>
  <si>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</si>
  <si>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</si>
  <si>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</si>
  <si>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</si>
  <si>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</si>
  <si>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</si>
  <si>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</si>
  <si>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</si>
  <si>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</si>
  <si>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</si>
  <si>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</si>
  <si>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</si>
  <si>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</si>
  <si>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</si>
  <si>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</si>
  <si>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</si>
  <si>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</si>
  <si>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</si>
  <si>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</si>
  <si>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</si>
  <si>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</si>
  <si>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</si>
  <si>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</si>
  <si>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</si>
  <si>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</si>
  <si>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</si>
  <si>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</si>
  <si>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</si>
  <si>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</si>
  <si>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</si>
  <si>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</si>
  <si>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</si>
  <si>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</si>
  <si>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</si>
  <si>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</si>
  <si>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</si>
  <si>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</si>
  <si>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</si>
  <si>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</si>
  <si>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</si>
  <si>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</si>
  <si>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</si>
  <si>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</si>
  <si>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</si>
  <si>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</si>
  <si>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</si>
  <si>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</si>
  <si>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</si>
  <si>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</si>
  <si>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</si>
  <si>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</si>
  <si>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</si>
  <si>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</si>
  <si>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</si>
  <si>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</si>
  <si>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</si>
  <si>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</si>
  <si>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</si>
  <si>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</si>
  <si>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</si>
  <si>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</si>
  <si>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</si>
  <si>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</si>
  <si>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</si>
  <si>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</si>
  <si>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</si>
  <si>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</si>
  <si>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</si>
  <si>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</si>
  <si>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</si>
  <si>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</si>
  <si>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</si>
  <si>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</si>
  <si>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</si>
  <si>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</si>
  <si>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</si>
  <si>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</si>
  <si>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</si>
  <si>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</si>
  <si>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</si>
  <si>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</si>
  <si>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</si>
  <si>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</si>
  <si>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</si>
  <si>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</si>
  <si>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</si>
  <si>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</si>
  <si>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</si>
  <si>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</si>
  <si>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</si>
  <si>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</si>
  <si>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</si>
  <si>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</si>
  <si>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</si>
  <si>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</si>
  <si>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</si>
  <si>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</si>
  <si>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</si>
  <si>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</si>
  <si>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</si>
  <si>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</si>
  <si>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</si>
  <si>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</si>
  <si>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</si>
  <si>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</si>
  <si>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</si>
  <si>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</si>
  <si>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</si>
  <si>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</si>
  <si>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</si>
  <si>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</si>
  <si>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</si>
  <si>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</si>
  <si>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</si>
  <si>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</si>
  <si>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</si>
  <si>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</si>
  <si>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</si>
  <si>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</si>
  <si>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</si>
  <si>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</si>
  <si>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</si>
  <si>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</si>
  <si>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</si>
  <si>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</si>
  <si>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</si>
  <si>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</si>
  <si>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</si>
  <si>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</si>
  <si>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</si>
  <si>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</si>
  <si>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</si>
  <si>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</si>
  <si>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</si>
  <si>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</si>
  <si>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</si>
  <si>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</si>
  <si>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</si>
  <si>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</si>
  <si>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</si>
  <si>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</si>
  <si>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</si>
  <si>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</si>
  <si>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</si>
  <si>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</si>
  <si>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</si>
  <si>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</si>
  <si>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</si>
  <si>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</si>
  <si>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</si>
  <si>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</si>
  <si>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</si>
  <si>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</si>
  <si>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</si>
  <si>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</si>
  <si>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</si>
  <si>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</si>
  <si>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</si>
  <si>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</si>
  <si>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</si>
  <si>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</si>
  <si>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</si>
  <si>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</si>
  <si>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</si>
  <si>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</si>
  <si>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</si>
  <si>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</si>
  <si>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</si>
  <si>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</si>
  <si>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</si>
  <si>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</si>
  <si>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</si>
  <si>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</si>
  <si>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</si>
  <si>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</si>
  <si>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</si>
  <si>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</si>
  <si>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</si>
  <si>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</si>
  <si>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</si>
  <si>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</si>
  <si>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</si>
  <si>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</si>
  <si>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</si>
  <si>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</si>
  <si>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</si>
  <si>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</si>
  <si>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</si>
  <si>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</si>
  <si>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</si>
  <si>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</si>
  <si>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</si>
  <si>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</si>
  <si>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</si>
  <si>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</si>
  <si>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</si>
  <si>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</si>
  <si>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</si>
  <si>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</si>
  <si>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</si>
  <si>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</si>
  <si>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</si>
  <si>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</si>
  <si>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</si>
  <si>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</si>
  <si>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</si>
  <si>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</si>
  <si>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</si>
  <si>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</si>
  <si>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</si>
  <si>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</si>
  <si>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</si>
  <si>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</si>
  <si>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</si>
  <si>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</si>
  <si>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</si>
  <si>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</si>
  <si>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</si>
  <si>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</si>
  <si>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</si>
  <si>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</si>
  <si>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</si>
  <si>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</si>
  <si>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</si>
  <si>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</si>
  <si>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</si>
  <si>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</si>
  <si>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</si>
  <si>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</si>
  <si>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</si>
  <si>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</si>
  <si>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</si>
  <si>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</si>
  <si>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</si>
  <si>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</si>
  <si>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</si>
  <si>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</si>
  <si>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</si>
  <si>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</si>
  <si>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</si>
  <si>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</si>
  <si>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</si>
  <si>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</si>
  <si>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</si>
  <si>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</si>
  <si>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</si>
  <si>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</si>
  <si>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</si>
  <si>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</si>
  <si>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</si>
  <si>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</si>
  <si>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</si>
  <si>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</si>
  <si>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</si>
  <si>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</si>
  <si>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</si>
  <si>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</si>
  <si>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</si>
  <si>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</si>
  <si>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</si>
  <si>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</si>
  <si>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</si>
  <si>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</si>
  <si>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</si>
  <si>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</si>
  <si>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</si>
  <si>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</si>
  <si>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</si>
  <si>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</si>
  <si>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</si>
  <si>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</si>
  <si>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</si>
  <si>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</si>
  <si>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</si>
  <si>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</si>
  <si>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</si>
  <si>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</si>
  <si>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</si>
  <si>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</si>
  <si>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</si>
  <si>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</si>
  <si>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</si>
  <si>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</si>
  <si>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</si>
  <si>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</si>
  <si>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</si>
  <si>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</si>
  <si>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</si>
  <si>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</si>
  <si>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</si>
  <si>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</si>
  <si>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</si>
  <si>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</si>
  <si>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</si>
  <si>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</si>
  <si>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</si>
  <si>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</si>
  <si>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</si>
  <si>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</si>
  <si>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</si>
  <si>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</si>
  <si>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</si>
  <si>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</si>
  <si>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</si>
  <si>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</si>
  <si>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</si>
  <si>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</si>
  <si>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</si>
  <si>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</si>
  <si>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</si>
  <si>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</si>
  <si>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</si>
  <si>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</si>
  <si>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</si>
  <si>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</si>
  <si>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</si>
  <si>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</si>
  <si>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</si>
  <si>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</si>
  <si>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</si>
  <si>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</si>
  <si>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</si>
  <si>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</si>
  <si>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</si>
  <si>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</si>
  <si>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</si>
  <si>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</si>
  <si>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</si>
  <si>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</si>
  <si>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</si>
  <si>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</si>
  <si>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</si>
  <si>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</si>
  <si>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</si>
  <si>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</si>
  <si>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</si>
  <si>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</si>
  <si>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</si>
  <si>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</si>
  <si>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</si>
  <si>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</si>
  <si>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</si>
  <si>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</si>
  <si>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</si>
  <si>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</si>
  <si>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</si>
  <si>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</si>
  <si>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</si>
  <si>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</si>
  <si>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</si>
  <si>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</si>
  <si>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</si>
  <si>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</si>
  <si>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</si>
  <si>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</si>
  <si>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</si>
  <si>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</si>
  <si>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</si>
  <si>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</si>
  <si>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</si>
  <si>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</si>
  <si>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</si>
  <si>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</si>
  <si>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</si>
  <si>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</si>
  <si>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</si>
  <si>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</si>
  <si>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</si>
  <si>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</si>
  <si>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</si>
  <si>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</si>
  <si>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</si>
  <si>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</si>
  <si>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</si>
  <si>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</si>
  <si>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</si>
  <si>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</si>
  <si>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</si>
  <si>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</si>
  <si>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</si>
  <si>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</si>
  <si>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</si>
  <si>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</si>
  <si>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</si>
  <si>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</si>
  <si>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</si>
  <si>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</si>
  <si>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</si>
  <si>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</si>
  <si>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</si>
  <si>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</si>
  <si>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</si>
  <si>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</si>
  <si>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</si>
  <si>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</si>
  <si>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</si>
  <si>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</si>
  <si>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</si>
  <si>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</si>
  <si>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</si>
  <si>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</si>
  <si>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</si>
  <si>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</si>
  <si>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</si>
  <si>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</si>
  <si>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</si>
  <si>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</si>
  <si>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</si>
  <si>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</si>
  <si>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</si>
  <si>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</si>
  <si>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</si>
  <si>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</si>
  <si>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</si>
  <si>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</si>
  <si>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</si>
  <si>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</si>
  <si>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</si>
  <si>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</si>
  <si>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</si>
  <si>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</si>
  <si>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</si>
  <si>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</si>
  <si>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</si>
  <si>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</si>
  <si>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</si>
  <si>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</si>
  <si>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</si>
  <si>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</si>
  <si>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</si>
  <si>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</si>
  <si>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</si>
  <si>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</si>
  <si>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</si>
  <si>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</si>
  <si>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</si>
  <si>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</si>
  <si>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</si>
  <si>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</si>
  <si>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</si>
  <si>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</si>
  <si>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</si>
  <si>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</si>
  <si>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</si>
  <si>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</si>
  <si>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</si>
  <si>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</si>
  <si>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</si>
  <si>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</si>
  <si>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</si>
  <si>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</si>
  <si>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</si>
  <si>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</si>
  <si>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</si>
  <si>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</si>
  <si>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</si>
  <si>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</si>
  <si>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</si>
  <si>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</si>
  <si>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</si>
  <si>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</si>
  <si>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</si>
  <si>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</si>
  <si>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</si>
  <si>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</si>
  <si>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</si>
  <si>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</si>
  <si>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</si>
  <si>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</si>
  <si>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</si>
  <si>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</si>
  <si>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</si>
  <si>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</si>
  <si>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</si>
  <si>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</si>
  <si>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</si>
  <si>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</si>
  <si>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</si>
  <si>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</si>
  <si>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</si>
  <si>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</si>
  <si>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</si>
  <si>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</si>
  <si>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</si>
  <si>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</si>
  <si>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</si>
  <si>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</si>
  <si>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</si>
  <si>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</si>
  <si>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</si>
  <si>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</si>
  <si>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</si>
  <si>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</si>
  <si>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</si>
  <si>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</si>
  <si>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</si>
  <si>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</si>
  <si>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</si>
  <si>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</si>
  <si>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</si>
  <si>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</si>
  <si>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</si>
  <si>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</si>
  <si>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</si>
  <si>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</si>
  <si>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</si>
  <si>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</si>
  <si>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</si>
  <si>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</si>
  <si>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</si>
  <si>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</si>
  <si>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</si>
  <si>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</si>
  <si>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</si>
  <si>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</si>
  <si>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</si>
  <si>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</si>
  <si>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</si>
  <si>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</si>
  <si>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</si>
  <si>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</si>
  <si>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</si>
  <si>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</si>
  <si>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</si>
  <si>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</si>
  <si>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</si>
  <si>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</si>
  <si>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</si>
  <si>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</si>
  <si>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</si>
  <si>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</si>
  <si>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</si>
  <si>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</si>
  <si>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</si>
  <si>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</si>
  <si>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</si>
  <si>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</si>
  <si>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</si>
  <si>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</si>
  <si>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</si>
  <si>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</si>
  <si>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</si>
  <si>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</si>
  <si>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</si>
  <si>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</si>
  <si>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</si>
  <si>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</si>
  <si>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</si>
  <si>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</si>
  <si>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</si>
  <si>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</si>
  <si>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</si>
  <si>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</si>
  <si>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</si>
  <si>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</si>
  <si>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</si>
  <si>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</si>
  <si>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</si>
  <si>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</si>
  <si>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</si>
  <si>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</si>
  <si>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</si>
  <si>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</si>
  <si>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</si>
  <si>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</si>
  <si>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</si>
  <si>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</si>
  <si>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</si>
  <si>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</si>
  <si>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</si>
  <si>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</si>
  <si>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</si>
  <si>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</si>
  <si>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</si>
  <si>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</si>
  <si>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</si>
  <si>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</si>
  <si>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</si>
  <si>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</si>
  <si>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</si>
  <si>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</si>
  <si>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</si>
  <si>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</si>
  <si>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</si>
  <si>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</si>
  <si>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</si>
  <si>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</si>
  <si>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</si>
  <si>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</si>
  <si>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</si>
  <si>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</si>
  <si>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</si>
  <si>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</si>
  <si>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</si>
  <si>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</si>
  <si>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</si>
  <si>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</si>
  <si>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</si>
  <si>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</si>
  <si>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</si>
  <si>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</si>
  <si>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</si>
  <si>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</si>
  <si>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</si>
  <si>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</si>
  <si>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</si>
  <si>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</si>
  <si>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</si>
  <si>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</si>
  <si>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</si>
  <si>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</si>
  <si>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</si>
  <si>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</si>
  <si>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</si>
  <si>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</si>
  <si>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</si>
  <si>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</si>
  <si>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</si>
  <si>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</si>
  <si>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</si>
  <si>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</si>
  <si>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</si>
  <si>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</si>
  <si>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</si>
  <si>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</si>
  <si>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</si>
  <si>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</si>
  <si>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</si>
  <si>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</si>
  <si>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</si>
  <si>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</si>
  <si>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</si>
  <si>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</si>
  <si>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</si>
  <si>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</si>
  <si>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</si>
  <si>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</si>
  <si>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</si>
  <si>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</si>
  <si>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</si>
  <si>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</si>
  <si>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</si>
  <si>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</si>
  <si>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</si>
  <si>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</si>
  <si>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</si>
  <si>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</si>
  <si>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</si>
  <si>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</si>
  <si>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</si>
  <si>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</si>
  <si>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</si>
  <si>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</si>
  <si>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</si>
  <si>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</si>
  <si>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</si>
  <si>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</si>
  <si>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</si>
  <si>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</si>
  <si>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</si>
  <si>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</si>
  <si>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</si>
  <si>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</si>
  <si>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</si>
  <si>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</si>
  <si>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</si>
  <si>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</si>
  <si>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</si>
  <si>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</si>
  <si>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</si>
  <si>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</si>
  <si>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</si>
  <si>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</si>
  <si>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</si>
  <si>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</si>
  <si>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</si>
  <si>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</si>
  <si>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</si>
  <si>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</si>
  <si>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</si>
  <si>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</si>
  <si>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</si>
  <si>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</si>
  <si>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</si>
  <si>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</si>
  <si>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</si>
  <si>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</si>
  <si>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</si>
  <si>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</si>
  <si>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</si>
  <si>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</si>
  <si>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</si>
  <si>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</si>
  <si>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</si>
  <si>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</si>
  <si>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</si>
  <si>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</si>
  <si>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</si>
  <si>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</si>
  <si>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</si>
  <si>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</si>
  <si>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</si>
  <si>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</si>
  <si>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</si>
  <si>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</si>
  <si>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</si>
  <si>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</si>
  <si>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</si>
  <si>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</si>
  <si>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</si>
  <si>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</si>
  <si>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</si>
  <si>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</si>
  <si>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</si>
  <si>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</si>
  <si>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</si>
  <si>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</si>
  <si>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</si>
  <si>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</si>
  <si>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</si>
  <si>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</si>
  <si>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</si>
  <si>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</si>
  <si>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</si>
  <si>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</si>
  <si>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</si>
  <si>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</si>
  <si>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</si>
  <si>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</si>
  <si>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</si>
  <si>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</si>
  <si>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</si>
  <si>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</si>
  <si>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</si>
  <si>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</si>
  <si>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</si>
  <si>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</si>
  <si>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</si>
  <si>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</si>
  <si>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</si>
  <si>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</si>
  <si>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</si>
  <si>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</si>
  <si>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</si>
  <si>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</si>
  <si>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</si>
  <si>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</si>
  <si>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</si>
  <si>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</si>
  <si>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</si>
  <si>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</si>
  <si>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</si>
  <si>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</si>
  <si>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</si>
  <si>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</si>
  <si>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</si>
  <si>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</si>
  <si>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</si>
  <si>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</si>
  <si>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</si>
  <si>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</si>
  <si>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</si>
  <si>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</si>
  <si>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</si>
  <si>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</si>
  <si>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</si>
  <si>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</si>
  <si>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</si>
  <si>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</si>
  <si>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</si>
  <si>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</si>
  <si>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</si>
  <si>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</si>
  <si>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</si>
  <si>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</si>
  <si>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</si>
  <si>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</si>
  <si>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</si>
  <si>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</si>
  <si>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</si>
  <si>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</si>
  <si>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</si>
  <si>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</si>
  <si>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</si>
  <si>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</si>
  <si>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</si>
  <si>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</si>
  <si>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</si>
  <si>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</si>
  <si>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</si>
  <si>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</si>
  <si>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</si>
  <si>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</si>
  <si>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</si>
  <si>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</si>
  <si>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</si>
  <si>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</si>
  <si>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</si>
  <si>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</si>
  <si>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</si>
  <si>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</si>
  <si>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</si>
  <si>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</si>
  <si>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</si>
  <si>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</si>
  <si>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</si>
  <si>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</si>
  <si>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</si>
  <si>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</si>
  <si>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</si>
  <si>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</si>
  <si>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</si>
  <si>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</si>
  <si>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</si>
  <si>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</si>
  <si>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</si>
  <si>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</si>
  <si>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</si>
  <si>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</si>
  <si>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</si>
  <si>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</si>
  <si>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</si>
  <si>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</si>
  <si>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</si>
  <si>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</si>
  <si>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</si>
  <si>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</si>
  <si>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</si>
  <si>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</si>
  <si>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</si>
  <si>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</si>
  <si>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</si>
  <si>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</si>
  <si>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</si>
  <si>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</si>
  <si>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</si>
  <si>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</si>
  <si>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</si>
  <si>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</si>
  <si>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</si>
  <si>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</si>
  <si>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</si>
  <si>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</si>
  <si>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</si>
  <si>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</si>
  <si>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</si>
  <si>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</si>
  <si>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</si>
  <si>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</si>
  <si>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</si>
  <si>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</si>
  <si>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</si>
  <si>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</si>
  <si>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</si>
  <si>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</si>
  <si>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</si>
  <si>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</si>
  <si>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</si>
  <si>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</si>
  <si>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</si>
  <si>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</si>
  <si>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</si>
  <si>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</si>
  <si>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</si>
  <si>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</si>
  <si>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</si>
  <si>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</si>
  <si>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</si>
  <si>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</si>
  <si>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</si>
  <si>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</si>
  <si>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</si>
  <si>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</si>
  <si>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</si>
  <si>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</si>
  <si>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</si>
  <si>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</si>
  <si>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</si>
  <si>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</si>
  <si>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</si>
  <si>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</si>
  <si>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</si>
  <si>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</si>
  <si>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</si>
  <si>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</si>
  <si>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</si>
  <si>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</si>
  <si>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</si>
  <si>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</si>
  <si>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</si>
  <si>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</si>
  <si>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</si>
  <si>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</si>
  <si>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</si>
  <si>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</si>
  <si>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</si>
  <si>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</si>
  <si>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</si>
  <si>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</si>
  <si>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</si>
  <si>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</si>
  <si>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</si>
  <si>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</si>
  <si>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</si>
  <si>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</si>
  <si>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</si>
  <si>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</si>
  <si>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</si>
  <si>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</si>
  <si>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</si>
  <si>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</si>
  <si>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</si>
  <si>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</si>
  <si>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</si>
  <si>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</si>
  <si>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</si>
  <si>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</si>
  <si>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</si>
  <si>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</si>
  <si>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</si>
  <si>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</si>
  <si>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</si>
  <si>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</si>
  <si>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</si>
  <si>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</si>
  <si>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</si>
  <si>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</si>
  <si>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</si>
  <si>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</si>
  <si>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</si>
  <si>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</si>
  <si>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</si>
  <si>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</si>
  <si>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</si>
  <si>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</si>
  <si>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</si>
  <si>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</si>
  <si>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</si>
  <si>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</si>
  <si>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</si>
  <si>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</si>
  <si>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</si>
  <si>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</si>
  <si>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</si>
  <si>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</si>
  <si>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</si>
  <si>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</si>
  <si>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</si>
  <si>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</si>
  <si>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</si>
  <si>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</si>
  <si>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</si>
  <si>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</si>
  <si>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</si>
  <si>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</si>
  <si>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</si>
  <si>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</si>
  <si>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</si>
  <si>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</si>
  <si>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</si>
  <si>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</si>
  <si>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</si>
  <si>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</si>
  <si>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</si>
  <si>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</si>
  <si>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</si>
  <si>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</si>
  <si>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</si>
  <si>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</si>
  <si>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</si>
  <si>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</si>
  <si>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</si>
  <si>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</si>
  <si>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</si>
  <si>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</si>
  <si>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</si>
  <si>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</si>
  <si>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</si>
  <si>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</si>
  <si>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</si>
  <si>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</si>
  <si>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</si>
  <si>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</si>
  <si>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</si>
  <si>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</si>
  <si>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</si>
  <si>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</si>
  <si>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</si>
  <si>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</si>
  <si>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</si>
  <si>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</si>
  <si>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</si>
  <si>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</si>
  <si>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</si>
  <si>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</si>
  <si>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</si>
  <si>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</si>
  <si>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</si>
  <si>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</si>
  <si>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</si>
  <si>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</si>
  <si>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</si>
  <si>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</si>
  <si>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</si>
  <si>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</si>
  <si>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</si>
  <si>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</si>
  <si>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</si>
  <si>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</si>
  <si>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</si>
  <si>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</si>
  <si>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</si>
  <si>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</si>
  <si>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</si>
  <si>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</si>
  <si>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</si>
  <si>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</si>
  <si>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</si>
  <si>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</si>
  <si>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</si>
  <si>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</si>
  <si>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</si>
  <si>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</si>
  <si>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</si>
  <si>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</si>
  <si>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</si>
  <si>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</si>
  <si>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</si>
  <si>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</si>
  <si>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</si>
  <si>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</si>
  <si>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</si>
  <si>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</si>
  <si>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</si>
  <si>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</si>
  <si>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</si>
  <si>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</si>
  <si>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</si>
  <si>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</si>
  <si>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</si>
  <si>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</si>
  <si>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</si>
  <si>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</si>
  <si>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</si>
  <si>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</si>
  <si>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</si>
  <si>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</si>
  <si>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</si>
  <si>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</si>
  <si>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</si>
  <si>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</si>
  <si>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</si>
  <si>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</si>
  <si>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</si>
  <si>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</si>
  <si>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</si>
  <si>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</si>
  <si>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</si>
  <si>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</si>
  <si>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</si>
  <si>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</si>
  <si>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</si>
  <si>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</si>
  <si>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</si>
  <si>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</si>
  <si>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</si>
  <si>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</si>
  <si>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</si>
  <si>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</si>
  <si>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</si>
  <si>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</si>
  <si>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</si>
  <si>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</si>
  <si>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</si>
  <si>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</si>
  <si>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</si>
  <si>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</si>
  <si>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</si>
  <si>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</si>
  <si>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</si>
  <si>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</si>
  <si>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</si>
  <si>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</si>
  <si>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</si>
  <si>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</si>
  <si>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</si>
  <si>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</si>
  <si>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</si>
  <si>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</si>
  <si>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</si>
  <si>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</si>
  <si>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</si>
  <si>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</si>
  <si>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</si>
  <si>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</si>
  <si>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</si>
  <si>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</si>
  <si>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</si>
  <si>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</si>
  <si>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</si>
  <si>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</si>
  <si>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</si>
  <si>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</si>
  <si>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</si>
  <si>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</si>
  <si>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</si>
  <si>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</si>
  <si>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</si>
  <si>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</si>
  <si>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</si>
  <si>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</si>
  <si>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</si>
  <si>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</si>
  <si>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</si>
  <si>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</si>
  <si>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</si>
  <si>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</si>
  <si>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</si>
  <si>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</si>
  <si>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</si>
  <si>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</si>
  <si>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</si>
  <si>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</si>
  <si>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</si>
  <si>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</si>
  <si>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</si>
  <si>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</si>
  <si>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</si>
  <si>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</si>
  <si>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</si>
  <si>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</si>
  <si>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</si>
  <si>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</si>
  <si>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</si>
  <si>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</si>
  <si>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</si>
  <si>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</si>
  <si>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</si>
  <si>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</si>
  <si>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</si>
  <si>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</si>
  <si>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</si>
  <si>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</si>
  <si>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</si>
  <si>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</si>
  <si>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</si>
  <si>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</si>
  <si>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</si>
  <si>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</si>
  <si>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</si>
  <si>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</si>
  <si>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</si>
  <si>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</si>
  <si>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</si>
  <si>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</si>
  <si>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</si>
  <si>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</si>
  <si>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</si>
  <si>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</si>
  <si>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</si>
  <si>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</si>
  <si>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</si>
  <si>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</si>
  <si>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</si>
  <si>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</si>
  <si>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</si>
  <si>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</si>
  <si>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</si>
  <si>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</si>
  <si>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</si>
  <si>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</si>
  <si>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</si>
  <si>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</si>
  <si>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</si>
  <si>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</si>
  <si>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</si>
  <si>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</si>
  <si>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</si>
  <si>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</si>
  <si>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</si>
  <si>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</si>
  <si>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</si>
  <si>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</si>
  <si>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</si>
  <si>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</si>
  <si>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</si>
  <si>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</si>
  <si>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</si>
  <si>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</si>
  <si>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</si>
  <si>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</si>
  <si>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</si>
  <si>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</si>
  <si>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</si>
  <si>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</si>
  <si>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</si>
  <si>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</si>
  <si>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</si>
  <si>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</si>
  <si>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</si>
  <si>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</si>
  <si>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</si>
  <si>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</si>
  <si>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</si>
  <si>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</si>
  <si>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</si>
  <si>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</si>
  <si>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</si>
  <si>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</si>
  <si>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</si>
  <si>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</si>
  <si>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</si>
  <si>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</si>
  <si>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</si>
  <si>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</si>
  <si>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</si>
  <si>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</si>
  <si>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</si>
  <si>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</si>
  <si>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</si>
  <si>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</si>
  <si>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</si>
  <si>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</si>
  <si>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</si>
  <si>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</si>
  <si>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</si>
  <si>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</si>
  <si>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</si>
  <si>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</si>
  <si>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</si>
  <si>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</si>
  <si>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</si>
  <si>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</si>
  <si>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</si>
  <si>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</si>
  <si>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</si>
  <si>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</si>
  <si>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</si>
  <si>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</si>
  <si>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</si>
  <si>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</si>
  <si>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</si>
  <si>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</si>
  <si>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</si>
  <si>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</si>
  <si>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</si>
  <si>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</si>
  <si>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</si>
  <si>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</si>
  <si>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</si>
  <si>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</si>
  <si>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</si>
  <si>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</si>
  <si>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</si>
  <si>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</si>
  <si>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</si>
  <si>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</si>
  <si>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</si>
  <si>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</si>
  <si>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</si>
  <si>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</si>
  <si>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</si>
  <si>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</si>
  <si>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</si>
  <si>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</si>
  <si>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</si>
  <si>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</si>
  <si>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</si>
  <si>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</si>
  <si>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</si>
  <si>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</si>
  <si>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</si>
  <si>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</si>
  <si>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</si>
  <si>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</si>
  <si>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</si>
  <si>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</si>
  <si>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</si>
  <si>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</si>
  <si>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</si>
  <si>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</si>
  <si>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</si>
  <si>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</si>
  <si>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</si>
  <si>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</si>
  <si>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</si>
  <si>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</si>
  <si>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</si>
  <si>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</si>
  <si>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</si>
  <si>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</si>
  <si>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</si>
  <si>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</si>
  <si>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</si>
  <si>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</si>
  <si>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</si>
  <si>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</si>
  <si>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</si>
  <si>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</si>
  <si>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</si>
  <si>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</si>
  <si>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</si>
  <si>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</si>
  <si>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</si>
  <si>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</si>
  <si>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</si>
  <si>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</si>
  <si>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</si>
  <si>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</si>
  <si>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</si>
  <si>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</si>
  <si>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</si>
  <si>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</si>
  <si>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</si>
  <si>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</si>
  <si>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</si>
  <si>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</si>
  <si>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</si>
  <si>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</si>
  <si>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</si>
  <si>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</si>
  <si>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</si>
  <si>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</si>
  <si>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</si>
  <si>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</si>
  <si>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</si>
  <si>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</si>
  <si>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</si>
  <si>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</si>
  <si>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</si>
  <si>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</si>
  <si>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</si>
  <si>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</si>
  <si>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</si>
  <si>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</si>
  <si>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</si>
  <si>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</si>
  <si>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</si>
  <si>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</si>
  <si>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</si>
  <si>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</si>
  <si>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</si>
  <si>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</si>
  <si>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</si>
  <si>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</si>
  <si>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</si>
  <si>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</si>
  <si>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</si>
  <si>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</si>
  <si>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</si>
  <si>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</si>
  <si>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</si>
  <si>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</si>
  <si>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</si>
  <si>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</si>
  <si>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</si>
  <si>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</si>
  <si>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</si>
  <si>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</si>
  <si>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</si>
  <si>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</si>
  <si>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</si>
  <si>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</si>
  <si>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</si>
  <si>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</si>
  <si>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</si>
  <si>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</si>
  <si>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</si>
  <si>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</si>
  <si>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</si>
  <si>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</si>
  <si>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</si>
  <si>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</si>
  <si>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</si>
  <si>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</si>
  <si>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</si>
  <si>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</si>
  <si>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</si>
  <si>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</si>
  <si>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</si>
  <si>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</si>
  <si>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</si>
  <si>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</si>
  <si>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</si>
  <si>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</si>
  <si>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</si>
  <si>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</si>
  <si>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</si>
  <si>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</si>
  <si>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</si>
  <si>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</si>
  <si>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</si>
  <si>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</si>
  <si>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</si>
  <si>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</si>
  <si>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</si>
  <si>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</si>
  <si>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</si>
  <si>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</si>
  <si>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</si>
  <si>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</si>
  <si>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</si>
  <si>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</si>
  <si>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</si>
  <si>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</si>
  <si>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</si>
  <si>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</si>
  <si>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</si>
  <si>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</si>
  <si>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</si>
  <si>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</si>
  <si>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</si>
  <si>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</si>
  <si>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</si>
  <si>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</si>
  <si>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</si>
  <si>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</si>
  <si>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</si>
  <si>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</si>
  <si>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</si>
  <si>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</si>
  <si>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</si>
  <si>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</si>
  <si>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</si>
  <si>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</si>
  <si>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</si>
  <si>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</si>
  <si>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</si>
  <si>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</si>
  <si>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</si>
  <si>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</si>
  <si>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</si>
  <si>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</si>
  <si>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</si>
  <si>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</si>
  <si>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</si>
  <si>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</si>
  <si>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</si>
  <si>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</si>
  <si>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</si>
  <si>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</si>
  <si>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</si>
  <si>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</si>
  <si>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</si>
  <si>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</si>
  <si>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</si>
  <si>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</si>
  <si>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</si>
  <si>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</si>
  <si>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</si>
  <si>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</si>
  <si>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</si>
  <si>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</si>
  <si>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</si>
  <si>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</si>
  <si>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</si>
  <si>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</si>
  <si>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</si>
  <si>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</si>
  <si>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</si>
  <si>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</si>
  <si>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</si>
  <si>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</si>
  <si>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</si>
  <si>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</si>
  <si>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</si>
  <si>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</si>
  <si>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</si>
  <si>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</si>
  <si>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</si>
  <si>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</si>
  <si>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</si>
  <si>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</si>
  <si>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</si>
  <si>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</si>
  <si>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</si>
  <si>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</si>
  <si>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</si>
  <si>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</si>
  <si>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</si>
  <si>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</si>
  <si>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</si>
  <si>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</si>
  <si>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</si>
  <si>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</si>
  <si>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</si>
  <si>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</si>
  <si>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</si>
  <si>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</si>
  <si>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</si>
  <si>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</si>
  <si>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</si>
  <si>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</si>
  <si>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</si>
  <si>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</si>
  <si>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</si>
  <si>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</si>
  <si>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</si>
  <si>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</si>
  <si>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</si>
  <si>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</si>
  <si>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</si>
  <si>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</si>
  <si>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</si>
  <si>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</si>
  <si>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</si>
  <si>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</si>
  <si>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</si>
  <si>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</si>
  <si>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</si>
  <si>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</si>
  <si>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</si>
  <si>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</si>
  <si>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</si>
  <si>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</si>
  <si>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</si>
  <si>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</si>
  <si>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</si>
  <si>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</si>
  <si>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</si>
  <si>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</si>
  <si>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</si>
  <si>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</si>
  <si>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</si>
  <si>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</si>
  <si>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</si>
  <si>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</si>
  <si>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</si>
  <si>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</si>
  <si>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</si>
  <si>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</si>
  <si>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</si>
  <si>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</si>
  <si>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</si>
  <si>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</si>
  <si>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</si>
  <si>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</si>
  <si>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</si>
  <si>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</si>
  <si>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</si>
  <si>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</si>
  <si>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</si>
  <si>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</si>
  <si>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</si>
  <si>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</si>
  <si>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</si>
  <si>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</si>
  <si>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</si>
  <si>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</si>
  <si>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</si>
  <si>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</si>
  <si>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</si>
  <si>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</si>
  <si>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</si>
  <si>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</si>
  <si>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</si>
  <si>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</si>
  <si>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</si>
  <si>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</si>
  <si>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</si>
  <si>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</si>
  <si>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</si>
  <si>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</si>
  <si>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</si>
  <si>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</si>
  <si>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</si>
  <si>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</si>
  <si>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</si>
  <si>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</si>
  <si>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</si>
  <si>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</si>
  <si>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</si>
  <si>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</si>
  <si>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</si>
  <si>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</si>
  <si>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</si>
  <si>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</si>
  <si>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</si>
  <si>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</si>
  <si>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</si>
  <si>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</si>
  <si>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</si>
  <si>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</si>
  <si>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</si>
  <si>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</si>
  <si>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</si>
  <si>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</si>
  <si>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</si>
  <si>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</si>
  <si>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</si>
  <si>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</si>
  <si>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</si>
  <si>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</si>
  <si>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</si>
  <si>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</si>
  <si>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</si>
  <si>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</si>
  <si>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</si>
  <si>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</si>
  <si>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</si>
  <si>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</si>
  <si>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</si>
  <si>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</si>
  <si>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</si>
  <si>
    <t>京华豪园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</si>
</sst>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估价对象为北京市房地产，为所有。根据《国有土地使用证》[]，估价对象（分摊）出让国有建设用地使用权面积为0平方米，建筑面积为2467.34平方米。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估价对象为北京市房地产,为开发建设的，该项目尚在开发建设中。根据《国有土地使用证》[]，估价对象（分摊）出让国有建设用地使用权面积为0平方米，规划建筑面积为2467.34平方米。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1427.1095</v>
      </c>
    </row>
    <row r="21" spans="1:2" s="842" customFormat="1">
      <c r="A21" s="840" t="s">
        <v>531</v>
      </c>
      <c r="B21" s="841">
        <f ca="1">'预评函-2'!D7</f>
        <v>23442</v>
      </c>
    </row>
    <row r="22" spans="1:2" s="842" customFormat="1">
      <c r="A22" s="840" t="s">
        <v>532</v>
      </c>
      <c r="B22" s="841" t="str">
        <f ca="1">'预评函-2'!D6</f>
        <v>壹仟肆佰贰拾柒万壹仟零玖拾伍元整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1427.1095</v>
      </c>
    </row>
    <row r="31" spans="1:2" s="842" customFormat="1">
      <c r="A31" s="840" t="s">
        <v>570</v>
      </c>
      <c r="B31" s="841">
        <f ca="1">'预评函-2'!D15</f>
        <v>23442</v>
      </c>
    </row>
    <row r="32" spans="1:2" s="842" customFormat="1">
      <c r="A32" s="840" t="s">
        <v>537</v>
      </c>
      <c r="B32" s="841" t="str">
        <f ca="1">'预评函-2'!D14</f>
        <v>壹仟肆佰贰拾柒万壹仟零玖拾伍元整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2467.34</v>
      </c>
    </row>
    <row r="44" spans="1:2" s="842" customFormat="1" ht="31.2">
      <c r="A44" s="840" t="s">
        <v>569</v>
      </c>
      <c r="B44" s="841" t="str">
        <f>'预评函-3'!C2</f>
        <v>(分摊)土地面积</v>
      </c>
    </row>
    <row r="45" spans="1:2" s="842" customFormat="1">
      <c r="A45" s="840" t="s">
        <v>541</v>
      </c>
      <c r="B45" s="841">
        <f>'预评函-3'!C4</f>
        <v>0</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5"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5"/>
      <c r="B54" s="1159" t="s">
        <v>379</v>
      </c>
      <c r="C54" s="1156" t="s">
        <v>577</v>
      </c>
    </row>
    <row r="55" spans="1:4">
      <c r="A55" s="4695"/>
      <c r="B55" s="1159" t="s">
        <v>380</v>
      </c>
      <c r="C55" s="1156" t="s">
        <v>578</v>
      </c>
    </row>
    <row r="56" spans="1:4">
      <c r="A56" s="4695"/>
      <c r="B56" s="1159" t="s">
        <v>381</v>
      </c>
      <c r="C56" s="1156" t="s">
        <v>582</v>
      </c>
    </row>
    <row r="57" spans="1:4">
      <c r="A57" s="4695"/>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6" t="s">
        <v>2467</v>
      </c>
      <c r="J2" s="4697"/>
      <c r="K2" s="4697"/>
      <c r="L2" s="4697"/>
      <c r="M2" s="4697"/>
      <c r="N2" s="4697"/>
      <c r="O2" s="4697"/>
      <c r="P2" s="4697"/>
      <c r="Q2" s="4697"/>
      <c r="R2" s="4698"/>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6" t="s">
        <v>3668</v>
      </c>
      <c r="J8" s="4697"/>
      <c r="K8" s="4697"/>
      <c r="L8" s="4697"/>
      <c r="M8" s="4697"/>
      <c r="N8" s="4697"/>
      <c r="O8" s="4697"/>
      <c r="P8" s="4697"/>
      <c r="Q8" s="4697"/>
      <c r="R8" s="4698"/>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1"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2"/>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2"/>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2"/>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2"/>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2"/>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2"/>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2"/>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3"/>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9" t="s">
        <v>3978</v>
      </c>
      <c r="J49" s="4699"/>
      <c r="K49" s="4699"/>
      <c r="L49" s="4699"/>
      <c r="M49" s="4699"/>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0" t="s">
        <v>3365</v>
      </c>
      <c r="J57" s="4700"/>
      <c r="K57" s="4700"/>
      <c r="L57" s="4700"/>
      <c r="M57" s="4700"/>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04" t="str">
        <f>IF(B10="北京市","北京市",C10)&amp;F10&amp;IF(结果表!G1="在建","出让国有建设用地使用权及在建建筑物",IF(结果表!G1="土地","出让国有建设用地使用权",))&amp;B9&amp;"预评估"</f>
        <v>北京市预评估</v>
      </c>
      <c r="C1" s="4705"/>
      <c r="D1" s="4705"/>
      <c r="E1" s="4705"/>
      <c r="F1" s="4705"/>
      <c r="G1" s="4705"/>
      <c r="H1" s="4705"/>
      <c r="I1" s="4706"/>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07" t="s">
        <v>2079</v>
      </c>
      <c r="E8" s="1882"/>
      <c r="F8" s="1883"/>
      <c r="G8" s="2095"/>
      <c r="H8" s="2095"/>
      <c r="I8" s="2095"/>
      <c r="J8" s="1925"/>
      <c r="K8" s="2048"/>
      <c r="L8" s="2047"/>
      <c r="M8" s="2047"/>
      <c r="N8" s="1925"/>
      <c r="O8" s="1936"/>
      <c r="P8" s="1925"/>
      <c r="Q8" s="1925"/>
      <c r="R8" s="1925"/>
    </row>
    <row r="9" spans="1:30" ht="13.8" thickBot="1">
      <c r="A9" s="1884" t="s">
        <v>2080</v>
      </c>
      <c r="B9" s="1885"/>
      <c r="C9" s="1886"/>
      <c r="D9" s="4708"/>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14"/>
      <c r="C16" s="4715"/>
      <c r="D16" s="4716"/>
      <c r="E16" s="1901" t="s">
        <v>2096</v>
      </c>
      <c r="F16" s="4717"/>
      <c r="G16" s="4718"/>
      <c r="H16" s="4718"/>
      <c r="I16" s="4719"/>
      <c r="J16" s="1925"/>
      <c r="K16" s="2051"/>
      <c r="L16" s="1937"/>
      <c r="M16" s="1937"/>
      <c r="N16" s="1995"/>
      <c r="O16" s="1937"/>
      <c r="P16" s="1995"/>
      <c r="Q16" s="1925"/>
      <c r="R16" s="1925"/>
    </row>
    <row r="17" spans="1:28">
      <c r="A17" s="201" t="s">
        <v>2097</v>
      </c>
      <c r="B17" s="190" t="s">
        <v>2098</v>
      </c>
      <c r="C17" s="9">
        <f>'数据-汇总表'!E3</f>
        <v>2467.34</v>
      </c>
      <c r="D17" s="1817" t="s">
        <v>2099</v>
      </c>
      <c r="E17" s="4720" t="s">
        <v>2100</v>
      </c>
      <c r="F17" s="4721"/>
      <c r="G17" s="4721"/>
      <c r="H17" s="4721"/>
      <c r="I17" s="4722"/>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0</v>
      </c>
      <c r="D18" s="766" t="s">
        <v>2103</v>
      </c>
      <c r="E18" s="4723" t="s">
        <v>2104</v>
      </c>
      <c r="F18" s="4724"/>
      <c r="G18" s="4724"/>
      <c r="H18" s="4724"/>
      <c r="I18" s="4725"/>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0" t="s">
        <v>2108</v>
      </c>
      <c r="C20" s="4711"/>
      <c r="D20" s="4712" t="s">
        <v>2109</v>
      </c>
      <c r="E20" s="4713"/>
      <c r="F20" s="2081" t="s">
        <v>1040</v>
      </c>
      <c r="G20" s="2096"/>
      <c r="H20" s="2096"/>
      <c r="I20" s="2096"/>
      <c r="J20" s="1925"/>
      <c r="K20" s="4709"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09"/>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09"/>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27"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7"/>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7"/>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8"/>
      <c r="B30" s="190" t="s">
        <v>2120</v>
      </c>
      <c r="C30" s="4729"/>
      <c r="D30" s="4730"/>
      <c r="E30" s="2096"/>
      <c r="F30" s="2096"/>
      <c r="G30" s="2096"/>
      <c r="H30" s="2096"/>
      <c r="I30" s="2096"/>
      <c r="J30" s="1925"/>
      <c r="K30" s="2050"/>
      <c r="L30" s="2047"/>
      <c r="M30" s="2047"/>
      <c r="N30" s="1925"/>
      <c r="O30" s="1936"/>
      <c r="P30" s="1925"/>
      <c r="Q30" s="1925"/>
      <c r="R30" s="1925"/>
      <c r="S30" s="1925"/>
      <c r="T30" s="1925"/>
      <c r="U30" s="1925"/>
      <c r="V30" s="1925"/>
    </row>
    <row r="31" spans="1:28">
      <c r="A31" s="4731"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32"/>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32"/>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26" t="s">
        <v>2130</v>
      </c>
      <c r="T34" s="1914" t="str">
        <f>NUMBERSTRING(7-K34,1)&amp;"通"</f>
        <v>七通</v>
      </c>
      <c r="U34" s="1925"/>
      <c r="V34" s="1925"/>
    </row>
    <row r="35" spans="1:30">
      <c r="A35" s="1915"/>
      <c r="B35" s="4726" t="s">
        <v>2131</v>
      </c>
      <c r="C35" s="4726"/>
      <c r="D35" s="4726"/>
      <c r="E35" s="4726"/>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6"/>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0</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2467.34</v>
      </c>
      <c r="BA5" s="471">
        <f t="shared" si="1"/>
        <v>2467.34</v>
      </c>
      <c r="BB5" s="471">
        <f t="shared" si="1"/>
        <v>2467.34</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0</v>
      </c>
      <c r="F6" s="3898" t="s">
        <v>0</v>
      </c>
      <c r="G6" s="3898" t="s">
        <v>1</v>
      </c>
      <c r="H6" s="4093">
        <f>SUMIF(I$12:AB$12,"总值",I6:AB6)</f>
        <v>0</v>
      </c>
      <c r="I6" s="3898">
        <f t="shared" ref="I6:AB6" si="2">ROUND($A$3*I5/$B$3,2)</f>
        <v>0</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0</v>
      </c>
      <c r="AZ6" s="3898" t="s">
        <v>2</v>
      </c>
      <c r="BA6" s="3898">
        <f>ROUND($AY$6*BA5/$AZ$5,2)</f>
        <v>0</v>
      </c>
      <c r="BB6" s="3898">
        <f>ROUND($AY$6*BB5/$AZ$5,2)</f>
        <v>0</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4070</v>
      </c>
      <c r="E13" s="3898">
        <f>IF($C$3="是",ROUND($A$3*G13/$B$3,2),ROUND($A$3*(G13-AT13)/$B$3,2))</f>
        <v>0</v>
      </c>
      <c r="F13" s="611"/>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0</v>
      </c>
      <c r="AZ13" s="9">
        <f>BA13+BL13</f>
        <v>2467.34</v>
      </c>
      <c r="BA13" s="9">
        <f>SUM(BB13:BK13)</f>
        <v>2467.34</v>
      </c>
      <c r="BB13" s="9">
        <f>IF($D13="是",I13-J13,0)</f>
        <v>2467.34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4098</v>
      </c>
      <c r="E14" s="3898">
        <f>IF($C$3="是",ROUND($A$3*G14/$B$3,2),ROUND($A$3*(G14-AT14)/$B$3,2))</f>
        <v>0</v>
      </c>
      <c r="F14" s="611"/>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2" t="s">
        <v>1114</v>
      </c>
      <c r="B2" s="4742"/>
      <c r="C2" s="4742"/>
      <c r="D2" s="548" t="s">
        <v>1090</v>
      </c>
      <c r="E2" s="1236" t="s">
        <v>1091</v>
      </c>
      <c r="F2" s="2091"/>
      <c r="G2" s="2084"/>
      <c r="H2" s="2085"/>
      <c r="I2" s="1820" t="s">
        <v>1115</v>
      </c>
      <c r="J2" s="2091"/>
      <c r="K2" s="2091"/>
      <c r="L2" s="2091"/>
      <c r="M2" s="2091"/>
      <c r="N2" s="2093"/>
      <c r="O2" s="2091"/>
      <c r="P2" s="2091"/>
    </row>
    <row r="3" spans="1:16" ht="15" thickBot="1">
      <c r="A3" s="4743" t="s">
        <v>1088</v>
      </c>
      <c r="B3" s="4743"/>
      <c r="C3" s="4743"/>
      <c r="D3" s="4132">
        <f>'数据-基础表'!AY6</f>
        <v>0</v>
      </c>
      <c r="E3" s="4132">
        <f>'数据-基础表'!AZ5</f>
        <v>2467.34</v>
      </c>
      <c r="F3" s="2091"/>
      <c r="G3" s="804"/>
      <c r="H3" s="713" t="s">
        <v>1089</v>
      </c>
      <c r="I3" s="2827" t="e">
        <f>ROUND('数据-基础表'!B3/'数据-基础表'!A3,2)</f>
        <v>#DIV/0!</v>
      </c>
      <c r="J3" s="2091"/>
      <c r="K3" s="2091"/>
      <c r="L3" s="2091"/>
      <c r="M3" s="2091"/>
      <c r="N3" s="2093"/>
      <c r="O3" s="2091"/>
      <c r="P3" s="2091"/>
    </row>
    <row r="4" spans="1:16" ht="14.4">
      <c r="A4" s="4744"/>
      <c r="B4" s="4745"/>
      <c r="C4" s="4746"/>
      <c r="D4" s="1238" t="s">
        <v>1090</v>
      </c>
      <c r="E4" s="1239" t="s">
        <v>1091</v>
      </c>
      <c r="F4" s="2091"/>
      <c r="G4" s="2086" t="s">
        <v>1116</v>
      </c>
      <c r="H4" s="713" t="s">
        <v>1096</v>
      </c>
      <c r="I4" s="2827" t="e">
        <f>ROUND(SUMIF('数据-基础表'!I9:AS9,"地上",'数据-基础表'!I5:AS5)/'数据-基础表'!A3,2)</f>
        <v>#DIV/0!</v>
      </c>
      <c r="J4" s="2091"/>
      <c r="K4" s="2091"/>
      <c r="L4" s="2091"/>
      <c r="M4" s="2091"/>
      <c r="N4" s="2093"/>
      <c r="O4" s="2091"/>
      <c r="P4" s="2091"/>
    </row>
    <row r="5" spans="1:16" ht="14.4">
      <c r="A5" s="24" t="s">
        <v>1092</v>
      </c>
      <c r="B5" s="4747" t="s">
        <v>1093</v>
      </c>
      <c r="C5" s="4747"/>
      <c r="D5" s="4110">
        <f>ROUND($D$3*E5/$E$3,2)</f>
        <v>0</v>
      </c>
      <c r="E5" s="3967">
        <f>SUMIF('数据-基础表'!$11:$11,"住宅",'数据-基础表'!$5:$5)</f>
        <v>0</v>
      </c>
      <c r="F5" s="2091"/>
      <c r="G5" s="804"/>
      <c r="H5" s="713" t="s">
        <v>1089</v>
      </c>
      <c r="I5" s="2827" t="e">
        <f>ROUND(E31/D31,2)</f>
        <v>#DIV/0!</v>
      </c>
      <c r="J5" s="2091"/>
      <c r="K5" s="2091"/>
      <c r="L5" s="2091"/>
      <c r="M5" s="2091"/>
      <c r="N5" s="2091"/>
      <c r="O5" s="2091"/>
      <c r="P5" s="2091"/>
    </row>
    <row r="6" spans="1:16" ht="15" thickBot="1">
      <c r="A6" s="1241"/>
      <c r="B6" s="4747" t="s">
        <v>1094</v>
      </c>
      <c r="C6" s="4747"/>
      <c r="D6" s="4110">
        <f>ROUND($D$3*E6/$E$3,2)</f>
        <v>0</v>
      </c>
      <c r="E6" s="3967">
        <f>E3-E5</f>
        <v>2467.34</v>
      </c>
      <c r="F6" s="2091"/>
      <c r="G6" s="2087" t="s">
        <v>1095</v>
      </c>
      <c r="H6" s="805" t="s">
        <v>1096</v>
      </c>
      <c r="I6" s="2828" t="e">
        <f>ROUND(F31/D31,2)</f>
        <v>#DIV/0!</v>
      </c>
      <c r="J6" s="2091"/>
      <c r="K6" s="2091"/>
      <c r="L6" s="2091"/>
      <c r="M6" s="2091"/>
      <c r="N6" s="2091"/>
      <c r="O6" s="2091"/>
      <c r="P6" s="2091"/>
    </row>
    <row r="7" spans="1:16" ht="15" thickBot="1">
      <c r="A7" s="4739"/>
      <c r="B7" s="4740"/>
      <c r="C7" s="4741"/>
      <c r="D7" s="1238" t="s">
        <v>1090</v>
      </c>
      <c r="E7" s="1242" t="s">
        <v>1097</v>
      </c>
      <c r="F7" s="2091"/>
      <c r="G7" s="2088" t="s">
        <v>1098</v>
      </c>
      <c r="H7" s="2089"/>
      <c r="I7" s="2829">
        <v>2.5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0</v>
      </c>
      <c r="E13" s="3967">
        <f>SUMPRODUCT(('数据-基础表'!BB10:BK10="地下")*('数据-基础表'!BB11:BK11="车库")*('数据-基础表'!BB5:BK5))</f>
        <v>2467.34</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0</v>
      </c>
      <c r="E16" s="4122">
        <f>SUM(E8:E15)</f>
        <v>2467.34</v>
      </c>
      <c r="F16" s="2091"/>
      <c r="G16" s="2092"/>
      <c r="H16" s="1245" t="s">
        <v>1118</v>
      </c>
      <c r="I16" s="1246"/>
      <c r="J16" s="803"/>
      <c r="K16" s="4736" t="s">
        <v>1118</v>
      </c>
      <c r="L16" s="4737"/>
      <c r="M16" s="4737"/>
      <c r="N16" s="4737"/>
      <c r="O16" s="4737"/>
      <c r="P16" s="4738"/>
    </row>
    <row r="17" spans="1:19" ht="14.4">
      <c r="A17" s="1247" t="s">
        <v>1119</v>
      </c>
      <c r="B17" s="1248" t="s">
        <v>1120</v>
      </c>
      <c r="C17" s="1249" t="s">
        <v>1121</v>
      </c>
      <c r="D17" s="1250" t="s">
        <v>1109</v>
      </c>
      <c r="E17" s="1251" t="s">
        <v>1110</v>
      </c>
      <c r="F17" s="1252"/>
      <c r="G17" s="1253"/>
      <c r="H17" s="1254" t="s">
        <v>1122</v>
      </c>
      <c r="I17" s="1255" t="s">
        <v>1107</v>
      </c>
      <c r="J17" s="803"/>
      <c r="K17" s="4733" t="s">
        <v>1123</v>
      </c>
      <c r="L17" s="4734"/>
      <c r="M17" s="4735"/>
      <c r="N17" s="4733" t="s">
        <v>1124</v>
      </c>
      <c r="O17" s="4734"/>
      <c r="P17" s="4735"/>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0</v>
      </c>
      <c r="E19" s="4110">
        <f t="shared" ref="E19:E26" si="1">SUM(F19:G19)</f>
        <v>2467.34</v>
      </c>
      <c r="F19" s="4111"/>
      <c r="G19" s="3937">
        <f>'数据-基础表'!I13</f>
        <v>2467.34</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0</v>
      </c>
      <c r="S19" s="4110">
        <f t="shared" si="5"/>
        <v>2467.34</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0</v>
      </c>
      <c r="E27" s="4116">
        <f>IF(SUM(E19:E26)='数据-基础表'!BA5,SUM(E19:E26),IF(F27="地上面积有误","面积有误","地下面积有误"))</f>
        <v>2467.34</v>
      </c>
      <c r="F27" s="4116">
        <f>IF(SUM(F19:F26)=E8,SUM(F19:F26),"地上面积有误")</f>
        <v>0</v>
      </c>
      <c r="G27" s="3964">
        <f>SUM(G19:G26)</f>
        <v>2467.34</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0</v>
      </c>
      <c r="S27" s="4110">
        <f>IF(SUM(S19:S26)=$E$3,SUM(S19:S26),SUM(S19:S26)&amp;"误差"&amp;ROUND(SUM(S19:S26)-E3,2))</f>
        <v>2467.34</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0</v>
      </c>
      <c r="E31" s="4123">
        <f>E27+E30</f>
        <v>2467.34</v>
      </c>
      <c r="F31" s="4124">
        <f>F27+F30</f>
        <v>0</v>
      </c>
      <c r="G31" s="4125">
        <f>G27+G30</f>
        <v>2467.34</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V33" sqref="V32:V33"/>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2467.34</v>
      </c>
      <c r="L6" s="4135">
        <v>3800</v>
      </c>
      <c r="M6" s="4136">
        <f t="shared" ref="M6:M14" si="1">ROUND(K6*L6/10000,0)</f>
        <v>938</v>
      </c>
      <c r="N6" s="3544">
        <f>N23</f>
        <v>0.75</v>
      </c>
      <c r="O6" s="4136" t="str">
        <f>IF($N$5="成新度","——",ROUND(M6*N6,0))</f>
        <v>——</v>
      </c>
      <c r="P6" s="3917" t="str">
        <f>IF($N$5="成新度","——",M6-O6)</f>
        <v>——</v>
      </c>
      <c r="Q6" s="3545">
        <v>0.08</v>
      </c>
      <c r="R6" s="4152">
        <f ca="1">SUMIF('数据-汇总表'!C$19:C$33,A6,'数据-汇总表'!R$19:R$27)</f>
        <v>0</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40</v>
      </c>
      <c r="AI6" s="4171">
        <v>12</v>
      </c>
      <c r="AJ6" s="4167"/>
      <c r="AK6" s="39">
        <v>2E-3</v>
      </c>
      <c r="AL6" s="40">
        <v>1E-3</v>
      </c>
      <c r="AM6" s="41">
        <v>0.01</v>
      </c>
      <c r="AN6" s="1307" t="s">
        <v>4095</v>
      </c>
      <c r="AO6" s="4110">
        <f ca="1">SUMIF(INDIRECT("'"&amp;AN6&amp;"'"&amp;"!A:A"),"总价",INDIRECT("'"&amp;AN6&amp;"'"&amp;"!B:B"))</f>
        <v>1133.5065</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2467.34</v>
      </c>
      <c r="L16" s="4139">
        <f>ROUND(M16*10000/SUM(K6:K14),0)</f>
        <v>3802</v>
      </c>
      <c r="M16" s="4139">
        <f>SUM(M6:M14)</f>
        <v>938</v>
      </c>
      <c r="N16" s="3550">
        <f>ROUND(SUMPRODUCT(M6:M14,N6:N14)/M16,3)</f>
        <v>0.75</v>
      </c>
      <c r="O16" s="4139">
        <f>SUM(O6:O14)</f>
        <v>0</v>
      </c>
      <c r="P16" s="4139">
        <f>SUM(P6:P14)</f>
        <v>0</v>
      </c>
      <c r="Q16" s="3551">
        <f>ROUND(SUMPRODUCT(Q6:Q13,K6:K13)/SUMPRODUCT((Q6:Q13&gt;0)*(K6:K13)),2)</f>
        <v>0.08</v>
      </c>
      <c r="R16" s="4154">
        <f ca="1">SUM(R6:R13)</f>
        <v>0</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4138</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27.887252398669549</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1</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1</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1</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1</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0.03</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8" t="s">
        <v>2188</v>
      </c>
      <c r="B1" s="4749"/>
      <c r="C1" s="4749"/>
      <c r="D1" s="4749"/>
      <c r="E1" s="4749"/>
      <c r="F1" s="4749"/>
      <c r="G1" s="4749"/>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2467.34</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1427.0017</v>
      </c>
      <c r="C5" s="3905">
        <f ca="1">ROUND(B5*10000/$B$1,0)</f>
        <v>5784</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2467.34</v>
      </c>
      <c r="C14" s="3901"/>
      <c r="D14" s="3901">
        <f ca="1">结果表!I19</f>
        <v>1427.0017</v>
      </c>
      <c r="E14" s="3901">
        <f ca="1">ROUND(D14*10000/B14,0)</f>
        <v>5784</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34" t="str">
        <f>项目基本情况!S2</f>
        <v>北京市房地产</v>
      </c>
      <c r="B2" s="4835"/>
      <c r="C2" s="4835"/>
      <c r="D2" s="4835"/>
      <c r="E2" s="4835"/>
      <c r="F2" s="4835"/>
      <c r="G2" s="4835"/>
      <c r="H2" s="4835"/>
      <c r="I2" s="4836"/>
    </row>
    <row r="3" spans="1:12" ht="13.2">
      <c r="A3" s="4838" t="s">
        <v>1242</v>
      </c>
      <c r="B3" s="4839"/>
      <c r="C3" s="4839"/>
      <c r="D3" s="4839"/>
      <c r="E3" s="4839"/>
      <c r="F3" s="4839"/>
      <c r="G3" s="4839"/>
      <c r="H3" s="4839"/>
      <c r="I3" s="4839"/>
    </row>
    <row r="4" spans="1:12" ht="14.4">
      <c r="A4" s="1342" t="s">
        <v>1243</v>
      </c>
      <c r="B4" s="1343" t="s">
        <v>1244</v>
      </c>
      <c r="C4" s="3814" t="s">
        <v>4081</v>
      </c>
      <c r="D4" s="3814" t="s">
        <v>4095</v>
      </c>
      <c r="E4" s="4840" t="s">
        <v>1245</v>
      </c>
      <c r="F4" s="4841"/>
      <c r="G4" s="4841"/>
      <c r="H4" s="4841"/>
      <c r="I4" s="484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73" t="s">
        <v>1246</v>
      </c>
      <c r="B5" s="4837">
        <v>25</v>
      </c>
      <c r="C5" s="4816">
        <v>2</v>
      </c>
      <c r="D5" s="4811">
        <f>10-C5</f>
        <v>8</v>
      </c>
      <c r="E5" s="53" t="s">
        <v>1247</v>
      </c>
      <c r="F5" s="1344"/>
      <c r="G5" s="1344"/>
      <c r="H5" s="1344"/>
      <c r="I5" s="979"/>
    </row>
    <row r="6" spans="1:12" ht="13.2">
      <c r="A6" s="4773"/>
      <c r="B6" s="4837"/>
      <c r="C6" s="4817"/>
      <c r="D6" s="4811"/>
      <c r="E6" s="53" t="s">
        <v>1248</v>
      </c>
      <c r="F6" s="1344"/>
      <c r="G6" s="1344"/>
      <c r="H6" s="1344"/>
      <c r="I6" s="979"/>
    </row>
    <row r="7" spans="1:12" ht="13.2">
      <c r="A7" s="4773"/>
      <c r="B7" s="4837"/>
      <c r="C7" s="4818"/>
      <c r="D7" s="4811"/>
      <c r="E7" s="53" t="s">
        <v>1249</v>
      </c>
      <c r="F7" s="1344"/>
      <c r="G7" s="1344"/>
      <c r="H7" s="1344"/>
      <c r="I7" s="979"/>
    </row>
    <row r="8" spans="1:12" ht="13.2">
      <c r="A8" s="4773" t="s">
        <v>1250</v>
      </c>
      <c r="B8" s="4837">
        <v>15</v>
      </c>
      <c r="C8" s="4816"/>
      <c r="D8" s="4811"/>
      <c r="E8" s="53" t="s">
        <v>1251</v>
      </c>
      <c r="F8" s="1344"/>
      <c r="G8" s="1344"/>
      <c r="H8" s="1344"/>
      <c r="I8" s="979"/>
    </row>
    <row r="9" spans="1:12" ht="13.2">
      <c r="A9" s="4773"/>
      <c r="B9" s="4837"/>
      <c r="C9" s="4818"/>
      <c r="D9" s="4811"/>
      <c r="E9" s="53" t="s">
        <v>1252</v>
      </c>
      <c r="F9" s="1344"/>
      <c r="G9" s="1344"/>
      <c r="H9" s="1344"/>
      <c r="I9" s="979"/>
    </row>
    <row r="10" spans="1:12" ht="13.2">
      <c r="A10" s="4773" t="s">
        <v>1253</v>
      </c>
      <c r="B10" s="4837">
        <v>15</v>
      </c>
      <c r="C10" s="4816"/>
      <c r="D10" s="4811"/>
      <c r="E10" s="53" t="s">
        <v>1254</v>
      </c>
      <c r="F10" s="1344"/>
      <c r="G10" s="1344"/>
      <c r="H10" s="1344"/>
      <c r="I10" s="979"/>
    </row>
    <row r="11" spans="1:12" ht="13.2">
      <c r="A11" s="4773"/>
      <c r="B11" s="4837"/>
      <c r="C11" s="4818"/>
      <c r="D11" s="4811"/>
      <c r="E11" s="53" t="s">
        <v>1255</v>
      </c>
      <c r="F11" s="1344"/>
      <c r="G11" s="1344"/>
      <c r="H11" s="1344"/>
      <c r="I11" s="979"/>
    </row>
    <row r="12" spans="1:12" ht="13.2">
      <c r="A12" s="4773" t="s">
        <v>1256</v>
      </c>
      <c r="B12" s="4837">
        <v>15</v>
      </c>
      <c r="C12" s="4816"/>
      <c r="D12" s="4811"/>
      <c r="E12" s="53" t="s">
        <v>1257</v>
      </c>
      <c r="F12" s="1344"/>
      <c r="G12" s="1344"/>
      <c r="H12" s="1344"/>
      <c r="I12" s="979"/>
    </row>
    <row r="13" spans="1:12" ht="13.2">
      <c r="A13" s="4773"/>
      <c r="B13" s="4837"/>
      <c r="C13" s="4818"/>
      <c r="D13" s="4811"/>
      <c r="E13" s="53" t="s">
        <v>1258</v>
      </c>
      <c r="F13" s="1344"/>
      <c r="G13" s="1344"/>
      <c r="H13" s="1344"/>
      <c r="I13" s="979"/>
    </row>
    <row r="14" spans="1:12" ht="13.2">
      <c r="A14" s="4773" t="s">
        <v>1259</v>
      </c>
      <c r="B14" s="4837">
        <v>30</v>
      </c>
      <c r="C14" s="4816"/>
      <c r="D14" s="4811"/>
      <c r="E14" s="53" t="s">
        <v>1260</v>
      </c>
      <c r="F14" s="1344"/>
      <c r="G14" s="1344"/>
      <c r="H14" s="1344"/>
      <c r="I14" s="979"/>
    </row>
    <row r="15" spans="1:12" ht="13.2">
      <c r="A15" s="4773"/>
      <c r="B15" s="4837"/>
      <c r="C15" s="4817"/>
      <c r="D15" s="4811"/>
      <c r="E15" s="53" t="s">
        <v>1261</v>
      </c>
      <c r="F15" s="1344"/>
      <c r="G15" s="1344"/>
      <c r="H15" s="1344"/>
      <c r="I15" s="979"/>
    </row>
    <row r="16" spans="1:12" ht="13.2">
      <c r="A16" s="4773"/>
      <c r="B16" s="4837"/>
      <c r="C16" s="4818"/>
      <c r="D16" s="4811"/>
      <c r="E16" s="53" t="s">
        <v>1262</v>
      </c>
      <c r="F16" s="1344"/>
      <c r="G16" s="1344"/>
      <c r="H16" s="1344"/>
      <c r="I16" s="979"/>
    </row>
    <row r="17" spans="1:36" ht="14.4">
      <c r="A17" s="1345" t="s">
        <v>1263</v>
      </c>
      <c r="B17" s="3813"/>
      <c r="C17" s="3908">
        <f>SUM(C5:C16)</f>
        <v>2</v>
      </c>
      <c r="D17" s="3908">
        <f>SUM(D5:D16)</f>
        <v>8</v>
      </c>
      <c r="E17" s="51"/>
      <c r="F17" s="51"/>
      <c r="G17" s="51"/>
      <c r="H17" s="51"/>
      <c r="I17" s="51"/>
      <c r="K17" s="190"/>
      <c r="L17" s="190" t="s">
        <v>1264</v>
      </c>
      <c r="M17" s="190" t="s">
        <v>1265</v>
      </c>
    </row>
    <row r="18" spans="1:36" ht="31.95" customHeight="1" thickBot="1">
      <c r="A18" s="1346" t="s">
        <v>1266</v>
      </c>
      <c r="B18" s="1347"/>
      <c r="C18" s="3909">
        <f>ROUND(C17/SUM(C17:D17),2)</f>
        <v>0.2</v>
      </c>
      <c r="D18" s="3909">
        <f>1-C18</f>
        <v>0.8</v>
      </c>
      <c r="E18" s="4825" t="s">
        <v>2033</v>
      </c>
      <c r="F18" s="4826"/>
      <c r="G18" s="4826"/>
      <c r="H18" s="4826"/>
      <c r="I18" s="4826"/>
      <c r="K18" s="190" t="s">
        <v>1267</v>
      </c>
      <c r="L18" s="3920">
        <f>IF(C1="",'数据-汇总表'!E3,SUMIF(项目类型,C1,'数据-汇总表'!E17:E26)+SUMIF(项目类型,C1,'数据-汇总表'!I17:I26))</f>
        <v>2467.34</v>
      </c>
      <c r="M18" s="3920">
        <f>IF(C1="",'数据-汇总表'!E3,SUMIF(项目类型,C1,'数据-汇总表'!E17:E26))</f>
        <v>2467.34</v>
      </c>
    </row>
    <row r="19" spans="1:36" ht="14.4">
      <c r="A19" s="1348" t="s">
        <v>1268</v>
      </c>
      <c r="B19" s="1349" t="s">
        <v>1269</v>
      </c>
      <c r="C19" s="3910">
        <f ca="1">SUMIF(INDIRECT("'"&amp;C4&amp;"'"&amp;"!A:A"),结果表!B19,INDIRECT("'"&amp;C4&amp;"'"&amp;"!B:B"))</f>
        <v>2600.9825000000001</v>
      </c>
      <c r="D19" s="3911">
        <f ca="1">'收益法 (元)'!B2</f>
        <v>1133.5065</v>
      </c>
      <c r="E19" s="1348" t="s">
        <v>1270</v>
      </c>
      <c r="F19" s="1349" t="s">
        <v>1269</v>
      </c>
      <c r="G19" s="3916">
        <f ca="1">ROUND(C19*$C$18+D19*$D$18,0)</f>
        <v>1427</v>
      </c>
      <c r="H19" s="1350" t="s">
        <v>1271</v>
      </c>
      <c r="I19" s="3919">
        <f ca="1">ROUND(C19*$C$18+D19*$D$18,4)</f>
        <v>1427.0017</v>
      </c>
      <c r="K19" s="190" t="s">
        <v>1272</v>
      </c>
      <c r="L19" s="3920">
        <f>IF(C1="",'数据-汇总表'!D3,SUMIF(项目类型,C1,'数据-汇总表'!D17:D26)+SUMIF(项目类型,C1,'数据-汇总表'!H17:H27))</f>
        <v>0</v>
      </c>
      <c r="M19" s="3920">
        <f>IF(C1="",'数据-汇总表'!D3,SUMIF(项目类型,C1,'数据-汇总表'!D17:D26))</f>
        <v>0</v>
      </c>
    </row>
    <row r="20" spans="1:36" ht="14.4">
      <c r="A20" s="1351"/>
      <c r="B20" s="713" t="s">
        <v>1273</v>
      </c>
      <c r="C20" s="3912">
        <f ca="1">SUMIF(INDIRECT("'"&amp;C4&amp;"'"&amp;"!A:A"),结果表!B20,INDIRECT("'"&amp;C4&amp;"'"&amp;"!B:B"))</f>
        <v>10542</v>
      </c>
      <c r="D20" s="3913">
        <f ca="1">'收益法 (元)'!B3</f>
        <v>4594</v>
      </c>
      <c r="E20" s="1351"/>
      <c r="F20" s="713" t="s">
        <v>1273</v>
      </c>
      <c r="G20" s="3917">
        <f ca="1">ROUND(C20*$C$18+D20*$D$18,0)</f>
        <v>5784</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c r="J21" s="517">
        <f ca="1">G19/40</f>
        <v>35.674999999999997</v>
      </c>
    </row>
    <row r="22" spans="1:36" ht="15" thickBot="1">
      <c r="A22" s="1281" t="s">
        <v>1276</v>
      </c>
      <c r="B22" s="1352"/>
      <c r="C22" s="2821"/>
      <c r="D22" s="4228">
        <f ca="1">IF(C19&lt;D19,D19/C19-1,C19/D19-1)</f>
        <v>1.2946339522534722</v>
      </c>
      <c r="E22" s="3635"/>
      <c r="F22" s="3637"/>
      <c r="G22" s="3918" t="e">
        <f ca="1">ROUND(G19/('数据-汇总表'!D3/666.67),0)</f>
        <v>#DIV/0!</v>
      </c>
      <c r="H22" s="3636" t="s">
        <v>3624</v>
      </c>
      <c r="I22" s="51"/>
    </row>
    <row r="23" spans="1:36" ht="13.8" thickBot="1">
      <c r="A23" s="1335"/>
      <c r="B23" s="1335"/>
      <c r="C23" s="1335"/>
      <c r="D23" s="1335"/>
      <c r="E23" s="51"/>
      <c r="F23" s="51"/>
      <c r="G23" s="51"/>
      <c r="H23" s="51"/>
      <c r="I23" s="51"/>
    </row>
    <row r="24" spans="1:36" ht="14.4">
      <c r="A24" s="4858" t="s">
        <v>1277</v>
      </c>
      <c r="B24" s="1349" t="s">
        <v>1269</v>
      </c>
      <c r="C24" s="3916">
        <f>IF(B30=0,0,D30)</f>
        <v>0</v>
      </c>
      <c r="D24" s="3921"/>
      <c r="E24" s="51"/>
      <c r="F24" s="51"/>
      <c r="G24" s="51"/>
      <c r="H24" s="51"/>
      <c r="I24" s="51"/>
    </row>
    <row r="25" spans="1:36" ht="14.4">
      <c r="A25" s="4859"/>
      <c r="B25" s="3645" t="s">
        <v>3627</v>
      </c>
      <c r="C25" s="3922">
        <f>IF(B30=0,0,C30)</f>
        <v>0</v>
      </c>
      <c r="D25" s="3923"/>
      <c r="E25" s="51"/>
      <c r="F25" s="51"/>
      <c r="G25" s="51"/>
      <c r="H25" s="51"/>
      <c r="I25" s="51"/>
    </row>
    <row r="26" spans="1:36" ht="13.5" customHeight="1">
      <c r="A26" s="1353" t="s">
        <v>1278</v>
      </c>
      <c r="B26" s="57" t="s">
        <v>1279</v>
      </c>
      <c r="C26" s="57" t="s">
        <v>1280</v>
      </c>
      <c r="D26" s="58" t="s">
        <v>1281</v>
      </c>
      <c r="E26" s="51"/>
      <c r="F26" s="51"/>
      <c r="G26" s="51"/>
      <c r="H26" s="51"/>
      <c r="I26" s="51"/>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5784</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830" t="s">
        <v>1290</v>
      </c>
      <c r="B36" s="1369" t="s">
        <v>1291</v>
      </c>
      <c r="C36" s="3932"/>
      <c r="D36" s="1370"/>
      <c r="E36" s="1371"/>
      <c r="F36" s="1372"/>
      <c r="G36" s="51"/>
      <c r="H36" s="51"/>
      <c r="I36" s="51"/>
    </row>
    <row r="37" spans="1:19" ht="15" thickBot="1">
      <c r="A37" s="4831"/>
      <c r="B37" s="1267" t="s">
        <v>1292</v>
      </c>
      <c r="C37" s="3933"/>
      <c r="D37" s="803"/>
      <c r="E37" s="803"/>
      <c r="F37" s="1372"/>
      <c r="G37" s="51"/>
      <c r="H37" s="51"/>
      <c r="I37" s="51"/>
    </row>
    <row r="38" spans="1:19" ht="15" thickBot="1">
      <c r="A38" s="4832"/>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855" t="s">
        <v>1304</v>
      </c>
      <c r="B45" s="4856"/>
      <c r="C45" s="4857"/>
      <c r="D45" s="3940">
        <f ca="1">ROUND(H101*F45,0)</f>
        <v>1427</v>
      </c>
      <c r="E45" s="61" t="s">
        <v>1305</v>
      </c>
      <c r="F45" s="62">
        <v>1</v>
      </c>
      <c r="G45" s="63" t="s">
        <v>1306</v>
      </c>
      <c r="H45" s="51"/>
      <c r="I45" s="51"/>
      <c r="J45" s="4861" t="s">
        <v>1307</v>
      </c>
      <c r="K45" s="4861"/>
      <c r="L45" s="4861"/>
      <c r="M45" s="4861"/>
      <c r="N45" s="4861"/>
      <c r="O45" s="4861"/>
    </row>
    <row r="46" spans="1:19" ht="14.25" customHeight="1">
      <c r="A46" s="4852" t="s">
        <v>1308</v>
      </c>
      <c r="B46" s="4853"/>
      <c r="C46" s="4853"/>
      <c r="D46" s="4853"/>
      <c r="E46" s="4853"/>
      <c r="F46" s="4853"/>
      <c r="G46" s="4854"/>
      <c r="H46" s="1388"/>
      <c r="I46" s="64"/>
      <c r="J46" s="2006">
        <v>1</v>
      </c>
      <c r="K46" s="4862" t="s">
        <v>1309</v>
      </c>
      <c r="L46" s="4862"/>
      <c r="M46" s="4863"/>
      <c r="N46" s="4863"/>
      <c r="O46" s="4863"/>
    </row>
    <row r="47" spans="1:19" ht="12" customHeight="1">
      <c r="A47" s="65" t="s">
        <v>1310</v>
      </c>
      <c r="B47" s="66"/>
      <c r="C47" s="67"/>
      <c r="D47" s="761" t="s">
        <v>1311</v>
      </c>
      <c r="E47" s="190" t="s">
        <v>1312</v>
      </c>
      <c r="F47" s="68" t="s">
        <v>1313</v>
      </c>
      <c r="G47" s="2021" t="s">
        <v>1314</v>
      </c>
      <c r="H47" s="2022"/>
      <c r="I47" s="64"/>
      <c r="J47" s="2006">
        <v>2</v>
      </c>
      <c r="K47" s="4862" t="s">
        <v>1315</v>
      </c>
      <c r="L47" s="4862"/>
      <c r="M47" s="4864">
        <f>'数据-取费表'!B2</f>
        <v>46059</v>
      </c>
      <c r="N47" s="4864"/>
      <c r="O47" s="4864"/>
    </row>
    <row r="48" spans="1:19" ht="26.4">
      <c r="A48" s="4833" t="s">
        <v>1316</v>
      </c>
      <c r="B48" s="4815"/>
      <c r="C48" s="4815"/>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862" t="s">
        <v>1318</v>
      </c>
      <c r="L48" s="4862"/>
      <c r="M48" s="4865">
        <f ca="1">H101</f>
        <v>1427.1095</v>
      </c>
      <c r="N48" s="4865"/>
      <c r="O48" s="4865"/>
      <c r="R48" s="3663" t="s">
        <v>3641</v>
      </c>
      <c r="S48" s="3664"/>
    </row>
    <row r="49" spans="1:35" ht="25.5" customHeight="1">
      <c r="A49" s="3807" t="s">
        <v>1319</v>
      </c>
      <c r="B49" s="4799" t="s">
        <v>1320</v>
      </c>
      <c r="C49" s="4799"/>
      <c r="D49" s="3942">
        <v>0</v>
      </c>
      <c r="E49" s="211" t="s">
        <v>1321</v>
      </c>
      <c r="F49" s="3798" t="s">
        <v>26</v>
      </c>
      <c r="G49" s="4791"/>
      <c r="H49" s="3656" t="s">
        <v>2036</v>
      </c>
      <c r="I49" s="3657"/>
      <c r="J49" s="2006">
        <v>4</v>
      </c>
      <c r="K49" s="4862" t="str">
        <f>IF(项目基本情况!E8="房地产抵押价值","房地产抵押价值","抵押担保权已注销时的房地产抵押价值")</f>
        <v>抵押担保权已注销时的房地产抵押价值</v>
      </c>
      <c r="L49" s="4862"/>
      <c r="M49" s="4865" t="str">
        <f>IF(项目基本情况!E8="房地产抵押价值",H107,H109)</f>
        <v>——</v>
      </c>
      <c r="N49" s="4865"/>
      <c r="O49" s="4865"/>
      <c r="R49" s="3665" t="s">
        <v>3642</v>
      </c>
      <c r="S49" s="3663" t="s">
        <v>3643</v>
      </c>
    </row>
    <row r="50" spans="1:35" ht="25.5" customHeight="1">
      <c r="A50" s="3808"/>
      <c r="B50" s="4799" t="s">
        <v>1322</v>
      </c>
      <c r="C50" s="4799"/>
      <c r="D50" s="3943"/>
      <c r="E50" s="219"/>
      <c r="F50" s="3798"/>
      <c r="G50" s="4792"/>
      <c r="H50" s="3658" t="s">
        <v>2037</v>
      </c>
      <c r="I50" s="3657"/>
      <c r="J50" s="4861" t="s">
        <v>1323</v>
      </c>
      <c r="K50" s="4861"/>
      <c r="L50" s="4861"/>
      <c r="M50" s="4861"/>
      <c r="N50" s="4861"/>
      <c r="O50" s="4861"/>
      <c r="R50" s="3665" t="s">
        <v>3644</v>
      </c>
      <c r="S50" s="3663" t="s">
        <v>3645</v>
      </c>
    </row>
    <row r="51" spans="1:35" ht="20.399999999999999" customHeight="1">
      <c r="A51" s="3809"/>
      <c r="B51" s="4799" t="s">
        <v>1324</v>
      </c>
      <c r="C51" s="4799"/>
      <c r="D51" s="3944"/>
      <c r="E51" s="214"/>
      <c r="F51" s="3798"/>
      <c r="G51" s="4793"/>
      <c r="H51" s="3658" t="s">
        <v>2038</v>
      </c>
      <c r="I51" s="3657"/>
      <c r="J51" s="2007" t="s">
        <v>1325</v>
      </c>
      <c r="K51" s="4862" t="s">
        <v>1326</v>
      </c>
      <c r="L51" s="4862"/>
      <c r="M51" s="2007" t="s">
        <v>1327</v>
      </c>
      <c r="N51" s="2007" t="s">
        <v>1328</v>
      </c>
      <c r="O51" s="2007" t="s">
        <v>1329</v>
      </c>
      <c r="R51" s="3665" t="s">
        <v>3646</v>
      </c>
      <c r="S51" s="3664" t="s">
        <v>3647</v>
      </c>
    </row>
    <row r="52" spans="1:35" ht="24" customHeight="1">
      <c r="A52" s="3799" t="s">
        <v>1330</v>
      </c>
      <c r="B52" s="4799" t="s">
        <v>1331</v>
      </c>
      <c r="C52" s="4799"/>
      <c r="D52" s="3944">
        <f ca="1">ROUND(D45*F52/(1+F52),0)</f>
        <v>42</v>
      </c>
      <c r="E52" s="3800" t="s">
        <v>1332</v>
      </c>
      <c r="F52" s="2025">
        <v>0.03</v>
      </c>
      <c r="G52" s="946" t="s">
        <v>3688</v>
      </c>
      <c r="H52" s="2019"/>
      <c r="I52" s="1389"/>
      <c r="J52" s="2006">
        <v>1</v>
      </c>
      <c r="K52" s="4788" t="s">
        <v>1333</v>
      </c>
      <c r="L52" s="4788"/>
      <c r="M52" s="3946">
        <f>IF(D48&lt;=0,0,D48)</f>
        <v>0</v>
      </c>
      <c r="N52" s="2006" t="str">
        <f>E48</f>
        <v>销售额×税（费）率</v>
      </c>
      <c r="O52" s="3835">
        <f>F48</f>
        <v>0</v>
      </c>
      <c r="R52" s="3663" t="s">
        <v>3648</v>
      </c>
      <c r="S52" s="3663" t="s">
        <v>3652</v>
      </c>
    </row>
    <row r="53" spans="1:35" ht="12" customHeight="1">
      <c r="A53" s="3799" t="s">
        <v>1334</v>
      </c>
      <c r="B53" s="4800" t="s">
        <v>2193</v>
      </c>
      <c r="C53" s="4801"/>
      <c r="D53" s="3944">
        <f ca="1">IF(G53="2016年5月1日之前项目",ROUND(D45*F53/(1+F53),0),H63)</f>
        <v>118</v>
      </c>
      <c r="E53" s="3800" t="str">
        <f>IF(G53="2016年5月1日之前项目","全额计税","进销项计算")</f>
        <v>进销项计算</v>
      </c>
      <c r="F53" s="2025">
        <f>IF(G53="2016年5月1日之前项目",5%,9%)</f>
        <v>0.09</v>
      </c>
      <c r="G53" s="3899"/>
      <c r="H53" s="2019"/>
      <c r="I53" s="1389"/>
      <c r="J53" s="2006">
        <v>2</v>
      </c>
      <c r="K53" s="4788" t="s">
        <v>1335</v>
      </c>
      <c r="L53" s="4788"/>
      <c r="M53" s="3946">
        <f t="shared" ref="M53:O54" ca="1" si="0">D55</f>
        <v>1</v>
      </c>
      <c r="N53" s="2006" t="str">
        <f t="shared" si="0"/>
        <v>销售额×税（费）率</v>
      </c>
      <c r="O53" s="3835" t="str">
        <f t="shared" si="0"/>
        <v>免征</v>
      </c>
      <c r="R53" s="3663" t="s">
        <v>3649</v>
      </c>
      <c r="S53" s="3664" t="s">
        <v>3656</v>
      </c>
    </row>
    <row r="54" spans="1:35" ht="12" customHeight="1">
      <c r="A54" s="3799" t="s">
        <v>1336</v>
      </c>
      <c r="B54" s="4800" t="s">
        <v>2194</v>
      </c>
      <c r="C54" s="4801"/>
      <c r="D54" s="3944">
        <f ca="1">IF(G54="2016年5月1日之前项目",C68,H63)</f>
        <v>118</v>
      </c>
      <c r="E54" s="3821" t="str">
        <f>IF(G54="2016年5月1日之前项目","差额计税","进销项计算")</f>
        <v>进销项计算</v>
      </c>
      <c r="F54" s="2025">
        <f>IF(G54="2016年5月1日之前项目",5%,9%)</f>
        <v>0.09</v>
      </c>
      <c r="G54" s="3899"/>
      <c r="H54" s="2027"/>
      <c r="I54" s="1389"/>
      <c r="J54" s="2006">
        <v>3</v>
      </c>
      <c r="K54" s="4788" t="s">
        <v>1337</v>
      </c>
      <c r="L54" s="4788"/>
      <c r="M54" s="3946" t="e">
        <f t="shared" ca="1" si="0"/>
        <v>#VALUE!</v>
      </c>
      <c r="N54" s="2006" t="str">
        <f t="shared" si="0"/>
        <v>增值额×税（费）率</v>
      </c>
      <c r="O54" s="3836" t="str">
        <f t="shared" si="0"/>
        <v>免征</v>
      </c>
      <c r="P54" s="51"/>
      <c r="R54" s="3665" t="s">
        <v>3650</v>
      </c>
      <c r="S54" s="3664" t="s">
        <v>3653</v>
      </c>
    </row>
    <row r="55" spans="1:35" ht="24" customHeight="1">
      <c r="A55" s="4814" t="s">
        <v>1338</v>
      </c>
      <c r="B55" s="4815"/>
      <c r="C55" s="4815"/>
      <c r="D55" s="3941">
        <f ca="1">IF(H55="个人住宅",0,ROUND(D45*I55,0))</f>
        <v>1</v>
      </c>
      <c r="E55" s="3800" t="s">
        <v>1339</v>
      </c>
      <c r="F55" s="2025" t="str">
        <f>IF(H55="正常",I55,"免征")</f>
        <v>免征</v>
      </c>
      <c r="G55" s="2026"/>
      <c r="H55" s="2024"/>
      <c r="I55" s="69">
        <f>'数据-取费表'!B50</f>
        <v>5.0000000000000001E-4</v>
      </c>
      <c r="J55" s="2006">
        <f>IF(H59="非个人房产","",4)</f>
        <v>4</v>
      </c>
      <c r="K55" s="4788" t="str">
        <f>IF(H59="非个人房产","——","个人所得税")</f>
        <v>个人所得税</v>
      </c>
      <c r="L55" s="4788"/>
      <c r="M55" s="3947">
        <f ca="1">D59</f>
        <v>14</v>
      </c>
      <c r="N55" s="1587" t="str">
        <f>E59</f>
        <v>差额计税</v>
      </c>
      <c r="O55" s="3837">
        <f>F59</f>
        <v>0.01</v>
      </c>
      <c r="R55" s="3665" t="s">
        <v>3651</v>
      </c>
      <c r="S55" s="3664" t="s">
        <v>3654</v>
      </c>
    </row>
    <row r="56" spans="1:35" ht="25.2">
      <c r="A56" s="4814" t="s">
        <v>1340</v>
      </c>
      <c r="B56" s="4815"/>
      <c r="C56" s="4815"/>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752" t="str">
        <f>IF(项目基本情况!K6="上海银行","其他处置费用","")</f>
        <v/>
      </c>
      <c r="L56" s="4753"/>
      <c r="M56" s="3946" t="str">
        <f>IF(项目基本情况!K6="上海银行",M69,"")</f>
        <v/>
      </c>
      <c r="N56" s="4752" t="str">
        <f>IF(项目基本情况!K6="上海银行","包含处置中涉及的律师、诉讼、拍卖、评估等费用","")</f>
        <v/>
      </c>
      <c r="O56" s="4756"/>
      <c r="R56" s="3664"/>
      <c r="S56" s="3664" t="s">
        <v>3655</v>
      </c>
    </row>
    <row r="57" spans="1:35" ht="13.2">
      <c r="A57" s="1828" t="s">
        <v>1319</v>
      </c>
      <c r="B57" s="4800" t="s">
        <v>1343</v>
      </c>
      <c r="C57" s="4801"/>
      <c r="D57" s="3942">
        <v>0</v>
      </c>
      <c r="E57" s="211" t="s">
        <v>1321</v>
      </c>
      <c r="F57" s="190"/>
      <c r="G57" s="2026"/>
      <c r="H57" s="2030"/>
      <c r="I57" s="1390"/>
      <c r="J57" s="4788">
        <f>IF(AND(J55="",J56=""),4,IF(项目基本情况!K6="上海银行",结果表!J56+1,结果表!J55+1))</f>
        <v>5</v>
      </c>
      <c r="K57" s="4788" t="s">
        <v>1344</v>
      </c>
      <c r="L57" s="2008" t="s">
        <v>1345</v>
      </c>
      <c r="M57" s="2009"/>
      <c r="N57" s="3948">
        <f ca="1">SUMIF(M52:M56,"&lt;9e307")</f>
        <v>15</v>
      </c>
      <c r="O57" s="2010"/>
      <c r="P57" s="2120" t="e">
        <f ca="1">N57/M49</f>
        <v>#VALUE!</v>
      </c>
      <c r="R57" s="4843" t="s">
        <v>3699</v>
      </c>
      <c r="S57" s="4844"/>
    </row>
    <row r="58" spans="1:35" ht="25.2">
      <c r="A58" s="1828" t="s">
        <v>1330</v>
      </c>
      <c r="B58" s="4800" t="s">
        <v>1346</v>
      </c>
      <c r="C58" s="4799"/>
      <c r="D58" s="3941">
        <f ca="1">IF(H58="转让取得",C81,C97)</f>
        <v>428</v>
      </c>
      <c r="E58" s="3800" t="s">
        <v>1341</v>
      </c>
      <c r="F58" s="190" t="s">
        <v>26</v>
      </c>
      <c r="G58" s="2026"/>
      <c r="H58" s="2029"/>
      <c r="I58" s="1390"/>
      <c r="J58" s="4788"/>
      <c r="K58" s="4788"/>
      <c r="L58" s="2008" t="s">
        <v>1347</v>
      </c>
      <c r="M58" s="2011"/>
      <c r="N58" s="2012" t="str">
        <f ca="1">NUMBERSTRING(INT(N57*10000),2)&amp;"元整"</f>
        <v>壹拾伍万元整</v>
      </c>
      <c r="O58" s="2013"/>
      <c r="R58" s="4845"/>
      <c r="S58" s="4846"/>
    </row>
    <row r="59" spans="1:35" ht="24.6" thickBot="1">
      <c r="A59" s="4789" t="s">
        <v>1348</v>
      </c>
      <c r="B59" s="4790"/>
      <c r="C59" s="4790"/>
      <c r="D59" s="3945">
        <f ca="1">IF(H59="非个人房产","——",IF(H59="个人住宅（满五唯一有凭证）",0,IF(H59="个人其他（无凭证）",ROUND(D45/(1+'数据-取费表'!C43)*F59,0),ROUND(C67*F59,0))))</f>
        <v>14</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786">
        <f>J57+1</f>
        <v>6</v>
      </c>
      <c r="K59" s="4788"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787"/>
      <c r="K60" s="4788"/>
      <c r="L60" s="2008" t="s">
        <v>1347</v>
      </c>
      <c r="M60" s="2011"/>
      <c r="N60" s="2823" t="e">
        <f ca="1">NUMBERSTRING(INT(N59*10000),2)&amp;"元整"</f>
        <v>#VALUE!</v>
      </c>
      <c r="O60" s="2013"/>
      <c r="R60" s="3663" t="s">
        <v>3659</v>
      </c>
      <c r="S60" s="3663" t="s">
        <v>3698</v>
      </c>
    </row>
    <row r="61" spans="1:35" ht="15" thickBot="1">
      <c r="A61" s="4850" t="s">
        <v>3696</v>
      </c>
      <c r="B61" s="4851"/>
      <c r="C61" s="4851"/>
      <c r="D61" s="4851"/>
      <c r="E61" s="3827"/>
      <c r="F61" s="4827" t="s">
        <v>3697</v>
      </c>
      <c r="G61" s="4828"/>
      <c r="H61" s="4828"/>
      <c r="I61" s="4829"/>
      <c r="J61" s="3810">
        <f>J59+1</f>
        <v>7</v>
      </c>
      <c r="K61" s="4788" t="s">
        <v>1350</v>
      </c>
      <c r="L61" s="4788"/>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1427</v>
      </c>
      <c r="D63" s="3824"/>
      <c r="E63" s="4847" t="s">
        <v>3701</v>
      </c>
      <c r="F63" s="4635">
        <v>1</v>
      </c>
      <c r="G63" s="4636" t="s">
        <v>4065</v>
      </c>
      <c r="H63" s="3953">
        <f ca="1">H64-H66</f>
        <v>118</v>
      </c>
      <c r="I63" s="3843"/>
      <c r="J63" s="4754"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1427</v>
      </c>
      <c r="D64" s="4619" t="s">
        <v>4060</v>
      </c>
      <c r="E64" s="4848"/>
      <c r="F64" s="4635">
        <v>2</v>
      </c>
      <c r="G64" s="4636" t="s">
        <v>3689</v>
      </c>
      <c r="H64" s="3953">
        <f ca="1">ROUND(H65*I64/(1+I64),0)</f>
        <v>118</v>
      </c>
      <c r="I64" s="3844">
        <v>0.09</v>
      </c>
      <c r="J64" s="4754"/>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848"/>
      <c r="F65" s="71" t="s">
        <v>323</v>
      </c>
      <c r="G65" s="3845" t="s">
        <v>3692</v>
      </c>
      <c r="H65" s="3953">
        <f ca="1">D45</f>
        <v>1427</v>
      </c>
      <c r="I65" s="4621" t="s">
        <v>4061</v>
      </c>
      <c r="J65" s="4754"/>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848"/>
      <c r="F66" s="4637">
        <v>3</v>
      </c>
      <c r="G66" s="4636" t="s">
        <v>3690</v>
      </c>
      <c r="H66" s="4462">
        <f>ROUND(H67*I67,0)+ROUND(H68*I68,0)</f>
        <v>0</v>
      </c>
      <c r="I66" s="4639"/>
      <c r="J66" s="4754"/>
      <c r="K66" s="941" t="s">
        <v>1359</v>
      </c>
      <c r="L66" s="3972" t="e">
        <f>M49*0.5%</f>
        <v>#VALUE!</v>
      </c>
      <c r="M66" s="3920" t="e">
        <f>IF(L66&gt;0.5,0.5,ROUND(L66,0))</f>
        <v>#VALUE!</v>
      </c>
      <c r="N66" s="2019" t="s">
        <v>1360</v>
      </c>
      <c r="Z66" s="1340"/>
      <c r="AI66" s="1341"/>
    </row>
    <row r="67" spans="1:35" ht="14.25" customHeight="1">
      <c r="A67" s="74" t="s">
        <v>326</v>
      </c>
      <c r="B67" s="3829" t="s">
        <v>3703</v>
      </c>
      <c r="C67" s="3950">
        <f ca="1">C63-C66</f>
        <v>1427</v>
      </c>
      <c r="D67" s="3825"/>
      <c r="E67" s="4848"/>
      <c r="F67" s="71" t="s">
        <v>323</v>
      </c>
      <c r="G67" s="3845" t="s">
        <v>3694</v>
      </c>
      <c r="H67" s="3954"/>
      <c r="I67" s="3844">
        <v>0.09</v>
      </c>
      <c r="J67" s="4754"/>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68</v>
      </c>
      <c r="D68" s="3826">
        <v>0.05</v>
      </c>
      <c r="E68" s="4849"/>
      <c r="F68" s="3838" t="s">
        <v>324</v>
      </c>
      <c r="G68" s="3846" t="s">
        <v>3695</v>
      </c>
      <c r="H68" s="3955"/>
      <c r="I68" s="3847">
        <v>0.06</v>
      </c>
      <c r="J68" s="4754"/>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755"/>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05" t="s">
        <v>1364</v>
      </c>
      <c r="B70" s="4806"/>
      <c r="C70" s="4806"/>
      <c r="D70" s="4806"/>
      <c r="E70" s="4806"/>
      <c r="F70" s="4806"/>
      <c r="G70" s="4806"/>
      <c r="H70" s="4806"/>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802" t="s">
        <v>1351</v>
      </c>
      <c r="B71" s="4803"/>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1309</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-118</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800" t="s">
        <v>1372</v>
      </c>
      <c r="F76" s="4799"/>
      <c r="G76" s="4799"/>
      <c r="H76" s="4804"/>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-118</v>
      </c>
      <c r="D78" s="4626">
        <f>'数据-取费表'!B44</f>
        <v>0.12000000000000001</v>
      </c>
      <c r="E78" s="4860" t="s">
        <v>1376</v>
      </c>
      <c r="F78" s="4820"/>
      <c r="G78" s="4820"/>
      <c r="H78" s="4821"/>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1427</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-12.09322033898305</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428</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05" t="s">
        <v>1380</v>
      </c>
      <c r="B83" s="4806"/>
      <c r="C83" s="4806"/>
      <c r="D83" s="4806"/>
      <c r="E83" s="4806"/>
      <c r="F83" s="4806"/>
      <c r="G83" s="4806"/>
      <c r="H83" s="4806"/>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802" t="s">
        <v>1351</v>
      </c>
      <c r="B84" s="4803"/>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1309</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-118</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757" t="s">
        <v>2031</v>
      </c>
      <c r="H90" s="4758"/>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94" t="s">
        <v>1389</v>
      </c>
      <c r="F91" s="4795"/>
      <c r="G91" s="4795"/>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94" t="s">
        <v>1392</v>
      </c>
      <c r="F92" s="4795"/>
      <c r="G92" s="4795"/>
      <c r="H92" s="4796"/>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-118</v>
      </c>
      <c r="D93" s="4626">
        <f>'数据-取费表'!B44</f>
        <v>0.12000000000000001</v>
      </c>
      <c r="E93" s="4819" t="s">
        <v>3686</v>
      </c>
      <c r="F93" s="4820"/>
      <c r="G93" s="4820"/>
      <c r="H93" s="4821"/>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22" t="s">
        <v>1396</v>
      </c>
      <c r="F94" s="4823"/>
      <c r="G94" s="4823"/>
      <c r="H94" s="4824"/>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1427</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-12.09322033898305</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428</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4" t="s">
        <v>1398</v>
      </c>
      <c r="B100" s="4745"/>
      <c r="C100" s="4745"/>
      <c r="D100" s="4759"/>
      <c r="E100" s="4745" t="s">
        <v>1399</v>
      </c>
      <c r="F100" s="4745"/>
      <c r="G100" s="4745"/>
      <c r="H100" s="4759"/>
      <c r="I100" s="51"/>
    </row>
    <row r="101" spans="1:35" ht="18.75" customHeight="1">
      <c r="A101" s="4765" t="s">
        <v>1400</v>
      </c>
      <c r="B101" s="4766"/>
      <c r="C101" s="2035" t="str">
        <f>C4</f>
        <v>成本法 (元)</v>
      </c>
      <c r="D101" s="2036" t="str">
        <f>D4</f>
        <v>收益法 (元)</v>
      </c>
      <c r="E101" s="4750" t="s">
        <v>1401</v>
      </c>
      <c r="F101" s="4751"/>
      <c r="G101" s="1407" t="s">
        <v>1402</v>
      </c>
      <c r="H101" s="3964">
        <f ca="1">I118</f>
        <v>1427.1095</v>
      </c>
      <c r="I101" s="51"/>
    </row>
    <row r="102" spans="1:35" ht="18.75" customHeight="1">
      <c r="A102" s="4767" t="s">
        <v>1403</v>
      </c>
      <c r="B102" s="2034" t="s">
        <v>1402</v>
      </c>
      <c r="C102" s="3960">
        <f ca="1">C19</f>
        <v>2600.9825000000001</v>
      </c>
      <c r="D102" s="3961">
        <f ca="1">D19</f>
        <v>1133.5065</v>
      </c>
      <c r="E102" s="4750"/>
      <c r="F102" s="4751"/>
      <c r="G102" s="1407" t="s">
        <v>1404</v>
      </c>
      <c r="H102" s="3965">
        <f ca="1">H118</f>
        <v>23442</v>
      </c>
      <c r="I102" s="51"/>
    </row>
    <row r="103" spans="1:35" ht="42.75" customHeight="1">
      <c r="A103" s="4767"/>
      <c r="B103" s="2034" t="s">
        <v>1404</v>
      </c>
      <c r="C103" s="3962">
        <f ca="1">C20</f>
        <v>10542</v>
      </c>
      <c r="D103" s="3963">
        <f ca="1">D20</f>
        <v>4594</v>
      </c>
      <c r="E103" s="4812" t="s">
        <v>1405</v>
      </c>
      <c r="F103" s="4813"/>
      <c r="G103" s="1408" t="s">
        <v>1406</v>
      </c>
      <c r="H103" s="3964">
        <f>IF(D36="正常操作",H104+H105+H106,H105+H106)</f>
        <v>0</v>
      </c>
      <c r="I103" s="51"/>
    </row>
    <row r="104" spans="1:35" ht="18.75" customHeight="1">
      <c r="A104" s="4767" t="s">
        <v>1407</v>
      </c>
      <c r="B104" s="2037" t="s">
        <v>1402</v>
      </c>
      <c r="C104" s="4776">
        <f ca="1">I118</f>
        <v>1427.1095</v>
      </c>
      <c r="D104" s="4777"/>
      <c r="E104" s="1267" t="s">
        <v>1408</v>
      </c>
      <c r="F104" s="1263"/>
      <c r="G104" s="1408" t="s">
        <v>1406</v>
      </c>
      <c r="H104" s="3966">
        <f>IF(D36="同一抵押权人同一抵押物续贷",C36&amp;"（续贷，未扣减，详见特别提示）",C36)</f>
        <v>0</v>
      </c>
      <c r="I104" s="51"/>
    </row>
    <row r="105" spans="1:35" ht="18.75" customHeight="1" thickBot="1">
      <c r="A105" s="4797"/>
      <c r="B105" s="2038" t="s">
        <v>1404</v>
      </c>
      <c r="C105" s="4778">
        <f ca="1">H118</f>
        <v>23442</v>
      </c>
      <c r="D105" s="4779"/>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68" t="str">
        <f>IF(项目基本情况!E8="已注销","——","3.房地产抵押价值")</f>
        <v>3.房地产抵押价值</v>
      </c>
      <c r="F107" s="4751"/>
      <c r="G107" s="1407" t="s">
        <v>1402</v>
      </c>
      <c r="H107" s="3964">
        <f ca="1">IF(E107="——","——",H101-H103)</f>
        <v>1427.1095</v>
      </c>
      <c r="I107" s="51"/>
    </row>
    <row r="108" spans="1:35" ht="18.75" customHeight="1">
      <c r="A108" s="51"/>
      <c r="B108" s="51"/>
      <c r="C108" s="51"/>
      <c r="D108" s="51"/>
      <c r="E108" s="4768"/>
      <c r="F108" s="4751"/>
      <c r="G108" s="1407" t="s">
        <v>1404</v>
      </c>
      <c r="H108" s="3965">
        <f ca="1">IF(H107=H101,H102,ROUND(H107*10000/'数据-汇总表'!E3,0))</f>
        <v>23442</v>
      </c>
      <c r="I108" s="51"/>
    </row>
    <row r="109" spans="1:35" ht="18.75" customHeight="1">
      <c r="A109" s="51"/>
      <c r="B109" s="51"/>
      <c r="C109" s="51"/>
      <c r="D109" s="51"/>
      <c r="E109" s="4768" t="str">
        <f>IF(项目基本情况!E8="已注销及未注销","4.抵押担保权已注销时的房地产抵押价值",IF(项目基本情况!E8="已注销","3.抵押担保权已注销时的房地产抵押价值","——"))</f>
        <v>——</v>
      </c>
      <c r="F109" s="4751"/>
      <c r="G109" s="1407" t="s">
        <v>1402</v>
      </c>
      <c r="H109" s="3968" t="str">
        <f>IF(E109="——","——",H101-H105-H106)</f>
        <v>——</v>
      </c>
      <c r="I109" s="51"/>
    </row>
    <row r="110" spans="1:35" ht="18.75" customHeight="1">
      <c r="A110" s="51"/>
      <c r="B110" s="51"/>
      <c r="C110" s="51"/>
      <c r="D110" s="51"/>
      <c r="E110" s="4768"/>
      <c r="F110" s="4751"/>
      <c r="G110" s="1407" t="s">
        <v>1404</v>
      </c>
      <c r="H110" s="3965" t="str">
        <f>IF(H109="——","——",ROUND(H109*10000/'数据-汇总表'!E3,0))</f>
        <v>——</v>
      </c>
      <c r="I110" s="51"/>
    </row>
    <row r="111" spans="1:35" ht="18.75" customHeight="1">
      <c r="A111" s="51"/>
      <c r="B111" s="51"/>
      <c r="C111" s="51"/>
      <c r="D111" s="51"/>
      <c r="E111" s="4769" t="str">
        <f>IF(项目基本情况!E9="抵押净值",IF(OR(项目基本情况!E8="已注销",项目基本情况!E8="房地产抵押价值"),"4.抵押净值","5.抵押净值"),"——")</f>
        <v>——</v>
      </c>
      <c r="F111" s="4770"/>
      <c r="G111" s="1407" t="s">
        <v>1402</v>
      </c>
      <c r="H111" s="3964" t="str">
        <f>IF(E111="——","——",N59)</f>
        <v>——</v>
      </c>
      <c r="I111" s="51"/>
    </row>
    <row r="112" spans="1:35" ht="18.75" customHeight="1" thickBot="1">
      <c r="A112" s="51"/>
      <c r="B112" s="51"/>
      <c r="C112" s="51"/>
      <c r="D112" s="51"/>
      <c r="E112" s="4771"/>
      <c r="F112" s="4772"/>
      <c r="G112" s="1410" t="s">
        <v>1404</v>
      </c>
      <c r="H112" s="3915" t="str">
        <f>IF(E111="——","——",N61)</f>
        <v>——</v>
      </c>
      <c r="I112" s="51"/>
    </row>
    <row r="113" spans="1:27" ht="18.75" customHeight="1">
      <c r="A113" s="51"/>
      <c r="B113" s="51"/>
      <c r="C113" s="51"/>
      <c r="D113" s="51"/>
      <c r="E113" s="4798" t="s">
        <v>1410</v>
      </c>
      <c r="F113" s="4798"/>
      <c r="G113" s="4798"/>
      <c r="H113" s="4798"/>
      <c r="I113" s="51"/>
    </row>
    <row r="114" spans="1:27" ht="3.75" customHeight="1">
      <c r="A114" s="1335"/>
      <c r="B114" s="1335"/>
      <c r="C114" s="1335"/>
      <c r="D114" s="1335"/>
      <c r="E114" s="1391"/>
      <c r="F114" s="1391"/>
      <c r="G114" s="1391"/>
      <c r="H114" s="1391"/>
      <c r="I114" s="1335"/>
    </row>
    <row r="115" spans="1:27" ht="18.75" customHeight="1">
      <c r="A115" s="4808" t="s">
        <v>1412</v>
      </c>
      <c r="B115" s="4809"/>
      <c r="C115" s="4809"/>
      <c r="D115" s="4809"/>
      <c r="E115" s="4809"/>
      <c r="F115" s="4809"/>
      <c r="G115" s="4809"/>
      <c r="H115" s="4809"/>
      <c r="I115" s="4810"/>
    </row>
    <row r="116" spans="1:27" ht="27" customHeight="1">
      <c r="A116" s="4773" t="s">
        <v>1413</v>
      </c>
      <c r="B116" s="4774" t="s">
        <v>1414</v>
      </c>
      <c r="C116" s="4774" t="s">
        <v>1415</v>
      </c>
      <c r="D116" s="4761" t="s">
        <v>1416</v>
      </c>
      <c r="E116" s="4762"/>
      <c r="F116" s="4807"/>
      <c r="G116" s="4807"/>
      <c r="H116" s="4773" t="s">
        <v>1417</v>
      </c>
      <c r="I116" s="4773"/>
      <c r="K116" s="3278"/>
      <c r="L116" s="3279" t="s">
        <v>3477</v>
      </c>
      <c r="M116" s="3279" t="s">
        <v>3478</v>
      </c>
      <c r="N116" s="3279" t="s">
        <v>3479</v>
      </c>
    </row>
    <row r="117" spans="1:27" ht="18.75" customHeight="1">
      <c r="A117" s="4773"/>
      <c r="B117" s="4775"/>
      <c r="C117" s="4775"/>
      <c r="D117" s="1824" t="s">
        <v>1419</v>
      </c>
      <c r="E117" s="1824" t="s">
        <v>1418</v>
      </c>
      <c r="F117" s="1824" t="s">
        <v>1420</v>
      </c>
      <c r="G117" s="1824" t="s">
        <v>1418</v>
      </c>
      <c r="H117" s="1824" t="s">
        <v>1420</v>
      </c>
      <c r="I117" s="1824" t="s">
        <v>1418</v>
      </c>
      <c r="K117" s="3279" t="s">
        <v>3475</v>
      </c>
      <c r="L117" s="3969" t="e">
        <f ca="1">C34</f>
        <v>#REF!</v>
      </c>
      <c r="M117" s="3970" t="e">
        <f ca="1">C35</f>
        <v>#REF!</v>
      </c>
      <c r="N117" s="3970">
        <f ca="1">C32</f>
        <v>5784</v>
      </c>
    </row>
    <row r="118" spans="1:27" ht="24.75" customHeight="1">
      <c r="A118" s="2039" t="str">
        <f>项目基本情况!S2</f>
        <v>北京市房地产</v>
      </c>
      <c r="B118" s="2831">
        <f>M18</f>
        <v>2467.34</v>
      </c>
      <c r="C118" s="2831">
        <f>M19</f>
        <v>0</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23442</v>
      </c>
      <c r="I118" s="4340">
        <f ca="1">ROUND(IF(D32="总价",C32,N119*B118/10000),4)</f>
        <v>1427.1095</v>
      </c>
      <c r="K118" s="3278"/>
      <c r="L118" s="3971"/>
      <c r="M118" s="3971"/>
      <c r="N118" s="3971"/>
    </row>
    <row r="119" spans="1:27" ht="18.75" customHeight="1">
      <c r="A119" s="4773" t="s">
        <v>1421</v>
      </c>
      <c r="B119" s="4773"/>
      <c r="C119" s="4773"/>
      <c r="D119" s="4763" t="e">
        <f ca="1">NUMBERSTRING(INT(E118*10000),2)&amp;"元整"</f>
        <v>#REF!</v>
      </c>
      <c r="E119" s="4764"/>
      <c r="F119" s="4763" t="e">
        <f ca="1">NUMBERSTRING(INT(G118*10000),2)&amp;"元整"</f>
        <v>#REF!</v>
      </c>
      <c r="G119" s="4764"/>
      <c r="H119" s="4763" t="str">
        <f ca="1">NUMBERSTRING(INT(I118*10000),2)&amp;"元整"</f>
        <v>壹仟肆佰贰拾柒万壹仟零玖拾伍元整</v>
      </c>
      <c r="I119" s="4764"/>
      <c r="K119" s="3279" t="s">
        <v>3476</v>
      </c>
      <c r="L119" s="3970" t="e">
        <f ca="1">C34</f>
        <v>#REF!</v>
      </c>
      <c r="M119" s="3970" t="e">
        <f ca="1">C35</f>
        <v>#REF!</v>
      </c>
      <c r="N119" s="3970">
        <f ca="1">C32</f>
        <v>5784</v>
      </c>
    </row>
    <row r="120" spans="1:27" ht="18.75" hidden="1" customHeight="1">
      <c r="A120" s="4782" t="str">
        <f>IF(项目基本情况!B9="房地产市场价值","",MID(E103,3,LEN(E103)-2))</f>
        <v>估价师知悉的法定优先受偿款</v>
      </c>
      <c r="B120" s="4783"/>
      <c r="C120" s="4783"/>
      <c r="D120" s="4783"/>
      <c r="E120" s="4783"/>
      <c r="F120" s="4783"/>
      <c r="G120" s="4784"/>
      <c r="H120" s="4866">
        <f>H103</f>
        <v>0</v>
      </c>
      <c r="I120" s="4867"/>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63" t="s">
        <v>1421</v>
      </c>
      <c r="B121" s="4785"/>
      <c r="C121" s="4785"/>
      <c r="D121" s="4785"/>
      <c r="E121" s="4785"/>
      <c r="F121" s="4785"/>
      <c r="G121" s="4764"/>
      <c r="H121" s="4868" t="str">
        <f>IF(H120=0,"零元整",NUMBERSTRING(INT(H120*10000),2)&amp;"元整")</f>
        <v>零元整</v>
      </c>
      <c r="I121" s="4869"/>
      <c r="AA121" s="517"/>
    </row>
    <row r="122" spans="1:27" ht="18.75" hidden="1" customHeight="1">
      <c r="A122" s="4782" t="str">
        <f>IF(项目基本情况!B9="房地产市场价值","",MID(E107,3,LEN(E107)-2))</f>
        <v>房地产抵押价值</v>
      </c>
      <c r="B122" s="4783"/>
      <c r="C122" s="4783"/>
      <c r="D122" s="4783"/>
      <c r="E122" s="4783"/>
      <c r="F122" s="4783"/>
      <c r="G122" s="4784"/>
      <c r="H122" s="4780">
        <f ca="1">H107</f>
        <v>1427.1095</v>
      </c>
      <c r="I122" s="4781"/>
      <c r="AA122" s="517"/>
    </row>
    <row r="123" spans="1:27" ht="18.75" hidden="1" customHeight="1">
      <c r="A123" s="4763" t="s">
        <v>1421</v>
      </c>
      <c r="B123" s="4785"/>
      <c r="C123" s="4785"/>
      <c r="D123" s="4785"/>
      <c r="E123" s="4785"/>
      <c r="F123" s="4785"/>
      <c r="G123" s="4764"/>
      <c r="H123" s="4763" t="str">
        <f ca="1">NUMBERSTRING(INT(H122*10000),2)&amp;"元整"</f>
        <v>壹仟肆佰贰拾柒万壹仟零玖拾伍元整</v>
      </c>
      <c r="I123" s="4764"/>
      <c r="AA123" s="517"/>
    </row>
    <row r="124" spans="1:27" ht="18.75" hidden="1" customHeight="1">
      <c r="A124" s="4782" t="str">
        <f>IF(项目基本情况!B9="房地产市场价值","",MID(E109,3,LEN(E109)-2))</f>
        <v/>
      </c>
      <c r="B124" s="4783"/>
      <c r="C124" s="4783"/>
      <c r="D124" s="4783"/>
      <c r="E124" s="4783"/>
      <c r="F124" s="4783"/>
      <c r="G124" s="4784"/>
      <c r="H124" s="4780" t="str">
        <f>H109</f>
        <v>——</v>
      </c>
      <c r="I124" s="4781"/>
      <c r="AA124" s="517"/>
    </row>
    <row r="125" spans="1:27" ht="18.75" hidden="1" customHeight="1">
      <c r="A125" s="4763" t="s">
        <v>1421</v>
      </c>
      <c r="B125" s="4785"/>
      <c r="C125" s="4785"/>
      <c r="D125" s="4785"/>
      <c r="E125" s="4785"/>
      <c r="F125" s="4785"/>
      <c r="G125" s="4764"/>
      <c r="H125" s="4763" t="e">
        <f>NUMBERSTRING(INT(H124*10000),2)&amp;"元整"</f>
        <v>#VALUE!</v>
      </c>
      <c r="I125" s="4764"/>
      <c r="AA125" s="517"/>
    </row>
    <row r="126" spans="1:27" ht="18.75" hidden="1" customHeight="1">
      <c r="A126" s="4782" t="str">
        <f>IF(项目基本情况!B9="房地产市场价值","",MID(E111,3,LEN(E111)-2))</f>
        <v/>
      </c>
      <c r="B126" s="4783"/>
      <c r="C126" s="4783"/>
      <c r="D126" s="4783"/>
      <c r="E126" s="4783"/>
      <c r="F126" s="4783"/>
      <c r="G126" s="4784"/>
      <c r="H126" s="4780" t="str">
        <f>H111</f>
        <v>——</v>
      </c>
      <c r="I126" s="4781"/>
      <c r="AA126" s="517"/>
    </row>
    <row r="127" spans="1:27" ht="18.75" hidden="1" customHeight="1">
      <c r="A127" s="4763" t="s">
        <v>1421</v>
      </c>
      <c r="B127" s="4785"/>
      <c r="C127" s="4785"/>
      <c r="D127" s="4785"/>
      <c r="E127" s="4785"/>
      <c r="F127" s="4785"/>
      <c r="G127" s="4764"/>
      <c r="H127" s="4763" t="e">
        <f>NUMBERSTRING(INT(H126*10000),2)&amp;"元整"</f>
        <v>#VALUE!</v>
      </c>
      <c r="I127" s="4764"/>
      <c r="AA127" s="517"/>
    </row>
    <row r="128" spans="1:27" ht="21.75" hidden="1" customHeight="1">
      <c r="A128" s="4760" t="s">
        <v>1422</v>
      </c>
      <c r="B128" s="4760"/>
      <c r="C128" s="4760"/>
      <c r="D128" s="4760"/>
      <c r="E128" s="4760"/>
      <c r="F128" s="4760"/>
      <c r="G128" s="4760"/>
      <c r="H128" s="4760"/>
      <c r="I128" s="4760"/>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130" zoomScaleNormal="130" workbookViewId="0">
      <selection activeCell="D32" sqref="D32"/>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4143</v>
      </c>
      <c r="B1" s="4649" t="s">
        <v>4141</v>
      </c>
      <c r="C1" s="4649" t="s">
        <v>4148</v>
      </c>
      <c r="D1" s="4649" t="s">
        <v>4150</v>
      </c>
      <c r="E1" s="4649" t="s">
        <v>4142</v>
      </c>
      <c r="F1" s="4649" t="s">
        <v>4144</v>
      </c>
    </row>
    <row r="2" spans="1:7">
      <c r="A2" s="4649" t="s">
        <v>4146</v>
      </c>
      <c r="B2" s="4649" t="s">
        <v>4145</v>
      </c>
      <c r="C2" s="4649" t="s">
        <v>4147</v>
      </c>
      <c r="D2" s="4649">
        <v>302661</v>
      </c>
      <c r="E2" s="2603">
        <v>242128</v>
      </c>
      <c r="F2" s="4650">
        <v>45556</v>
      </c>
      <c r="G2" s="4651" t="s">
        <v>4149</v>
      </c>
    </row>
    <row r="3" spans="1:7" ht="28.8">
      <c r="A3" s="4649" t="s">
        <v>4156</v>
      </c>
      <c r="B3" s="4652" t="s">
        <v>4151</v>
      </c>
      <c r="C3" s="4649" t="s">
        <v>4152</v>
      </c>
      <c r="D3" s="2603">
        <v>800000</v>
      </c>
      <c r="E3" s="2603">
        <v>850000</v>
      </c>
      <c r="F3" s="4650">
        <v>45515</v>
      </c>
      <c r="G3" s="4653" t="s">
        <v>4153</v>
      </c>
    </row>
    <row r="4" spans="1:7">
      <c r="A4" s="4649" t="s">
        <v>4146</v>
      </c>
      <c r="B4" s="4649" t="s">
        <v>4154</v>
      </c>
      <c r="C4" s="4649" t="s">
        <v>4147</v>
      </c>
      <c r="D4" s="2603">
        <v>302661</v>
      </c>
      <c r="E4" s="2603">
        <v>242128</v>
      </c>
      <c r="F4" s="4650">
        <v>45509</v>
      </c>
      <c r="G4" s="4653" t="s">
        <v>4155</v>
      </c>
    </row>
    <row r="5" spans="1:7">
      <c r="A5" s="4649" t="s">
        <v>4157</v>
      </c>
      <c r="B5" s="4649" t="s">
        <v>4158</v>
      </c>
      <c r="C5" s="4649" t="s">
        <v>4147</v>
      </c>
      <c r="D5" s="2603">
        <v>302661</v>
      </c>
      <c r="E5" s="2603">
        <v>302661</v>
      </c>
      <c r="F5" s="4650">
        <v>45416</v>
      </c>
      <c r="G5" s="4653" t="s">
        <v>4159</v>
      </c>
    </row>
    <row r="6" spans="1:7">
      <c r="A6" s="4649" t="s">
        <v>4160</v>
      </c>
      <c r="B6" s="4649" t="s">
        <v>4161</v>
      </c>
      <c r="C6" s="4649" t="s">
        <v>4162</v>
      </c>
      <c r="D6" s="2603">
        <v>697748</v>
      </c>
      <c r="E6" s="2603">
        <v>666023</v>
      </c>
      <c r="F6" s="4650">
        <v>45265</v>
      </c>
      <c r="G6" s="4653" t="s">
        <v>4163</v>
      </c>
    </row>
    <row r="7" spans="1:7">
      <c r="A7" s="4649" t="s">
        <v>4165</v>
      </c>
      <c r="B7" s="4649" t="s">
        <v>4164</v>
      </c>
      <c r="C7" s="4649" t="s">
        <v>4166</v>
      </c>
      <c r="D7" s="2603">
        <v>848945</v>
      </c>
      <c r="E7" s="4649" t="s">
        <v>4167</v>
      </c>
      <c r="F7" s="4650">
        <v>46080</v>
      </c>
      <c r="G7" s="4651" t="s">
        <v>4168</v>
      </c>
    </row>
    <row r="8" spans="1:7">
      <c r="A8" s="4649" t="s">
        <v>4146</v>
      </c>
      <c r="B8" s="4649" t="s">
        <v>4169</v>
      </c>
      <c r="C8" s="4649" t="s">
        <v>4170</v>
      </c>
      <c r="D8" s="2603">
        <v>332408</v>
      </c>
      <c r="E8" s="4649" t="s">
        <v>4167</v>
      </c>
      <c r="F8" s="4650">
        <v>46054</v>
      </c>
      <c r="G8" s="4651" t="s">
        <v>4171</v>
      </c>
    </row>
    <row r="9" spans="1:7">
      <c r="A9" s="4649" t="s">
        <v>4165</v>
      </c>
      <c r="B9" s="4649" t="s">
        <v>4172</v>
      </c>
      <c r="C9" s="4649" t="s">
        <v>4173</v>
      </c>
      <c r="D9" s="2603">
        <v>250000</v>
      </c>
      <c r="E9" s="4649" t="s">
        <v>4167</v>
      </c>
      <c r="F9" s="4650">
        <v>45982</v>
      </c>
      <c r="G9" s="4653" t="s">
        <v>4174</v>
      </c>
    </row>
    <row r="10" spans="1:7">
      <c r="A10" s="4649" t="s">
        <v>4176</v>
      </c>
      <c r="B10" s="4649" t="s">
        <v>4175</v>
      </c>
      <c r="C10" s="4649" t="s">
        <v>4173</v>
      </c>
      <c r="D10" s="2603">
        <v>500000</v>
      </c>
      <c r="E10" s="2603">
        <v>378000</v>
      </c>
      <c r="F10" s="4650">
        <v>45786</v>
      </c>
      <c r="G10" s="4653" t="s">
        <v>4177</v>
      </c>
    </row>
    <row r="11" spans="1:7">
      <c r="A11" s="4649" t="s">
        <v>4165</v>
      </c>
      <c r="B11" s="4649" t="s">
        <v>4178</v>
      </c>
      <c r="C11" s="4649" t="s">
        <v>4179</v>
      </c>
      <c r="D11" s="2603">
        <v>262400</v>
      </c>
      <c r="E11" s="2603">
        <v>195944</v>
      </c>
      <c r="F11" s="4650">
        <v>45531</v>
      </c>
      <c r="G11" s="4653" t="s">
        <v>4180</v>
      </c>
    </row>
    <row r="12" spans="1:7">
      <c r="A12" s="4649" t="s">
        <v>4157</v>
      </c>
      <c r="B12" s="4649" t="s">
        <v>4181</v>
      </c>
      <c r="C12" s="4649" t="s">
        <v>4182</v>
      </c>
      <c r="D12" s="2603">
        <v>640000</v>
      </c>
      <c r="E12" s="4654" t="s">
        <v>4185</v>
      </c>
      <c r="G12" s="4651" t="s">
        <v>4183</v>
      </c>
    </row>
    <row r="13" spans="1:7">
      <c r="A13" s="4649" t="s">
        <v>4157</v>
      </c>
      <c r="B13" s="4649" t="s">
        <v>4184</v>
      </c>
      <c r="C13" s="4649" t="s">
        <v>4187</v>
      </c>
      <c r="D13" s="2603">
        <v>424595</v>
      </c>
      <c r="E13" s="4654" t="s">
        <v>4186</v>
      </c>
      <c r="G13" s="4651" t="s">
        <v>4188</v>
      </c>
    </row>
    <row r="14" spans="1:7">
      <c r="A14" s="4649" t="s">
        <v>4191</v>
      </c>
      <c r="B14" s="4649" t="s">
        <v>4189</v>
      </c>
      <c r="C14" s="4649" t="s">
        <v>4190</v>
      </c>
      <c r="D14" s="2603">
        <v>533820</v>
      </c>
      <c r="E14" s="4649" t="s">
        <v>4167</v>
      </c>
      <c r="G14" s="4651" t="s">
        <v>4192</v>
      </c>
    </row>
    <row r="15" spans="1:7">
      <c r="A15" s="4649" t="s">
        <v>4165</v>
      </c>
      <c r="B15" s="4649" t="s">
        <v>4193</v>
      </c>
      <c r="C15" s="4649" t="s">
        <v>4194</v>
      </c>
      <c r="D15" s="2603">
        <v>500000</v>
      </c>
      <c r="E15" s="2603">
        <v>280000</v>
      </c>
      <c r="F15" s="4650">
        <v>46098</v>
      </c>
      <c r="G15" s="4653" t="s">
        <v>4195</v>
      </c>
    </row>
    <row r="16" spans="1:7">
      <c r="A16" s="4649" t="s">
        <v>4165</v>
      </c>
      <c r="B16" s="4649" t="s">
        <v>4196</v>
      </c>
      <c r="C16" s="4649" t="s">
        <v>4204</v>
      </c>
      <c r="D16" s="2603">
        <v>423300</v>
      </c>
      <c r="E16" s="2603">
        <v>395000</v>
      </c>
      <c r="F16" s="4650">
        <v>46079</v>
      </c>
      <c r="G16" s="4653" t="s">
        <v>4197</v>
      </c>
    </row>
    <row r="17" spans="1:7">
      <c r="A17" s="4649" t="s">
        <v>4198</v>
      </c>
      <c r="B17" s="4649" t="s">
        <v>4199</v>
      </c>
      <c r="C17" s="4649" t="s">
        <v>4200</v>
      </c>
      <c r="D17" s="2603">
        <v>275000</v>
      </c>
      <c r="E17" s="2603">
        <v>230750</v>
      </c>
      <c r="F17" s="4650">
        <v>45873</v>
      </c>
      <c r="G17" s="4653" t="s">
        <v>4201</v>
      </c>
    </row>
    <row r="18" spans="1:7">
      <c r="A18" s="4649" t="s">
        <v>4157</v>
      </c>
      <c r="B18" s="4649" t="s">
        <v>4202</v>
      </c>
      <c r="C18" s="4649" t="s">
        <v>4200</v>
      </c>
      <c r="D18" s="2603">
        <v>275000</v>
      </c>
      <c r="E18" s="2603">
        <v>249500</v>
      </c>
      <c r="F18" s="4650">
        <v>45845</v>
      </c>
      <c r="G18" s="4653" t="s">
        <v>4203</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5" t="str">
        <f>项目基本情况!B1</f>
        <v>北京市预评估</v>
      </c>
      <c r="C37" s="4655"/>
      <c r="D37" s="4655"/>
      <c r="E37" s="4655"/>
      <c r="F37" s="4655"/>
      <c r="G37" s="4655"/>
      <c r="H37" s="4655"/>
      <c r="I37" s="4655"/>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969</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3927</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1268</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1134</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938</v>
      </c>
      <c r="D10" s="2784"/>
      <c r="E10" s="148"/>
      <c r="F10" s="2792">
        <f ca="1">IF('数据-取费表'!B24=0,1,IF(B1="",'数据-取费表'!N16,INDIRECT("'数据-取费表'!n"&amp;$G$1)))</f>
        <v>1</v>
      </c>
      <c r="G10" s="160" t="s">
        <v>1467</v>
      </c>
    </row>
    <row r="11" spans="1:9" s="113" customFormat="1">
      <c r="A11" s="2807" t="s">
        <v>349</v>
      </c>
      <c r="B11" s="2808" t="s">
        <v>3321</v>
      </c>
      <c r="C11" s="2754">
        <f ca="1">ROUND(C10*F11,0)</f>
        <v>19</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139</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49</v>
      </c>
      <c r="D16" s="2794">
        <f ca="1">IF(B1="",'数据-汇总表'!E6,IF(INDIRECT("'数据-取费表'!c"&amp;$G$1)="住宅",INDIRECT("'数据-取费表'!s"&amp;$G$1),INDIRECT("'数据-取费表'!k"&amp;$G$1)+INDIRECT("'数据-取费表'!s"&amp;$G$1)))</f>
        <v>2467.34</v>
      </c>
      <c r="E16" s="2794">
        <f>'数据-取费表'!B28</f>
        <v>200</v>
      </c>
      <c r="F16" s="2786"/>
      <c r="G16" s="125"/>
    </row>
    <row r="17" spans="1:7" s="113" customFormat="1">
      <c r="A17" s="2738" t="s">
        <v>3288</v>
      </c>
      <c r="B17" s="2812" t="s">
        <v>3293</v>
      </c>
      <c r="C17" s="2754">
        <f ca="1">IF(G17="已包含在土地取得成本中","0",ROUND(D17*E17/10000,0))</f>
        <v>65</v>
      </c>
      <c r="D17" s="2795">
        <f ca="1">D15+D16</f>
        <v>2467.34</v>
      </c>
      <c r="E17" s="2795">
        <f>'数据-取费表'!B31</f>
        <v>265</v>
      </c>
      <c r="F17" s="2762"/>
      <c r="G17" s="1436"/>
    </row>
    <row r="18" spans="1:7" s="113" customFormat="1">
      <c r="A18" s="2813" t="s">
        <v>3289</v>
      </c>
      <c r="B18" s="2812" t="s">
        <v>1472</v>
      </c>
      <c r="C18" s="2754">
        <f ca="1">ROUND(E18*D18*F10/10000,0)</f>
        <v>74</v>
      </c>
      <c r="D18" s="2754">
        <f ca="1">D17</f>
        <v>2467.34</v>
      </c>
      <c r="E18" s="2754">
        <f>'数据-取费表'!B35</f>
        <v>300</v>
      </c>
      <c r="F18" s="2765"/>
      <c r="G18" s="160" t="str">
        <f ca="1">IF(F10=100%,"","按工程进度计取")</f>
        <v/>
      </c>
    </row>
    <row r="19" spans="1:7" s="113" customFormat="1">
      <c r="A19" s="2807" t="s">
        <v>352</v>
      </c>
      <c r="B19" s="2808" t="s">
        <v>3324</v>
      </c>
      <c r="C19" s="2754">
        <f ca="1">ROUND(C10*F19,0)</f>
        <v>19</v>
      </c>
      <c r="D19" s="148"/>
      <c r="E19" s="148"/>
      <c r="F19" s="2765">
        <f>'数据-取费表'!B36</f>
        <v>0.02</v>
      </c>
      <c r="G19" s="160" t="s">
        <v>1469</v>
      </c>
    </row>
    <row r="20" spans="1:7" s="113" customFormat="1">
      <c r="A20" s="2807" t="s">
        <v>3290</v>
      </c>
      <c r="B20" s="2808" t="s">
        <v>3325</v>
      </c>
      <c r="C20" s="2754">
        <f ca="1">ROUND(C10*F20,0)</f>
        <v>19</v>
      </c>
      <c r="D20" s="2796"/>
      <c r="E20" s="144"/>
      <c r="F20" s="2765">
        <f>'数据-取费表'!B37</f>
        <v>0.02</v>
      </c>
      <c r="G20" s="160" t="s">
        <v>1469</v>
      </c>
    </row>
    <row r="21" spans="1:7" s="2766" customFormat="1" ht="14.4">
      <c r="A21" s="2745" t="s">
        <v>3338</v>
      </c>
      <c r="B21" s="2804" t="s">
        <v>3339</v>
      </c>
      <c r="C21" s="2767">
        <f ca="1">ROUND((C6+C9)*F21,0)</f>
        <v>11</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17+0.0002V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17</v>
      </c>
      <c r="D25" s="137"/>
      <c r="E25" s="137"/>
      <c r="F25" s="2761"/>
      <c r="G25" s="4258" t="s">
        <v>3987</v>
      </c>
    </row>
    <row r="26" spans="1:7" s="113" customFormat="1">
      <c r="A26" s="2814" t="s">
        <v>348</v>
      </c>
      <c r="B26" s="2812" t="s">
        <v>1454</v>
      </c>
      <c r="C26" s="2757">
        <f ca="1">ROUND(IF('数据-取费表'!B22&lt;=1,F22*F23*'数据-取费表'!B23/2,F22*(POWER((1+F23),'数据-取费表'!B23/2)-1)),4)</f>
        <v>2.0000000000000001E-4</v>
      </c>
      <c r="D26" s="137"/>
      <c r="E26" s="140"/>
      <c r="F26" s="2761"/>
      <c r="G26" s="4603" t="s">
        <v>3988</v>
      </c>
    </row>
    <row r="27" spans="1:7" s="2766" customFormat="1" ht="14.4">
      <c r="A27" s="2745" t="s">
        <v>3344</v>
      </c>
      <c r="B27" s="2806" t="s">
        <v>3296</v>
      </c>
      <c r="C27" s="2773" t="str">
        <f ca="1">C28&amp;"+"&amp;C29&amp;"V"</f>
        <v>92+0.0008V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92</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299</v>
      </c>
      <c r="D31" s="2749"/>
      <c r="E31" s="2749"/>
      <c r="F31" s="2763">
        <f>IF('数据-取费表'!B24=0,'数据-取费表'!N16,1)</f>
        <v>0.75</v>
      </c>
      <c r="G31" s="2750" t="s">
        <v>3807</v>
      </c>
    </row>
    <row r="32" spans="1:7" s="113" customFormat="1" ht="15.6">
      <c r="A32" s="2737" t="s">
        <v>3299</v>
      </c>
      <c r="B32" s="2736" t="s">
        <v>3300</v>
      </c>
      <c r="C32" s="2758">
        <f ca="1">C5-C31</f>
        <v>969</v>
      </c>
      <c r="D32" s="2749"/>
      <c r="E32" s="2749"/>
      <c r="F32" s="2748"/>
      <c r="G32" s="2751" t="s">
        <v>3331</v>
      </c>
    </row>
    <row r="33" spans="1:7" s="113" customFormat="1" ht="16.2" thickBot="1">
      <c r="A33" s="2817">
        <v>4</v>
      </c>
      <c r="B33" s="2818" t="s">
        <v>3332</v>
      </c>
      <c r="C33" s="2759">
        <f ca="1">ROUND(C32*(1+F33),0)</f>
        <v>1056</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1069</v>
      </c>
      <c r="D40" s="3015"/>
      <c r="E40" s="3015"/>
      <c r="F40" s="3015"/>
      <c r="G40" s="4343"/>
    </row>
    <row r="41" spans="1:7" ht="15.6">
      <c r="A41" s="2799" t="s">
        <v>3303</v>
      </c>
      <c r="B41" s="2866" t="str">
        <f t="shared" ref="B41:C43" si="0">B10</f>
        <v xml:space="preserve">  建安费用</v>
      </c>
      <c r="C41" s="2734">
        <f t="shared" ca="1" si="0"/>
        <v>938</v>
      </c>
      <c r="D41" s="2729"/>
      <c r="E41" s="2729"/>
      <c r="F41" s="2730"/>
      <c r="G41" s="4344"/>
    </row>
    <row r="42" spans="1:7" ht="15.6">
      <c r="A42" s="2799" t="s">
        <v>3304</v>
      </c>
      <c r="B42" s="2866" t="str">
        <f t="shared" si="0"/>
        <v xml:space="preserve">  前期费用</v>
      </c>
      <c r="C42" s="2734">
        <f t="shared" ca="1" si="0"/>
        <v>19</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74</v>
      </c>
      <c r="D44" s="2729"/>
      <c r="E44" s="2729"/>
      <c r="F44" s="2730"/>
      <c r="G44" s="4344"/>
    </row>
    <row r="45" spans="1:7" ht="15.6">
      <c r="A45" s="2814" t="s">
        <v>3305</v>
      </c>
      <c r="B45" s="2809" t="str">
        <f>B19</f>
        <v xml:space="preserve">  其他工程费</v>
      </c>
      <c r="C45" s="2739">
        <f ca="1">C19</f>
        <v>19</v>
      </c>
      <c r="D45" s="2864"/>
      <c r="E45" s="2864"/>
      <c r="F45" s="2865"/>
      <c r="G45" s="4345"/>
    </row>
    <row r="46" spans="1:7" ht="15.6">
      <c r="A46" s="2814" t="s">
        <v>3367</v>
      </c>
      <c r="B46" s="2809" t="s">
        <v>3306</v>
      </c>
      <c r="C46" s="2739">
        <f ca="1">C20</f>
        <v>19</v>
      </c>
      <c r="D46" s="2864"/>
      <c r="E46" s="2864"/>
      <c r="F46" s="2865"/>
      <c r="G46" s="4345"/>
    </row>
    <row r="47" spans="1:7" ht="14.4">
      <c r="A47" s="2867" t="s">
        <v>3455</v>
      </c>
      <c r="B47" s="2868" t="s">
        <v>3456</v>
      </c>
      <c r="C47" s="2869">
        <f ca="1">ROUND(C40*F47,0)</f>
        <v>11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16+0.0002V建1</v>
      </c>
      <c r="D49" s="302"/>
      <c r="E49" s="302"/>
      <c r="F49" s="2883">
        <f ca="1">F23</f>
        <v>0.03</v>
      </c>
      <c r="G49" s="4346" t="str">
        <f>IF('数据-取费表'!B22&lt;=1,"单利计息","复利计息")</f>
        <v>单利计息</v>
      </c>
    </row>
    <row r="50" spans="1:7">
      <c r="A50" s="2799" t="s">
        <v>3303</v>
      </c>
      <c r="B50" s="2802" t="s">
        <v>3370</v>
      </c>
      <c r="C50" s="2886">
        <f ca="1">ROUND(IF('数据-取费表'!B22&lt;=1,(C40+C47)*F49*'数据-取费表'!B22/2,(C40+C47)*(POWER((1+F49),'数据-取费表'!B22/2)-1)),0)</f>
        <v>16</v>
      </c>
      <c r="D50" s="1069"/>
      <c r="E50" s="1069"/>
      <c r="F50" s="1052"/>
      <c r="G50" s="4870" t="str">
        <f ca="1">IF(F10=100%,"建设期均匀投入","已建工期均匀投入")</f>
        <v>建设期均匀投入</v>
      </c>
    </row>
    <row r="51" spans="1:7">
      <c r="A51" s="2799" t="s">
        <v>3304</v>
      </c>
      <c r="B51" s="2803" t="s">
        <v>3309</v>
      </c>
      <c r="C51" s="2887">
        <f ca="1">ROUND(IF('数据-取费表'!B22&lt;=1,F48*F23*'数据-取费表'!B22/2,F48*(POWER((1+F23),'数据-取费表'!B22/2)-1)),4)</f>
        <v>2.0000000000000001E-4</v>
      </c>
      <c r="D51" s="1069"/>
      <c r="E51" s="1069"/>
      <c r="F51" s="1052"/>
      <c r="G51" s="4871"/>
    </row>
    <row r="52" spans="1:7" ht="14.4">
      <c r="A52" s="2867" t="s">
        <v>3461</v>
      </c>
      <c r="B52" s="2876" t="s">
        <v>3310</v>
      </c>
      <c r="C52" s="2877" t="str">
        <f ca="1">C53&amp;"+"&amp;C54&amp;"V建1"</f>
        <v>86+0.0008V建1</v>
      </c>
      <c r="D52" s="2878"/>
      <c r="E52" s="2870"/>
      <c r="F52" s="2879">
        <f ca="1">F27</f>
        <v>0.08</v>
      </c>
      <c r="G52" s="2880" t="s">
        <v>3462</v>
      </c>
    </row>
    <row r="53" spans="1:7">
      <c r="A53" s="2799" t="s">
        <v>3307</v>
      </c>
      <c r="B53" s="2802" t="s">
        <v>3311</v>
      </c>
      <c r="C53" s="2734">
        <f ca="1">ROUND((C40+C47)*F27,0)</f>
        <v>86</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1195</v>
      </c>
      <c r="D56" s="302"/>
      <c r="E56" s="302"/>
      <c r="F56" s="2883"/>
      <c r="G56" s="2882" t="s">
        <v>3316</v>
      </c>
    </row>
    <row r="57" spans="1:7" ht="14.4">
      <c r="A57" s="2745" t="s">
        <v>3432</v>
      </c>
      <c r="B57" s="2884" t="s">
        <v>3313</v>
      </c>
      <c r="C57" s="2767">
        <f ca="1">ROUND(C56*(1-F57),0)</f>
        <v>299</v>
      </c>
      <c r="D57" s="302"/>
      <c r="E57" s="302"/>
      <c r="F57" s="2883">
        <f>F31</f>
        <v>0.75</v>
      </c>
      <c r="G57" s="2882" t="s">
        <v>3317</v>
      </c>
    </row>
    <row r="58" spans="1:7" ht="16.8">
      <c r="A58" s="2745" t="s">
        <v>3466</v>
      </c>
      <c r="B58" s="2881" t="s">
        <v>3467</v>
      </c>
      <c r="C58" s="2767">
        <f ca="1">C56-C57</f>
        <v>896</v>
      </c>
      <c r="D58" s="302"/>
      <c r="E58" s="302"/>
      <c r="F58" s="2883"/>
      <c r="G58" s="2882" t="s">
        <v>3318</v>
      </c>
    </row>
    <row r="59" spans="1:7" ht="15" thickBot="1">
      <c r="A59" s="4348" t="s">
        <v>3369</v>
      </c>
      <c r="B59" s="4349" t="s">
        <v>3314</v>
      </c>
      <c r="C59" s="4350">
        <f ca="1">ROUND(C58*(1+F59),0)</f>
        <v>977</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7.4999999999999956E-2</v>
      </c>
    </row>
    <row r="64" spans="1:7" ht="21" customHeight="1">
      <c r="B64" s="216" t="s">
        <v>788</v>
      </c>
      <c r="C64" s="4422">
        <f ca="1">ROUND(C58/C32,3)</f>
        <v>0.92500000000000004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5" t="s">
        <v>1991</v>
      </c>
      <c r="D1" s="4876"/>
      <c r="E1" s="4876"/>
      <c r="F1" s="4876"/>
      <c r="G1" s="4876"/>
      <c r="H1" s="4876"/>
      <c r="I1" s="4876"/>
      <c r="J1" s="4876"/>
      <c r="K1" s="4876"/>
      <c r="L1" s="4876"/>
      <c r="M1" s="4876"/>
      <c r="N1" s="4876"/>
      <c r="O1" s="4876"/>
      <c r="P1" s="4876"/>
      <c r="Q1" s="4876"/>
      <c r="R1" s="4876"/>
      <c r="S1" s="4877"/>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2" t="s">
        <v>25</v>
      </c>
      <c r="D22" s="4873"/>
      <c r="E22" s="4873"/>
      <c r="F22" s="4873"/>
      <c r="G22" s="4873"/>
      <c r="H22" s="4873"/>
      <c r="I22" s="4873"/>
      <c r="J22" s="4873"/>
      <c r="K22" s="4873"/>
      <c r="L22" s="4873"/>
      <c r="M22" s="4873"/>
      <c r="N22" s="4873"/>
      <c r="O22" s="4873"/>
      <c r="P22" s="4873"/>
      <c r="Q22" s="4874"/>
      <c r="R22" s="3920">
        <f ca="1">ROUND(S22*10000/B22,0)</f>
        <v>5753</v>
      </c>
      <c r="S22" s="3920">
        <f ca="1">SUM(S24:S10000)</f>
        <v>2947</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5784</v>
      </c>
      <c r="S24" s="4015">
        <f t="shared" ref="S24:S54" ca="1" si="11">ROUND(R24*B24/10000,0)</f>
        <v>1427</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5726</v>
      </c>
      <c r="S25" s="4016">
        <f t="shared" ca="1" si="11"/>
        <v>1520</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40" sqref="E4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4139</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244</v>
      </c>
      <c r="C2" s="3020" t="s">
        <v>4082</v>
      </c>
      <c r="D2" s="4049">
        <f>IF(E1="项目模式",IF(E2="——",IF(B37="元/平方米",ROUND(C39*D3/10000,0),ROUND(F3*C39/10000,0)),IF(B37="元/平方米",ROUND(C39*D3/10000,0),ROUND(F3*C39/10000,0))-F2),IF(E1="单套模式",IF(E2="——",IF(B37="元/平方米",ROUND(C39*D3/10000,0),ROUND(F3*C39/10000,0)),IF(B37="元/平方米",ROUND(C39*D3/10000,0),ROUND(F3*C39/10000,0))-F2)))</f>
        <v>244</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2467.34</v>
      </c>
      <c r="E3" s="240" t="s">
        <v>1739</v>
      </c>
      <c r="F3" s="405">
        <f>SUMIF('数据-取费表'!A5:A15,D1,'数据-取费表'!AH5:AH15)</f>
        <v>40</v>
      </c>
      <c r="G3" s="4194" t="s">
        <v>3474</v>
      </c>
      <c r="H3" s="4195">
        <v>0.09</v>
      </c>
      <c r="I3" s="619"/>
      <c r="J3" s="619"/>
      <c r="K3" s="621"/>
      <c r="L3" s="2164"/>
      <c r="M3" s="2165">
        <f>IF(E2="——",IF(B37="元/平方米",ROUND(C39*D3/10000,0),ROUND(F3*C39/10000,0)),IF(B37="元/平方米",ROUND(C39*D3/10000,0),ROUND(F3*C39/10000,0))-F2)</f>
        <v>244</v>
      </c>
      <c r="N3" s="2165"/>
      <c r="O3" s="2165"/>
      <c r="P3" s="812"/>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4889" t="s">
        <v>4112</v>
      </c>
      <c r="D5" s="4890"/>
      <c r="E5" s="4887" t="s">
        <v>4113</v>
      </c>
      <c r="F5" s="4888"/>
      <c r="G5" s="4889" t="s">
        <v>4114</v>
      </c>
      <c r="H5" s="4890"/>
      <c r="I5" s="4889" t="s">
        <v>4115</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1" t="s">
        <v>4124</v>
      </c>
      <c r="D6" s="4892"/>
      <c r="E6" s="4893" t="s">
        <v>4126</v>
      </c>
      <c r="F6" s="4894"/>
      <c r="G6" s="4895" t="s">
        <v>4125</v>
      </c>
      <c r="H6" s="4892"/>
      <c r="I6" s="4895" t="s">
        <v>4125</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881" t="s">
        <v>1587</v>
      </c>
      <c r="Q7" s="4911"/>
      <c r="R7" s="4078" t="s">
        <v>13</v>
      </c>
      <c r="S7" s="4081">
        <f t="shared" ref="S7:S14" si="0">F7</f>
        <v>100</v>
      </c>
      <c r="T7" s="4078" t="s">
        <v>13</v>
      </c>
      <c r="U7" s="4081">
        <f t="shared" ref="U7:U14" si="1">H7</f>
        <v>100</v>
      </c>
      <c r="V7" s="4078" t="s">
        <v>13</v>
      </c>
      <c r="W7" s="4081">
        <f t="shared" ref="W7:W14" si="2">J7</f>
        <v>100</v>
      </c>
      <c r="X7" s="503"/>
      <c r="Y7" s="4881" t="s">
        <v>1587</v>
      </c>
      <c r="Z7" s="4882"/>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913"/>
      <c r="Q15" s="959"/>
      <c r="R15" s="4079"/>
      <c r="S15" s="4082"/>
      <c r="T15" s="4079"/>
      <c r="U15" s="4082"/>
      <c r="V15" s="4079"/>
      <c r="W15" s="4082"/>
      <c r="X15" s="962"/>
      <c r="Y15" s="4913"/>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913"/>
      <c r="Q17" s="959"/>
      <c r="R17" s="4079"/>
      <c r="S17" s="4082"/>
      <c r="T17" s="4079"/>
      <c r="U17" s="4082"/>
      <c r="V17" s="4079"/>
      <c r="W17" s="4082"/>
      <c r="X17" s="962"/>
      <c r="Y17" s="4913"/>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913"/>
      <c r="Q19" s="959"/>
      <c r="R19" s="4079"/>
      <c r="S19" s="4082"/>
      <c r="T19" s="4079"/>
      <c r="U19" s="4082"/>
      <c r="V19" s="4079"/>
      <c r="W19" s="4082"/>
      <c r="X19" s="962"/>
      <c r="Y19" s="4913"/>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913"/>
      <c r="Q21" s="959"/>
      <c r="R21" s="4079"/>
      <c r="S21" s="4082"/>
      <c r="T21" s="4079"/>
      <c r="U21" s="4082"/>
      <c r="V21" s="4079"/>
      <c r="W21" s="4082"/>
      <c r="X21" s="962"/>
      <c r="Y21" s="4913"/>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4644" t="s">
        <v>4131</v>
      </c>
      <c r="C23" s="4647" t="s">
        <v>4127</v>
      </c>
      <c r="D23" s="3143">
        <v>100</v>
      </c>
      <c r="E23" s="264" t="s">
        <v>4128</v>
      </c>
      <c r="F23" s="4059">
        <f>SUMIF(73:73,E23,74:74)-SUMIF(73:73,C23,74:74)+100</f>
        <v>110</v>
      </c>
      <c r="G23" s="264" t="s">
        <v>4129</v>
      </c>
      <c r="H23" s="4057">
        <f>SUMIF(73:73,G23,74:74)-SUMIF(73:73,C23,74:74)+100</f>
        <v>110</v>
      </c>
      <c r="I23" s="4647" t="s">
        <v>4130</v>
      </c>
      <c r="J23" s="4057">
        <f>SUMIF(73:73,I23,74:74)-SUMIF(73:73,C23,74:74)+100</f>
        <v>110</v>
      </c>
      <c r="K23" s="409"/>
      <c r="L23" s="2152"/>
      <c r="M23" s="2146"/>
      <c r="N23" s="2146"/>
      <c r="O23" s="2146"/>
      <c r="P23" s="4913"/>
      <c r="Q23" s="959" t="str">
        <f>B23</f>
        <v>品质</v>
      </c>
      <c r="R23" s="4079" t="s">
        <v>13</v>
      </c>
      <c r="S23" s="4082">
        <f>F23</f>
        <v>110</v>
      </c>
      <c r="T23" s="4079" t="s">
        <v>13</v>
      </c>
      <c r="U23" s="4082">
        <f>H23</f>
        <v>110</v>
      </c>
      <c r="V23" s="4079" t="s">
        <v>13</v>
      </c>
      <c r="W23" s="4082">
        <f>J23</f>
        <v>110</v>
      </c>
      <c r="X23" s="962"/>
      <c r="Y23" s="4913"/>
      <c r="Z23" s="963" t="str">
        <f>Q23</f>
        <v>品质</v>
      </c>
      <c r="AA23" s="960">
        <f t="shared" si="3"/>
        <v>0.90909090909090906</v>
      </c>
      <c r="AB23" s="960">
        <f t="shared" si="4"/>
        <v>0.90909090909090906</v>
      </c>
      <c r="AC23" s="960">
        <f t="shared" si="5"/>
        <v>0.90909090909090906</v>
      </c>
    </row>
    <row r="24" spans="1:29" ht="15">
      <c r="A24" s="244"/>
      <c r="B24" s="4644" t="s">
        <v>4133</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913"/>
      <c r="Q24" s="959" t="str">
        <f t="shared" ref="Q24:Q36" si="11">B24</f>
        <v>客梯数量</v>
      </c>
      <c r="R24" s="4079" t="s">
        <v>13</v>
      </c>
      <c r="S24" s="4082">
        <f>F24</f>
        <v>100</v>
      </c>
      <c r="T24" s="4079" t="s">
        <v>13</v>
      </c>
      <c r="U24" s="4082">
        <f>H24</f>
        <v>100</v>
      </c>
      <c r="V24" s="4079" t="s">
        <v>13</v>
      </c>
      <c r="W24" s="4082">
        <f>J24</f>
        <v>100</v>
      </c>
      <c r="X24" s="962"/>
      <c r="Y24" s="4913"/>
      <c r="Z24" s="963" t="str">
        <f>Q24</f>
        <v>客梯数量</v>
      </c>
      <c r="AA24" s="960">
        <f t="shared" si="3"/>
        <v>1</v>
      </c>
      <c r="AB24" s="960">
        <f t="shared" si="4"/>
        <v>1</v>
      </c>
      <c r="AC24" s="960">
        <f t="shared" si="5"/>
        <v>1</v>
      </c>
    </row>
    <row r="25" spans="1:29" s="49" customFormat="1" ht="15.6" thickBot="1">
      <c r="A25" s="434"/>
      <c r="B25" s="4648" t="s">
        <v>4134</v>
      </c>
      <c r="C25" s="267">
        <v>13.5</v>
      </c>
      <c r="D25" s="3151">
        <v>100</v>
      </c>
      <c r="E25" s="416" t="s">
        <v>4135</v>
      </c>
      <c r="F25" s="4076">
        <f>SUMIF(77:77,E25,78:78)-SUMIF(77:77,C25,78:78)+100</f>
        <v>100</v>
      </c>
      <c r="G25" s="416" t="s">
        <v>4136</v>
      </c>
      <c r="H25" s="4077">
        <f>SUMIF(77:77,G25,78:78)-SUMIF(77:77,C25,78:78)+100</f>
        <v>100</v>
      </c>
      <c r="I25" s="416" t="s">
        <v>4137</v>
      </c>
      <c r="J25" s="4077">
        <f>SUMIF(77:77,I25,78:78)-SUMIF(77:77,C25,78:78)+100</f>
        <v>100</v>
      </c>
      <c r="K25" s="409"/>
      <c r="L25" s="2147"/>
      <c r="M25" s="2148"/>
      <c r="N25" s="2148"/>
      <c r="O25" s="2148"/>
      <c r="P25" s="4913"/>
      <c r="Q25" s="951" t="str">
        <f t="shared" si="11"/>
        <v>物业费</v>
      </c>
      <c r="R25" s="4078" t="s">
        <v>13</v>
      </c>
      <c r="S25" s="4081">
        <f>F25</f>
        <v>100</v>
      </c>
      <c r="T25" s="4078" t="s">
        <v>13</v>
      </c>
      <c r="U25" s="4081">
        <f>H25</f>
        <v>100</v>
      </c>
      <c r="V25" s="4078" t="s">
        <v>13</v>
      </c>
      <c r="W25" s="4081">
        <f>J25</f>
        <v>100</v>
      </c>
      <c r="X25" s="503"/>
      <c r="Y25" s="4913"/>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914"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915"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108</v>
      </c>
      <c r="K27" s="409"/>
      <c r="L27" s="2151"/>
      <c r="M27" s="2153"/>
      <c r="N27" s="2153"/>
      <c r="O27" s="2153"/>
      <c r="P27" s="4915"/>
      <c r="Q27" s="505" t="str">
        <f t="shared" si="11"/>
        <v>项目停车位配比</v>
      </c>
      <c r="R27" s="4080" t="s">
        <v>13</v>
      </c>
      <c r="S27" s="4083">
        <f t="shared" si="12"/>
        <v>102</v>
      </c>
      <c r="T27" s="4080" t="s">
        <v>13</v>
      </c>
      <c r="U27" s="4083">
        <f t="shared" si="13"/>
        <v>102</v>
      </c>
      <c r="V27" s="4080" t="s">
        <v>13</v>
      </c>
      <c r="W27" s="4083">
        <f t="shared" si="14"/>
        <v>108</v>
      </c>
      <c r="X27" s="506"/>
      <c r="Y27" s="4915"/>
      <c r="Z27" s="507" t="str">
        <f t="shared" si="15"/>
        <v>项目停车位配比</v>
      </c>
      <c r="AA27" s="960">
        <f t="shared" si="3"/>
        <v>0.98039215686274506</v>
      </c>
      <c r="AB27" s="960">
        <f t="shared" si="4"/>
        <v>0.98039215686274506</v>
      </c>
      <c r="AC27" s="960">
        <f t="shared" si="5"/>
        <v>0.92592592592592593</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915"/>
      <c r="Q28" s="959" t="str">
        <f t="shared" si="11"/>
        <v>公共部分装修</v>
      </c>
      <c r="R28" s="4079" t="s">
        <v>13</v>
      </c>
      <c r="S28" s="4082">
        <f t="shared" si="12"/>
        <v>100</v>
      </c>
      <c r="T28" s="4079" t="s">
        <v>13</v>
      </c>
      <c r="U28" s="4082">
        <f t="shared" si="13"/>
        <v>100</v>
      </c>
      <c r="V28" s="4079" t="s">
        <v>13</v>
      </c>
      <c r="W28" s="4082">
        <f t="shared" si="14"/>
        <v>100</v>
      </c>
      <c r="X28" s="962"/>
      <c r="Y28" s="4915"/>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0.6</v>
      </c>
      <c r="F29" s="4059">
        <f>LOOKUP(E29,86:86,87:87)-LOOKUP(C29,86:86,87:87)+100</f>
        <v>100</v>
      </c>
      <c r="G29" s="288">
        <v>0.6</v>
      </c>
      <c r="H29" s="4059">
        <f>LOOKUP(G29,86:86,87:87)-LOOKUP(C29,86:86,87:87)+100</f>
        <v>100</v>
      </c>
      <c r="I29" s="288">
        <v>0.65</v>
      </c>
      <c r="J29" s="4057">
        <f>LOOKUP(I29,86:86,87:87)-LOOKUP(C29,86:86,87:87)+100</f>
        <v>100</v>
      </c>
      <c r="K29" s="408">
        <v>0</v>
      </c>
      <c r="L29" s="2152"/>
      <c r="M29" s="2146"/>
      <c r="N29" s="2146"/>
      <c r="O29" s="2146"/>
      <c r="P29" s="4915"/>
      <c r="Q29" s="959" t="str">
        <f t="shared" si="11"/>
        <v>成新率</v>
      </c>
      <c r="R29" s="4079" t="s">
        <v>13</v>
      </c>
      <c r="S29" s="4082">
        <f t="shared" si="12"/>
        <v>100</v>
      </c>
      <c r="T29" s="4079" t="s">
        <v>13</v>
      </c>
      <c r="U29" s="4082">
        <f t="shared" si="13"/>
        <v>100</v>
      </c>
      <c r="V29" s="4079" t="s">
        <v>13</v>
      </c>
      <c r="W29" s="4082">
        <f t="shared" si="14"/>
        <v>100</v>
      </c>
      <c r="X29" s="962"/>
      <c r="Y29" s="4915"/>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915"/>
      <c r="Q30" s="959" t="str">
        <f t="shared" si="11"/>
        <v>物业等级</v>
      </c>
      <c r="R30" s="4079" t="s">
        <v>13</v>
      </c>
      <c r="S30" s="4082">
        <f t="shared" si="12"/>
        <v>100</v>
      </c>
      <c r="T30" s="4079" t="s">
        <v>13</v>
      </c>
      <c r="U30" s="4082">
        <f t="shared" si="13"/>
        <v>100</v>
      </c>
      <c r="V30" s="4079" t="s">
        <v>13</v>
      </c>
      <c r="W30" s="4082">
        <f t="shared" si="14"/>
        <v>100</v>
      </c>
      <c r="X30" s="962"/>
      <c r="Y30" s="4915"/>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915"/>
      <c r="Q31" s="951" t="str">
        <f t="shared" si="11"/>
        <v>停车位面积</v>
      </c>
      <c r="R31" s="4078" t="s">
        <v>13</v>
      </c>
      <c r="S31" s="4081">
        <f t="shared" si="12"/>
        <v>100</v>
      </c>
      <c r="T31" s="4078" t="s">
        <v>13</v>
      </c>
      <c r="U31" s="4081">
        <f t="shared" si="13"/>
        <v>100</v>
      </c>
      <c r="V31" s="4078" t="s">
        <v>13</v>
      </c>
      <c r="W31" s="4081">
        <f t="shared" si="14"/>
        <v>100</v>
      </c>
      <c r="X31" s="503"/>
      <c r="Y31" s="4915"/>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915" t="s">
        <v>1603</v>
      </c>
      <c r="Q32" s="959" t="str">
        <f t="shared" si="11"/>
        <v>车位类型</v>
      </c>
      <c r="R32" s="4079" t="s">
        <v>13</v>
      </c>
      <c r="S32" s="4082">
        <f t="shared" si="12"/>
        <v>100</v>
      </c>
      <c r="T32" s="4079" t="s">
        <v>13</v>
      </c>
      <c r="U32" s="4082">
        <f t="shared" si="13"/>
        <v>100</v>
      </c>
      <c r="V32" s="4079" t="s">
        <v>13</v>
      </c>
      <c r="W32" s="4082">
        <f t="shared" si="14"/>
        <v>100</v>
      </c>
      <c r="X32" s="962"/>
      <c r="Y32" s="4915"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915"/>
      <c r="Q33" s="959" t="str">
        <f t="shared" si="11"/>
        <v>是否直接入户</v>
      </c>
      <c r="R33" s="4079" t="s">
        <v>13</v>
      </c>
      <c r="S33" s="4082">
        <f t="shared" si="12"/>
        <v>100</v>
      </c>
      <c r="T33" s="4079" t="s">
        <v>13</v>
      </c>
      <c r="U33" s="4082">
        <f t="shared" si="13"/>
        <v>100</v>
      </c>
      <c r="V33" s="4079" t="s">
        <v>13</v>
      </c>
      <c r="W33" s="4082">
        <f t="shared" si="14"/>
        <v>100</v>
      </c>
      <c r="X33" s="962"/>
      <c r="Y33" s="4915"/>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100</v>
      </c>
      <c r="G34" s="264">
        <v>2003</v>
      </c>
      <c r="H34" s="4057">
        <f>SUMIF(97:97,G34,98:98)-SUMIF(97:97,C34,98:98)+100</f>
        <v>100</v>
      </c>
      <c r="I34" s="264">
        <v>2009</v>
      </c>
      <c r="J34" s="4057">
        <f>SUMIF(97:97,I34,98:98)-SUMIF(97:97,C34,98:98)+100</f>
        <v>100</v>
      </c>
      <c r="K34" s="409"/>
      <c r="L34" s="2152"/>
      <c r="M34" s="2146"/>
      <c r="N34" s="2146"/>
      <c r="O34" s="2146"/>
      <c r="P34" s="4915"/>
      <c r="Q34" s="959" t="str">
        <f t="shared" si="11"/>
        <v>建成年代</v>
      </c>
      <c r="R34" s="4079" t="s">
        <v>13</v>
      </c>
      <c r="S34" s="4082">
        <f t="shared" si="12"/>
        <v>100</v>
      </c>
      <c r="T34" s="4079" t="s">
        <v>13</v>
      </c>
      <c r="U34" s="4082">
        <f t="shared" si="13"/>
        <v>100</v>
      </c>
      <c r="V34" s="4079" t="s">
        <v>13</v>
      </c>
      <c r="W34" s="4082">
        <f t="shared" si="14"/>
        <v>100</v>
      </c>
      <c r="X34" s="962"/>
      <c r="Y34" s="4915"/>
      <c r="Z34" s="963" t="str">
        <f t="shared" si="15"/>
        <v>建成年代</v>
      </c>
      <c r="AA34" s="960">
        <f t="shared" si="3"/>
        <v>1</v>
      </c>
      <c r="AB34" s="960">
        <f t="shared" si="4"/>
        <v>1</v>
      </c>
      <c r="AC34" s="960">
        <f t="shared" si="5"/>
        <v>1</v>
      </c>
    </row>
    <row r="35" spans="1:29" s="285" customFormat="1" ht="15">
      <c r="A35" s="436"/>
      <c r="B35" s="4644" t="s">
        <v>4132</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915"/>
      <c r="Q35" s="505" t="str">
        <f t="shared" si="11"/>
        <v>建筑规模</v>
      </c>
      <c r="R35" s="4080" t="s">
        <v>13</v>
      </c>
      <c r="S35" s="4083">
        <f t="shared" si="12"/>
        <v>100</v>
      </c>
      <c r="T35" s="4080" t="s">
        <v>13</v>
      </c>
      <c r="U35" s="4083">
        <f t="shared" si="13"/>
        <v>100</v>
      </c>
      <c r="V35" s="4080" t="s">
        <v>13</v>
      </c>
      <c r="W35" s="4083">
        <f t="shared" si="14"/>
        <v>100</v>
      </c>
      <c r="X35" s="506"/>
      <c r="Y35" s="4915"/>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915"/>
      <c r="Q36" s="959">
        <f t="shared" si="11"/>
        <v>111</v>
      </c>
      <c r="R36" s="4079" t="s">
        <v>13</v>
      </c>
      <c r="S36" s="4082">
        <f t="shared" si="12"/>
        <v>100</v>
      </c>
      <c r="T36" s="4079" t="s">
        <v>13</v>
      </c>
      <c r="U36" s="4082">
        <f t="shared" si="13"/>
        <v>100</v>
      </c>
      <c r="V36" s="4079" t="s">
        <v>13</v>
      </c>
      <c r="W36" s="4082">
        <f t="shared" si="14"/>
        <v>100</v>
      </c>
      <c r="X36" s="962"/>
      <c r="Y36" s="4915"/>
      <c r="Z36" s="963">
        <f t="shared" si="15"/>
        <v>111</v>
      </c>
      <c r="AA36" s="960">
        <f t="shared" si="3"/>
        <v>1</v>
      </c>
      <c r="AB36" s="960">
        <f t="shared" si="4"/>
        <v>1</v>
      </c>
      <c r="AC36" s="960">
        <f t="shared" si="5"/>
        <v>1</v>
      </c>
    </row>
    <row r="37" spans="1:29" ht="14.4">
      <c r="A37" s="292" t="s">
        <v>1751</v>
      </c>
      <c r="B37" s="1531" t="s">
        <v>3238</v>
      </c>
      <c r="C37" s="807" t="s">
        <v>0</v>
      </c>
      <c r="D37" s="808"/>
      <c r="E37" s="3456">
        <v>1200</v>
      </c>
      <c r="F37" s="3458"/>
      <c r="G37" s="3457">
        <v>1000</v>
      </c>
      <c r="H37" s="3459"/>
      <c r="I37" s="3456">
        <v>1200</v>
      </c>
      <c r="J37" s="3459"/>
      <c r="K37" s="3460"/>
      <c r="L37" s="2154"/>
      <c r="M37" s="2155"/>
      <c r="N37" s="2146"/>
      <c r="O37" s="2155"/>
      <c r="P37" s="4896" t="str">
        <f>A37</f>
        <v>成交单价</v>
      </c>
      <c r="Q37" s="4896"/>
      <c r="R37" s="4910">
        <f>E37</f>
        <v>1200</v>
      </c>
      <c r="S37" s="4910"/>
      <c r="T37" s="4910">
        <f>G37</f>
        <v>1000</v>
      </c>
      <c r="U37" s="4910"/>
      <c r="V37" s="4910">
        <f>I37</f>
        <v>1200</v>
      </c>
      <c r="W37" s="4910"/>
      <c r="X37" s="492"/>
      <c r="Y37" s="508"/>
      <c r="Z37" s="492"/>
      <c r="AA37" s="492"/>
      <c r="AB37" s="492"/>
      <c r="AC37" s="492"/>
    </row>
    <row r="38" spans="1:29" ht="15" thickBot="1">
      <c r="A38" s="295" t="s">
        <v>1752</v>
      </c>
      <c r="B38" s="296" t="str">
        <f>B37</f>
        <v>元/平方米</v>
      </c>
      <c r="C38" s="4036">
        <f>R39</f>
        <v>990</v>
      </c>
      <c r="D38" s="4193" t="s">
        <v>2040</v>
      </c>
      <c r="E38" s="4047">
        <f>R38</f>
        <v>1070</v>
      </c>
      <c r="F38" s="3041"/>
      <c r="G38" s="4036">
        <f>T38</f>
        <v>891</v>
      </c>
      <c r="H38" s="3041"/>
      <c r="I38" s="4047">
        <f>V38</f>
        <v>1010</v>
      </c>
      <c r="J38" s="3041"/>
      <c r="K38" s="3096">
        <f>F38+H38+J38</f>
        <v>0</v>
      </c>
      <c r="L38" s="2154"/>
      <c r="M38" s="2155"/>
      <c r="N38" s="2155"/>
      <c r="O38" s="2155"/>
      <c r="P38" s="4896" t="str">
        <f>A38</f>
        <v>比较价值（元/平方米）</v>
      </c>
      <c r="Q38" s="4896"/>
      <c r="R38" s="4910">
        <f>IF(F1="售价",ROUND(PRODUCT(R37,AA7:AA36),0),ROUND(PRODUCT(R37,AA7:AA36),1))</f>
        <v>1070</v>
      </c>
      <c r="S38" s="4910"/>
      <c r="T38" s="4910">
        <f>IF(F1="售价",ROUND(PRODUCT(T37,AB7:AB36),0),ROUND(PRODUCT(T37,AB7:AB36),1))</f>
        <v>891</v>
      </c>
      <c r="U38" s="4910"/>
      <c r="V38" s="4910">
        <f>IF(F1="售价",ROUND(PRODUCT(V37,AC7:AC36),0),ROUND(PRODUCT(V37,AC7:AC36),1))</f>
        <v>1010</v>
      </c>
      <c r="W38" s="4910"/>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916" t="str">
        <f>A39</f>
        <v>估价对象XX用房的比较价值（楼面单价，元/平方米）</v>
      </c>
      <c r="Q39" s="4917"/>
      <c r="R39" s="4918">
        <f>IF(F1="售价",ROUND(IF(D38="简单平均",AVERAGE(R38:W38),R38*F38+T38*H38+V38*J38),0),ROUND(IF(D38="简单平均",AVERAGE(R38:V38),R38*F38+T38*H38+V38*J38),1))</f>
        <v>990</v>
      </c>
      <c r="S39" s="4918"/>
      <c r="T39" s="4918"/>
      <c r="U39" s="4918"/>
      <c r="V39" s="4918"/>
      <c r="W39" s="4918"/>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0.12149532710280364</v>
      </c>
      <c r="F42" s="305" t="str">
        <f>IF(OR(E42&gt;=0.3,E42&lt;=-0.3),"超过30%","")</f>
        <v/>
      </c>
      <c r="G42" s="304">
        <f>IF(G37&lt;G38,G38/G37-1,G37/G38-1)</f>
        <v>0.122334455667789</v>
      </c>
      <c r="H42" s="305" t="str">
        <f>IF(OR(G42&gt;=0.3,G42&lt;=-0.3),"超过30%","")</f>
        <v/>
      </c>
      <c r="I42" s="304">
        <f>IF(I37&lt;I38,I38/I37-1,I37/I38-1)</f>
        <v>0.18811881188118806</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0.20089786756453432</v>
      </c>
      <c r="F43" s="305" t="str">
        <f>IF(OR(E43&gt;=0.2,E43&lt;=-0.2),"超过20%","")</f>
        <v>超过20%</v>
      </c>
      <c r="G43" s="304">
        <f>IF(G38&lt;I38,I38/G38-1,G38/I38-1)</f>
        <v>0.13355780022446684</v>
      </c>
      <c r="H43" s="305" t="str">
        <f>IF(OR(G43&gt;=0.2,G43&lt;=-0.2),"超过20%","")</f>
        <v/>
      </c>
      <c r="I43" s="304">
        <f>IF(I38&lt;E38,E38/I38-1,I38/E38-1)</f>
        <v>5.9405940594059459E-2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0.19999999999999996</v>
      </c>
      <c r="F44" s="305" t="str">
        <f>IF(OR(E44&gt;=0.3,E44&lt;=-0.3),"超过30%","")</f>
        <v/>
      </c>
      <c r="G44" s="304">
        <f>IF(G37&lt;I37,I37/G37-1,G37/I37-1)</f>
        <v>0.19999999999999996</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110</v>
      </c>
      <c r="E74" s="338">
        <f>D74</f>
        <v>110</v>
      </c>
      <c r="F74" s="338">
        <f>D74</f>
        <v>110</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108</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3"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3" sqref="C13"/>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2600.9825000000001</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10542</v>
      </c>
      <c r="C3" s="98" t="s">
        <v>1434</v>
      </c>
      <c r="D3" s="98">
        <f ca="1">IF(C1="含税",E2+C33,E2+C32)</f>
        <v>26009825</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26847577</v>
      </c>
      <c r="D5" s="2780"/>
      <c r="E5" s="2780"/>
      <c r="F5" s="2780"/>
      <c r="G5" s="2935" t="s">
        <v>3469</v>
      </c>
      <c r="J5" s="99"/>
    </row>
    <row r="6" spans="1:10" s="2766" customFormat="1" ht="15">
      <c r="A6" s="2745" t="s">
        <v>3336</v>
      </c>
      <c r="B6" s="2804" t="s">
        <v>3337</v>
      </c>
      <c r="C6" s="2781">
        <f>C7+C8</f>
        <v>12664660.540000001</v>
      </c>
      <c r="D6" s="2744"/>
      <c r="E6" s="2744"/>
      <c r="F6" s="2744"/>
      <c r="G6" s="2782"/>
      <c r="J6" s="99"/>
    </row>
    <row r="7" spans="1:10" s="113" customFormat="1" ht="15">
      <c r="A7" s="2783" t="s">
        <v>344</v>
      </c>
      <c r="B7" s="2805" t="s">
        <v>1442</v>
      </c>
      <c r="C7" s="3262">
        <f>基准地价修正!C42*基准地价修正!D42</f>
        <v>12289820.540000001</v>
      </c>
      <c r="D7" s="2784"/>
      <c r="E7" s="2785"/>
      <c r="F7" s="2785"/>
      <c r="G7" s="160"/>
      <c r="J7" s="99"/>
    </row>
    <row r="8" spans="1:10" s="113" customFormat="1" ht="15">
      <c r="A8" s="2783" t="s">
        <v>345</v>
      </c>
      <c r="B8" s="2805" t="s">
        <v>1444</v>
      </c>
      <c r="C8" s="2754">
        <f>ROUND(C7*F8,0)</f>
        <v>374840</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11172116</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9375892</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187518</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1233670</v>
      </c>
      <c r="D13" s="148"/>
      <c r="E13" s="2785"/>
      <c r="F13" s="2786"/>
      <c r="G13" s="160"/>
      <c r="J13" s="99"/>
    </row>
    <row r="14" spans="1:10" s="122" customFormat="1" ht="15">
      <c r="A14" s="2738" t="s">
        <v>3287</v>
      </c>
      <c r="B14" s="2809" t="s">
        <v>3319</v>
      </c>
      <c r="C14" s="2754">
        <f ca="1">IF(G14="已包含在土地购买价格中","0",IF(B1="",'数据-取费表'!B29,IF(G15="全部缴纳",C15+C16,H15)))</f>
        <v>493468</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493468</v>
      </c>
      <c r="D16" s="2794">
        <f ca="1">IF(B1="",'数据-汇总表'!E6,IF(INDIRECT("'数据-取费表'!c"&amp;$G$1)="住宅",INDIRECT("'数据-取费表'!s"&amp;$G$1),INDIRECT("'数据-取费表'!k"&amp;$G$1)+INDIRECT("'数据-取费表'!s"&amp;$G$1)))</f>
        <v>2467.34</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2467.34</v>
      </c>
      <c r="E17" s="2795">
        <f>'数据-取费表'!B31</f>
        <v>265</v>
      </c>
      <c r="F17" s="2762"/>
      <c r="G17" s="1436" t="s">
        <v>4084</v>
      </c>
      <c r="J17" s="99"/>
    </row>
    <row r="18" spans="1:10" s="113" customFormat="1" ht="15">
      <c r="A18" s="2813" t="s">
        <v>3289</v>
      </c>
      <c r="B18" s="2812" t="s">
        <v>1472</v>
      </c>
      <c r="C18" s="2754">
        <f ca="1">ROUND(E18*D18*F10,0)</f>
        <v>740202</v>
      </c>
      <c r="D18" s="2754">
        <f ca="1">D17</f>
        <v>2467.34</v>
      </c>
      <c r="E18" s="2754">
        <f>'数据-取费表'!B35</f>
        <v>300</v>
      </c>
      <c r="F18" s="2765"/>
      <c r="G18" s="160" t="str">
        <f ca="1">IF(F10=100%,"","按工程进度计取")</f>
        <v/>
      </c>
      <c r="J18" s="99"/>
    </row>
    <row r="19" spans="1:10" s="113" customFormat="1" ht="15">
      <c r="A19" s="2807" t="s">
        <v>352</v>
      </c>
      <c r="B19" s="2808" t="s">
        <v>3324</v>
      </c>
      <c r="C19" s="2754">
        <f ca="1">ROUND(C10*F19,0)</f>
        <v>187518</v>
      </c>
      <c r="D19" s="148"/>
      <c r="E19" s="148"/>
      <c r="F19" s="2765">
        <f>'数据-取费表'!B36</f>
        <v>0.02</v>
      </c>
      <c r="G19" s="160" t="s">
        <v>1469</v>
      </c>
      <c r="J19" s="99"/>
    </row>
    <row r="20" spans="1:10" s="113" customFormat="1" ht="15">
      <c r="A20" s="2807" t="s">
        <v>3290</v>
      </c>
      <c r="B20" s="2808" t="s">
        <v>3325</v>
      </c>
      <c r="C20" s="2754">
        <f ca="1">ROUND(C10*F20,0)</f>
        <v>187518</v>
      </c>
      <c r="D20" s="2796"/>
      <c r="E20" s="144"/>
      <c r="F20" s="2765">
        <f>'数据-取费表'!B37</f>
        <v>0.02</v>
      </c>
      <c r="G20" s="160" t="s">
        <v>1469</v>
      </c>
      <c r="J20" s="99"/>
    </row>
    <row r="21" spans="1:10" s="2766" customFormat="1" ht="15">
      <c r="A21" s="2745" t="s">
        <v>3338</v>
      </c>
      <c r="B21" s="2804" t="s">
        <v>3339</v>
      </c>
      <c r="C21" s="2767">
        <f ca="1">ROUND((C6+C9)*F21,0)</f>
        <v>238368</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551097+0.0002V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379940</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171157</v>
      </c>
      <c r="D25" s="137"/>
      <c r="E25" s="137"/>
      <c r="F25" s="2761"/>
      <c r="G25" s="4258" t="s">
        <v>3987</v>
      </c>
      <c r="J25" s="99"/>
    </row>
    <row r="26" spans="1:10" s="113" customFormat="1" ht="15">
      <c r="A26" s="2814" t="s">
        <v>348</v>
      </c>
      <c r="B26" s="2812" t="s">
        <v>1454</v>
      </c>
      <c r="C26" s="2757">
        <f ca="1">ROUND(IF('数据-取费表'!B22&lt;=1,F22*F23*'数据-取费表'!B23/2,F22*(POWER((1+F23),'数据-取费表'!B23/2)-1)),4)</f>
        <v>2.0000000000000001E-4</v>
      </c>
      <c r="D26" s="137"/>
      <c r="E26" s="140"/>
      <c r="F26" s="2761"/>
      <c r="G26" s="4603" t="s">
        <v>3988</v>
      </c>
      <c r="J26" s="99"/>
    </row>
    <row r="27" spans="1:10" s="2766" customFormat="1" ht="15">
      <c r="A27" s="2745" t="s">
        <v>3344</v>
      </c>
      <c r="B27" s="2806" t="s">
        <v>3296</v>
      </c>
      <c r="C27" s="2773" t="str">
        <f ca="1">C28&amp;"+"&amp;C29&amp;"V"</f>
        <v>1926012+0.0008V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1926012</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2985352</v>
      </c>
      <c r="D31" s="2749"/>
      <c r="E31" s="2749"/>
      <c r="F31" s="2763">
        <f>IF('数据-取费表'!B24=0,'数据-取费表'!N16,1)</f>
        <v>0.75</v>
      </c>
      <c r="G31" s="2750" t="s">
        <v>3806</v>
      </c>
      <c r="J31" s="99"/>
    </row>
    <row r="32" spans="1:10" s="113" customFormat="1" ht="15.6">
      <c r="A32" s="2737" t="s">
        <v>3299</v>
      </c>
      <c r="B32" s="2736" t="s">
        <v>3300</v>
      </c>
      <c r="C32" s="2758">
        <f ca="1">C5-C31</f>
        <v>23862225</v>
      </c>
      <c r="D32" s="2749"/>
      <c r="E32" s="2749"/>
      <c r="F32" s="2748"/>
      <c r="G32" s="2751" t="s">
        <v>3331</v>
      </c>
      <c r="J32" s="99"/>
    </row>
    <row r="33" spans="1:10" s="113" customFormat="1" ht="16.2" thickBot="1">
      <c r="A33" s="2817">
        <v>4</v>
      </c>
      <c r="B33" s="2818" t="s">
        <v>3332</v>
      </c>
      <c r="C33" s="2759">
        <f ca="1">ROUND(C32*(1+F33),0)</f>
        <v>26009825</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10678648</v>
      </c>
      <c r="D40" s="3015"/>
      <c r="E40" s="3015"/>
      <c r="F40" s="3015"/>
      <c r="G40" s="4343"/>
    </row>
    <row r="41" spans="1:10" ht="15.6">
      <c r="A41" s="4482" t="s">
        <v>3303</v>
      </c>
      <c r="B41" s="4487" t="str">
        <f t="shared" ref="B41:C43" si="0">B10</f>
        <v xml:space="preserve">  建安费用</v>
      </c>
      <c r="C41" s="2734">
        <f t="shared" ca="1" si="0"/>
        <v>9375892</v>
      </c>
      <c r="D41" s="2729"/>
      <c r="E41" s="2729"/>
      <c r="F41" s="2730"/>
      <c r="G41" s="4344"/>
    </row>
    <row r="42" spans="1:10" ht="15.6">
      <c r="A42" s="4482" t="s">
        <v>3304</v>
      </c>
      <c r="B42" s="4487" t="str">
        <f t="shared" si="0"/>
        <v xml:space="preserve">  前期费用</v>
      </c>
      <c r="C42" s="2734">
        <f t="shared" ca="1" si="0"/>
        <v>187518</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740202</v>
      </c>
      <c r="D44" s="2729"/>
      <c r="E44" s="2729"/>
      <c r="F44" s="2730"/>
      <c r="G44" s="4344"/>
    </row>
    <row r="45" spans="1:10" ht="15.6">
      <c r="A45" s="4483" t="s">
        <v>3305</v>
      </c>
      <c r="B45" s="4489" t="str">
        <f>B19</f>
        <v xml:space="preserve">  其他工程费</v>
      </c>
      <c r="C45" s="2739">
        <f ca="1">C19</f>
        <v>187518</v>
      </c>
      <c r="D45" s="2864"/>
      <c r="E45" s="2864"/>
      <c r="F45" s="2865"/>
      <c r="G45" s="4345"/>
    </row>
    <row r="46" spans="1:10" ht="15.6">
      <c r="A46" s="4483" t="s">
        <v>3367</v>
      </c>
      <c r="B46" s="4489" t="s">
        <v>3306</v>
      </c>
      <c r="C46" s="2739">
        <f ca="1">C20</f>
        <v>187518</v>
      </c>
      <c r="D46" s="2864"/>
      <c r="E46" s="2864"/>
      <c r="F46" s="2865"/>
      <c r="G46" s="4345"/>
    </row>
    <row r="47" spans="1:10" ht="14.4">
      <c r="A47" s="4484" t="s">
        <v>3455</v>
      </c>
      <c r="B47" s="4484" t="s">
        <v>3456</v>
      </c>
      <c r="C47" s="2869">
        <f ca="1">ROUND(C40*F47,0)</f>
        <v>106786</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161782+0.0002V建1</v>
      </c>
      <c r="D49" s="302"/>
      <c r="E49" s="302"/>
      <c r="F49" s="2875">
        <f ca="1">F23</f>
        <v>0.03</v>
      </c>
      <c r="G49" s="4346" t="str">
        <f>IF('数据-取费表'!B22&lt;=1,"单利计息","复利计息")</f>
        <v>单利计息</v>
      </c>
    </row>
    <row r="50" spans="1:7">
      <c r="A50" s="4482" t="s">
        <v>3303</v>
      </c>
      <c r="B50" s="4491" t="s">
        <v>3370</v>
      </c>
      <c r="C50" s="2886">
        <f ca="1">ROUND(IF('数据-取费表'!B22&lt;=1,(C40+C47)*F49*'数据-取费表'!B22/2,(C40+C47)*(POWER((1+F49),'数据-取费表'!B22/2)-1)),0)</f>
        <v>161782</v>
      </c>
      <c r="D50" s="1069"/>
      <c r="E50" s="1069"/>
      <c r="F50" s="1052"/>
      <c r="G50" s="4870" t="str">
        <f ca="1">IF(F10=100%,"建设期均匀投入","已建工期均匀投入")</f>
        <v>建设期均匀投入</v>
      </c>
    </row>
    <row r="51" spans="1:7">
      <c r="A51" s="4482" t="s">
        <v>3304</v>
      </c>
      <c r="B51" s="4488" t="s">
        <v>3309</v>
      </c>
      <c r="C51" s="2887">
        <f ca="1">ROUND(IF('数据-取费表'!B22&lt;=1,F48*F23*'数据-取费表'!B22/2,F48*(POWER((1+F23),'数据-取费表'!B22/2)-1)),4)</f>
        <v>2.0000000000000001E-4</v>
      </c>
      <c r="D51" s="1069"/>
      <c r="E51" s="1069"/>
      <c r="F51" s="1052"/>
      <c r="G51" s="4871"/>
    </row>
    <row r="52" spans="1:7" ht="14.4">
      <c r="A52" s="4484" t="s">
        <v>3461</v>
      </c>
      <c r="B52" s="3006" t="s">
        <v>3310</v>
      </c>
      <c r="C52" s="2877" t="str">
        <f ca="1">C53&amp;"+"&amp;C54&amp;"V建1"</f>
        <v>862835+0.0008V建1</v>
      </c>
      <c r="D52" s="2878"/>
      <c r="E52" s="2870"/>
      <c r="F52" s="2879">
        <f ca="1">F27</f>
        <v>0.08</v>
      </c>
      <c r="G52" s="2880" t="s">
        <v>3462</v>
      </c>
    </row>
    <row r="53" spans="1:7">
      <c r="A53" s="4482" t="s">
        <v>3303</v>
      </c>
      <c r="B53" s="4491" t="s">
        <v>3311</v>
      </c>
      <c r="C53" s="2734">
        <f ca="1">ROUND((C40+C47)*F27,0)</f>
        <v>862835</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11941406</v>
      </c>
      <c r="D56" s="302"/>
      <c r="E56" s="302"/>
      <c r="F56" s="2883"/>
      <c r="G56" s="2882" t="s">
        <v>3316</v>
      </c>
    </row>
    <row r="57" spans="1:7" ht="14.4">
      <c r="A57" s="4485" t="s">
        <v>3432</v>
      </c>
      <c r="B57" s="4492" t="s">
        <v>3298</v>
      </c>
      <c r="C57" s="2767">
        <f ca="1">ROUND(C56*(1-F57),0)</f>
        <v>2985352</v>
      </c>
      <c r="D57" s="302"/>
      <c r="E57" s="302"/>
      <c r="F57" s="2883">
        <f>F31</f>
        <v>0.75</v>
      </c>
      <c r="G57" s="2882" t="s">
        <v>3317</v>
      </c>
    </row>
    <row r="58" spans="1:7" ht="16.8">
      <c r="A58" s="4485" t="s">
        <v>3466</v>
      </c>
      <c r="B58" s="4485" t="s">
        <v>3467</v>
      </c>
      <c r="C58" s="2767">
        <f ca="1">C56-C57</f>
        <v>8956054</v>
      </c>
      <c r="D58" s="302"/>
      <c r="E58" s="302"/>
      <c r="F58" s="2883"/>
      <c r="G58" s="2882" t="s">
        <v>3318</v>
      </c>
    </row>
    <row r="59" spans="1:7" ht="15" thickBot="1">
      <c r="A59" s="2881" t="s">
        <v>3369</v>
      </c>
      <c r="B59" s="4493" t="s">
        <v>3314</v>
      </c>
      <c r="C59" s="4350">
        <f ca="1">ROUND(C58*(1+F59),0)</f>
        <v>9762099</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0.625</v>
      </c>
    </row>
    <row r="64" spans="1:7" ht="21" customHeight="1">
      <c r="B64" s="3029" t="s">
        <v>788</v>
      </c>
      <c r="C64" s="4422">
        <f ca="1">ROUND(C58/C32,3)</f>
        <v>0.375</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3350.259</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13578</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21124078</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493468</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493468</v>
      </c>
      <c r="D10" s="567">
        <f ca="1">IF(B1="",'数据-汇总表'!E6,IF(INDIRECT("'数据-取费表'!c"&amp;$G$1)="住宅",INDIRECT("'数据-取费表'!s"&amp;$G$1),INDIRECT("'数据-取费表'!k"&amp;$G$1)+INDIRECT("'数据-取费表'!s"&amp;$G$1)))</f>
        <v>2467.34</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653845</v>
      </c>
      <c r="D19" s="571">
        <f ca="1">D9+D10</f>
        <v>2467.34</v>
      </c>
      <c r="E19" s="110">
        <f>'数据-取费表'!B31</f>
        <v>265</v>
      </c>
      <c r="F19" s="130"/>
      <c r="G19" s="1436"/>
    </row>
    <row r="20" spans="1:7" s="113" customFormat="1" ht="13.5" customHeight="1">
      <c r="A20" s="154" t="s">
        <v>1510</v>
      </c>
      <c r="B20" s="109" t="s">
        <v>1511</v>
      </c>
      <c r="C20" s="131">
        <f ca="1">ROUND((C5+C19)*F20,0)</f>
        <v>217779</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656604</v>
      </c>
      <c r="D22" s="134">
        <f ca="1">C26</f>
        <v>2.0000000000000001E-4</v>
      </c>
      <c r="E22" s="135" t="s">
        <v>1515</v>
      </c>
      <c r="F22" s="136">
        <f ca="1">'数据-取费表'!B41</f>
        <v>0.03</v>
      </c>
      <c r="G22" s="133" t="str">
        <f>IF('数据-取费表'!B22&lt;=1,"单利计息","复利计息")</f>
        <v>单利计息</v>
      </c>
    </row>
    <row r="23" spans="1:7" s="113" customFormat="1" ht="13.5" customHeight="1">
      <c r="A23" s="539" t="s">
        <v>1441</v>
      </c>
      <c r="B23" s="114" t="s">
        <v>1519</v>
      </c>
      <c r="C23" s="796">
        <f ca="1">ROUND(IF('数据-取费表'!B22&lt;=1,C5*F22*'数据-取费表'!B22,C5*(POWER((1+F22),'数据-取费表'!B22)-1)),0)</f>
        <v>633722</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19615</v>
      </c>
      <c r="D24" s="137"/>
      <c r="E24" s="137"/>
      <c r="F24" s="138"/>
      <c r="G24" s="139" t="s">
        <v>1522</v>
      </c>
    </row>
    <row r="25" spans="1:7" s="113" customFormat="1" ht="24">
      <c r="A25" s="539" t="s">
        <v>1445</v>
      </c>
      <c r="B25" s="114" t="s">
        <v>1523</v>
      </c>
      <c r="C25" s="796">
        <f ca="1">ROUND(IF('数据-取费表'!B22&lt;=1,C20*F22*'数据-取费表'!B22/2,C20*(POWER((1+F22),'数据-取费表'!B22/2)-1)),0)</f>
        <v>3267</v>
      </c>
      <c r="D25" s="137"/>
      <c r="E25" s="140"/>
      <c r="F25" s="138"/>
      <c r="G25" s="141" t="s">
        <v>1524</v>
      </c>
    </row>
    <row r="26" spans="1:7" s="113" customFormat="1">
      <c r="A26" s="539"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1759656</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1759656</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24698464</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10491130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9375892</v>
      </c>
      <c r="D34" s="116"/>
      <c r="E34" s="119"/>
      <c r="F34" s="156"/>
      <c r="G34" s="118"/>
    </row>
    <row r="35" spans="1:7" ht="13.5" customHeight="1">
      <c r="A35" s="539" t="s">
        <v>349</v>
      </c>
      <c r="B35" s="114" t="s">
        <v>1468</v>
      </c>
      <c r="C35" s="119">
        <f ca="1">ROUND(C34*F35,0)</f>
        <v>187518</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740202</v>
      </c>
      <c r="D37" s="116">
        <f ca="1">D19</f>
        <v>2467.34</v>
      </c>
      <c r="E37" s="148">
        <f>'数据-取费表'!B35</f>
        <v>300</v>
      </c>
      <c r="F37" s="158"/>
      <c r="G37" s="160"/>
    </row>
    <row r="38" spans="1:7" ht="13.5" customHeight="1">
      <c r="A38" s="539" t="s">
        <v>352</v>
      </c>
      <c r="B38" s="114" t="s">
        <v>1473</v>
      </c>
      <c r="C38" s="119">
        <f ca="1">ROUND(C34*F38,0)</f>
        <v>187518</v>
      </c>
      <c r="D38" s="119"/>
      <c r="E38" s="119"/>
      <c r="F38" s="158">
        <f>'数据-取费表'!B36</f>
        <v>0.02</v>
      </c>
      <c r="G38" s="118" t="s">
        <v>1469</v>
      </c>
    </row>
    <row r="39" spans="1:7" s="113" customFormat="1" ht="13.5" customHeight="1">
      <c r="A39" s="154" t="s">
        <v>1474</v>
      </c>
      <c r="B39" s="109" t="s">
        <v>1475</v>
      </c>
      <c r="C39" s="131">
        <f ca="1">ROUND(C33*F20,0)</f>
        <v>104911</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158941</v>
      </c>
      <c r="D41" s="134">
        <f ca="1">C44</f>
        <v>2.0000000000000001E-4</v>
      </c>
      <c r="E41" s="135" t="s">
        <v>1479</v>
      </c>
      <c r="F41" s="136">
        <f ca="1">F22</f>
        <v>0.03</v>
      </c>
      <c r="G41" s="133" t="str">
        <f>IF('数据-取费表'!B22&lt;=1,"单利计息","复利计息")</f>
        <v>单利计息</v>
      </c>
    </row>
    <row r="42" spans="1:7" ht="13.5" customHeight="1">
      <c r="A42" s="539" t="s">
        <v>344</v>
      </c>
      <c r="B42" s="114" t="s">
        <v>1483</v>
      </c>
      <c r="C42" s="137">
        <f ca="1">ROUND(IF('数据-取费表'!B22&lt;=1,C33*F22*'数据-取费表'!B20/2,C33*(POWER((1+F22),'数据-取费表'!B20/2)-1)),0)</f>
        <v>157367</v>
      </c>
      <c r="D42" s="137"/>
      <c r="E42" s="137"/>
      <c r="F42" s="138"/>
      <c r="G42" s="4870" t="s">
        <v>1527</v>
      </c>
    </row>
    <row r="43" spans="1:7" ht="13.5" customHeight="1">
      <c r="A43" s="539" t="s">
        <v>345</v>
      </c>
      <c r="B43" s="114" t="s">
        <v>1484</v>
      </c>
      <c r="C43" s="137">
        <f ca="1">ROUND(IF('数据-取费表'!B22&lt;=1,C39*F22*'数据-取费表'!B20/2,C39*(POWER((1+F22),'数据-取费表'!B20/2)-1)),0)</f>
        <v>1574</v>
      </c>
      <c r="D43" s="137"/>
      <c r="E43" s="137"/>
      <c r="F43" s="138"/>
      <c r="G43" s="4919"/>
    </row>
    <row r="44" spans="1:7" ht="13.5" customHeight="1">
      <c r="A44" s="539" t="s">
        <v>346</v>
      </c>
      <c r="B44" s="114" t="s">
        <v>1485</v>
      </c>
      <c r="C44" s="137">
        <f ca="1">ROUND(IF('数据-取费表'!B22&lt;=1,C40*F22*'数据-取费表'!B20/2,C40*(POWER((1+F22),'数据-取费表'!B20/2)-1)),4)</f>
        <v>2.0000000000000001E-4</v>
      </c>
      <c r="D44" s="137"/>
      <c r="E44" s="137"/>
      <c r="F44" s="138"/>
      <c r="G44" s="4871"/>
    </row>
    <row r="45" spans="1:7" s="113" customFormat="1" ht="13.5" customHeight="1">
      <c r="A45" s="154" t="s">
        <v>1486</v>
      </c>
      <c r="B45" s="143" t="s">
        <v>1456</v>
      </c>
      <c r="C45" s="144">
        <f ca="1">C46</f>
        <v>847683</v>
      </c>
      <c r="D45" s="134">
        <f ca="1">C47</f>
        <v>8.0000000000000004E-4</v>
      </c>
      <c r="E45" s="135" t="s">
        <v>1479</v>
      </c>
      <c r="F45" s="145">
        <f ca="1">F27</f>
        <v>0.08</v>
      </c>
      <c r="G45" s="146" t="s">
        <v>1487</v>
      </c>
    </row>
    <row r="46" spans="1:7" s="113" customFormat="1" ht="13.5" customHeight="1">
      <c r="A46" s="539" t="s">
        <v>344</v>
      </c>
      <c r="B46" s="147" t="s">
        <v>1488</v>
      </c>
      <c r="C46" s="148">
        <f ca="1">ROUND((C33+C39)*F27,0)</f>
        <v>847683</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11738835</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8804126</v>
      </c>
      <c r="D51" s="131"/>
      <c r="E51" s="131"/>
      <c r="F51" s="163"/>
      <c r="G51" s="133" t="s">
        <v>1496</v>
      </c>
    </row>
    <row r="52" spans="1:7" s="107" customFormat="1" ht="16.8" thickBot="1">
      <c r="A52" s="164" t="s">
        <v>1497</v>
      </c>
      <c r="B52" s="165"/>
      <c r="C52" s="166">
        <f ca="1">C31+C51</f>
        <v>33502590</v>
      </c>
      <c r="D52" s="165"/>
      <c r="E52" s="165"/>
      <c r="F52" s="165"/>
      <c r="G52" s="167"/>
    </row>
    <row r="55" spans="1:7" ht="15">
      <c r="B55" s="169" t="s">
        <v>1498</v>
      </c>
      <c r="C55" s="170"/>
    </row>
    <row r="56" spans="1:7">
      <c r="B56" s="172" t="s">
        <v>787</v>
      </c>
      <c r="C56" s="174">
        <f ca="1">1-C57</f>
        <v>0.73699999999999999</v>
      </c>
    </row>
    <row r="57" spans="1:7">
      <c r="B57" s="172" t="s">
        <v>788</v>
      </c>
      <c r="C57" s="173">
        <f ca="1">ROUND(C51/C52,3)</f>
        <v>0.26300000000000001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9" t="s">
        <v>391</v>
      </c>
      <c r="B7" s="4922" t="s">
        <v>3790</v>
      </c>
      <c r="C7" s="4924">
        <f ca="1">ROUND(F6*F7*F8/10000,2)</f>
        <v>0</v>
      </c>
      <c r="D7" s="4925" t="s">
        <v>3470</v>
      </c>
      <c r="E7" s="4447" t="s">
        <v>682</v>
      </c>
      <c r="F7" s="3968">
        <f ca="1">IF(INDIRECT("'数据-取费表'!ah"&amp;$G$1)="",INDIRECT("'数据-取费表'!k"&amp;$G$1),INDIRECT("'数据-取费表'!ah"&amp;$G$1))</f>
        <v>0</v>
      </c>
      <c r="G7" s="990"/>
      <c r="H7" s="4929" t="s">
        <v>391</v>
      </c>
      <c r="I7" s="4922" t="s">
        <v>3790</v>
      </c>
      <c r="J7" s="4931">
        <f ca="1">ROUND(M6*M8*M7/10000,2)</f>
        <v>0</v>
      </c>
      <c r="K7" s="4925" t="s">
        <v>3470</v>
      </c>
      <c r="L7" s="190" t="s">
        <v>682</v>
      </c>
      <c r="M7" s="3968">
        <f ca="1">F7</f>
        <v>0</v>
      </c>
    </row>
    <row r="8" spans="1:37" ht="18" customHeight="1">
      <c r="A8" s="4930"/>
      <c r="B8" s="4923"/>
      <c r="C8" s="4924"/>
      <c r="D8" s="4925"/>
      <c r="E8" s="190" t="str">
        <f ca="1">IF(F8=1,"年",IF(F8=12,"月","天"))</f>
        <v>天</v>
      </c>
      <c r="F8" s="3675">
        <f ca="1">INDIRECT("'数据-取费表'!ai"&amp;$G$1)</f>
        <v>0</v>
      </c>
      <c r="G8" s="990"/>
      <c r="H8" s="4930"/>
      <c r="I8" s="4923"/>
      <c r="J8" s="4931"/>
      <c r="K8" s="4925"/>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0</v>
      </c>
      <c r="G20" s="990"/>
      <c r="H20" s="4458" t="s">
        <v>666</v>
      </c>
      <c r="I20" s="982" t="s">
        <v>3964</v>
      </c>
      <c r="J20" s="4454">
        <f ca="1">ROUND(M20*M21/10000,2)</f>
        <v>0</v>
      </c>
      <c r="K20" s="211" t="s">
        <v>716</v>
      </c>
      <c r="L20" s="190" t="s">
        <v>717</v>
      </c>
      <c r="M20" s="3002">
        <f>'数据-取费表'!B53</f>
        <v>0</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216"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6" t="s">
        <v>3790</v>
      </c>
      <c r="C59" s="4927">
        <f ca="1">ROUND(F58*F60*F59/10000,2)</f>
        <v>0</v>
      </c>
      <c r="D59" s="4925"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6"/>
      <c r="C60" s="4928"/>
      <c r="D60" s="4925"/>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0" t="s">
        <v>822</v>
      </c>
      <c r="L62" s="4921"/>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0</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13" sqref="D13"/>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1133.5065</v>
      </c>
      <c r="C2" s="992" t="s">
        <v>790</v>
      </c>
      <c r="D2" s="3583" t="s">
        <v>4082</v>
      </c>
      <c r="E2" s="993"/>
      <c r="F2" s="994"/>
      <c r="G2" s="2136"/>
      <c r="H2" s="2125"/>
      <c r="I2" s="2125"/>
      <c r="J2" s="2125"/>
      <c r="K2" s="2126"/>
      <c r="L2" s="2125"/>
      <c r="M2" s="2125"/>
    </row>
    <row r="3" spans="1:37" ht="18" customHeight="1" thickBot="1">
      <c r="A3" s="995" t="s">
        <v>791</v>
      </c>
      <c r="B3" s="996">
        <f ca="1">IF(ISERROR(D3/F32),0,ROUND(D3/F32,0))</f>
        <v>4594</v>
      </c>
      <c r="C3" s="992" t="s">
        <v>792</v>
      </c>
      <c r="D3" s="992">
        <f ca="1">IF(D2="含税",ROUND((C28+J31+L55)*(1+F31),0),C28+J31+L55)</f>
        <v>11335065</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452004</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451440</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9" t="s">
        <v>391</v>
      </c>
      <c r="B7" s="4922" t="s">
        <v>3790</v>
      </c>
      <c r="C7" s="4932">
        <f ca="1">ROUND(F6*F7*F8,0)</f>
        <v>475200</v>
      </c>
      <c r="D7" s="4925" t="s">
        <v>3470</v>
      </c>
      <c r="E7" s="4447" t="s">
        <v>682</v>
      </c>
      <c r="F7" s="3968">
        <f ca="1">IF(INDIRECT("'数据-取费表'!ah"&amp;$G$1)="",INDIRECT("'数据-取费表'!k"&amp;$G$1),INDIRECT("'数据-取费表'!ah"&amp;$G$1))</f>
        <v>40</v>
      </c>
      <c r="G7" s="990"/>
      <c r="H7" s="4929" t="s">
        <v>391</v>
      </c>
      <c r="I7" s="4922" t="s">
        <v>3790</v>
      </c>
      <c r="J7" s="4933">
        <f ca="1">ROUND(M6*M8*M7,0)</f>
        <v>0</v>
      </c>
      <c r="K7" s="4925" t="s">
        <v>3470</v>
      </c>
      <c r="L7" s="190" t="s">
        <v>682</v>
      </c>
      <c r="M7" s="4595">
        <f ca="1">F7</f>
        <v>40</v>
      </c>
    </row>
    <row r="8" spans="1:37" ht="18" customHeight="1">
      <c r="A8" s="4930"/>
      <c r="B8" s="4923"/>
      <c r="C8" s="4932"/>
      <c r="D8" s="4925"/>
      <c r="E8" s="190" t="str">
        <f ca="1">IF(F8=1,"年",IF(F8=12,"月","天"))</f>
        <v>月</v>
      </c>
      <c r="F8" s="3675">
        <f ca="1">INDIRECT("'数据-取费表'!ai"&amp;$G$1)</f>
        <v>12</v>
      </c>
      <c r="G8" s="990"/>
      <c r="H8" s="4930"/>
      <c r="I8" s="4923"/>
      <c r="J8" s="4933"/>
      <c r="K8" s="4925"/>
      <c r="L8" s="190" t="str">
        <f ca="1">IF(M8=1,"年",IF(M8=12,"月","天"))</f>
        <v>月</v>
      </c>
      <c r="M8" s="3703">
        <f ca="1">INDIRECT("'数据-取费表'!ai"&amp;$G$1)</f>
        <v>12</v>
      </c>
    </row>
    <row r="9" spans="1:37" ht="18" customHeight="1">
      <c r="A9" s="2936" t="s">
        <v>3400</v>
      </c>
      <c r="B9" s="4451" t="s">
        <v>3791</v>
      </c>
      <c r="C9" s="4461">
        <f ca="1">ROUND(C7*F9,0)</f>
        <v>23760</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564</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96053</v>
      </c>
      <c r="D13" s="4600" t="s">
        <v>3918</v>
      </c>
      <c r="E13" s="4366"/>
      <c r="F13" s="4364"/>
      <c r="G13" s="4361"/>
      <c r="H13" s="753" t="s">
        <v>3675</v>
      </c>
      <c r="I13" s="754" t="s">
        <v>3917</v>
      </c>
      <c r="J13" s="4200">
        <f ca="1">ROUND(J14+J22+J24+J26,0)</f>
        <v>23625</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58694</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-258</v>
      </c>
      <c r="K14" s="2976" t="s">
        <v>3443</v>
      </c>
      <c r="L14" s="4593" t="str">
        <f>E14</f>
        <v/>
      </c>
      <c r="M14" s="4184" t="str">
        <f>IF(M56="非住宅","",IF(M6*M7*M8/12/(1+'数据-取费表'!F30)&gt;100000,4%,2.5%))</f>
        <v/>
      </c>
    </row>
    <row r="15" spans="1:37" s="1002" customFormat="1" ht="18" customHeight="1">
      <c r="A15" s="2936" t="s">
        <v>391</v>
      </c>
      <c r="B15" s="2949" t="s">
        <v>3962</v>
      </c>
      <c r="C15" s="2938">
        <f ca="1">C18</f>
        <v>4521</v>
      </c>
      <c r="D15" s="4456" t="s">
        <v>3961</v>
      </c>
      <c r="E15" s="4457"/>
      <c r="F15" s="4494"/>
      <c r="G15" s="1001"/>
      <c r="H15" s="2936" t="s">
        <v>391</v>
      </c>
      <c r="I15" s="2949" t="s">
        <v>3962</v>
      </c>
      <c r="J15" s="2938">
        <f ca="1">J18</f>
        <v>-258</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40630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2958</v>
      </c>
      <c r="D17" s="4336" t="s">
        <v>3858</v>
      </c>
      <c r="E17" s="2958"/>
      <c r="F17" s="3001">
        <v>0.06</v>
      </c>
      <c r="G17" s="1001"/>
      <c r="H17" s="2738" t="s">
        <v>3288</v>
      </c>
      <c r="I17" s="2953" t="s">
        <v>3404</v>
      </c>
      <c r="J17" s="3266">
        <f ca="1">ROUND(J22*M16+((J24+J26)*M17),0)</f>
        <v>2149</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4521</v>
      </c>
      <c r="D18" s="2976" t="s">
        <v>3981</v>
      </c>
      <c r="E18" s="190" t="s">
        <v>3982</v>
      </c>
      <c r="F18" s="3001">
        <f>'数据-取费表'!B44</f>
        <v>0.12000000000000001</v>
      </c>
      <c r="G18" s="1001"/>
      <c r="H18" s="2738" t="s">
        <v>3959</v>
      </c>
      <c r="I18" s="2953" t="s">
        <v>3958</v>
      </c>
      <c r="J18" s="3266">
        <f ca="1">ROUND((J16-J17)*M18,0)</f>
        <v>-258</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54173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0</v>
      </c>
      <c r="D20" s="211" t="s">
        <v>716</v>
      </c>
      <c r="E20" s="190" t="s">
        <v>717</v>
      </c>
      <c r="F20" s="3682">
        <f>'数据-取费表'!B53</f>
        <v>0</v>
      </c>
      <c r="G20" s="990"/>
      <c r="H20" s="4458" t="s">
        <v>666</v>
      </c>
      <c r="I20" s="4279" t="s">
        <v>3964</v>
      </c>
      <c r="J20" s="3267">
        <f ca="1">ROUND(M20*M21,0)</f>
        <v>0</v>
      </c>
      <c r="K20" s="211" t="s">
        <v>716</v>
      </c>
      <c r="L20" s="190" t="s">
        <v>717</v>
      </c>
      <c r="M20" s="3701">
        <f>'数据-取费表'!B53</f>
        <v>0</v>
      </c>
    </row>
    <row r="21" spans="1:37" s="1002" customFormat="1" ht="18" customHeight="1">
      <c r="A21" s="213"/>
      <c r="B21" s="775"/>
      <c r="C21" s="3268"/>
      <c r="D21" s="214"/>
      <c r="E21" s="190" t="s">
        <v>721</v>
      </c>
      <c r="F21" s="3270">
        <f ca="1">INDIRECT("'数据-取费表'!r"&amp;$G$1)</f>
        <v>0</v>
      </c>
      <c r="G21" s="1001"/>
      <c r="H21" s="213"/>
      <c r="I21" s="199"/>
      <c r="J21" s="3268"/>
      <c r="K21" s="214"/>
      <c r="L21" s="190" t="s">
        <v>721</v>
      </c>
      <c r="M21" s="3702">
        <f ca="1">INDIRECT("'数据-取费表'!r"&amp;$G$1)</f>
        <v>0</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23883</v>
      </c>
      <c r="D22" s="4280" t="s">
        <v>724</v>
      </c>
      <c r="E22" s="190" t="s">
        <v>697</v>
      </c>
      <c r="F22" s="3003">
        <f ca="1">INDIRECT("'数据-取费表'!Ak"&amp;$G$1)</f>
        <v>2E-3</v>
      </c>
      <c r="G22" s="1001"/>
      <c r="H22" s="4206" t="s">
        <v>396</v>
      </c>
      <c r="I22" s="60" t="s">
        <v>723</v>
      </c>
      <c r="J22" s="4226">
        <f ca="1">ROUND(J35*M22,0)</f>
        <v>23883</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11941406</v>
      </c>
      <c r="G23" s="1001"/>
      <c r="H23" s="213"/>
      <c r="I23" s="199"/>
      <c r="J23" s="4227"/>
      <c r="K23" s="4281"/>
      <c r="L23" s="2949" t="s">
        <v>3816</v>
      </c>
      <c r="M23" s="3703">
        <f ca="1">J35</f>
        <v>11941406</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8956</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8956054</v>
      </c>
      <c r="G25" s="990"/>
      <c r="H25" s="213"/>
      <c r="I25" s="199"/>
      <c r="J25" s="4227"/>
      <c r="K25" s="4281"/>
      <c r="L25" s="4279" t="s">
        <v>3817</v>
      </c>
      <c r="M25" s="3703">
        <f ca="1">J37</f>
        <v>0</v>
      </c>
    </row>
    <row r="26" spans="1:37" s="1002" customFormat="1" ht="18" customHeight="1" thickBot="1">
      <c r="A26" s="763" t="s">
        <v>669</v>
      </c>
      <c r="B26" s="764" t="s">
        <v>713</v>
      </c>
      <c r="C26" s="3269">
        <f ca="1">ROUND(C5*F26,0)</f>
        <v>4520</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355951</v>
      </c>
      <c r="D27" s="4599" t="s">
        <v>3903</v>
      </c>
      <c r="E27" s="4370"/>
      <c r="F27" s="4371"/>
      <c r="G27" s="4372"/>
      <c r="H27" s="753" t="s">
        <v>3299</v>
      </c>
      <c r="I27" s="768" t="s">
        <v>3920</v>
      </c>
      <c r="J27" s="4200">
        <f ca="1">J5-J13</f>
        <v>-23625</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9169552</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9994812</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2467.34</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4051</v>
      </c>
      <c r="D32" s="4380" t="s">
        <v>3897</v>
      </c>
      <c r="E32" s="222" t="s">
        <v>3898</v>
      </c>
      <c r="F32" s="3005">
        <f ca="1">INDIRECT("'数据-取费表'!k"&amp;$G$1)</f>
        <v>2467.34</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0.2125047565950744</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10678648</v>
      </c>
      <c r="D35" s="2972" t="s">
        <v>3414</v>
      </c>
      <c r="E35" s="2968"/>
      <c r="F35" s="2969"/>
      <c r="G35" s="990"/>
      <c r="H35" s="2982" t="s">
        <v>3406</v>
      </c>
      <c r="I35" s="2985" t="s">
        <v>3446</v>
      </c>
      <c r="J35" s="2986">
        <f ca="1">C51</f>
        <v>11941406</v>
      </c>
      <c r="K35" s="3450" t="s">
        <v>3442</v>
      </c>
      <c r="L35" s="2987"/>
      <c r="M35" s="3280"/>
    </row>
    <row r="36" spans="1:37" ht="18" customHeight="1">
      <c r="A36" s="2936" t="s">
        <v>391</v>
      </c>
      <c r="B36" s="2901" t="s">
        <v>692</v>
      </c>
      <c r="C36" s="2844">
        <f ca="1">ROUND(INDIRECT("'数据-取费表'!l"&amp;$G$1)*F32+'数据-取费表'!L14*INDIRECT("'数据-取费表'!S"&amp;$G$1),0)</f>
        <v>9375892</v>
      </c>
      <c r="D36" s="3026" t="s">
        <v>693</v>
      </c>
      <c r="E36" s="3026"/>
      <c r="F36" s="220"/>
      <c r="G36" s="990"/>
      <c r="H36" s="2983" t="s">
        <v>396</v>
      </c>
      <c r="I36" s="2988" t="s">
        <v>3434</v>
      </c>
      <c r="J36" s="2886">
        <f ca="1">ROUND(J35*(1-M36),0)</f>
        <v>11941406</v>
      </c>
      <c r="K36" s="190" t="s">
        <v>3437</v>
      </c>
      <c r="L36" s="2951" t="s">
        <v>3449</v>
      </c>
      <c r="M36" s="3003">
        <f ca="1">INDIRECT("'数据-取费表'!ad"&amp;$G$1)</f>
        <v>0</v>
      </c>
    </row>
    <row r="37" spans="1:37" ht="18" customHeight="1" thickBot="1">
      <c r="A37" s="2936" t="s">
        <v>3400</v>
      </c>
      <c r="B37" s="2901" t="s">
        <v>695</v>
      </c>
      <c r="C37" s="2938">
        <f ca="1">ROUND(C36*F37,0)</f>
        <v>187518</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740202</v>
      </c>
      <c r="D39" s="190" t="s">
        <v>702</v>
      </c>
      <c r="E39" s="190" t="s">
        <v>3869</v>
      </c>
      <c r="F39" s="3686">
        <f>'数据-取费表'!B35</f>
        <v>300</v>
      </c>
      <c r="G39" s="990"/>
    </row>
    <row r="40" spans="1:37" ht="18" customHeight="1">
      <c r="A40" s="2936" t="s">
        <v>668</v>
      </c>
      <c r="B40" s="2953" t="s">
        <v>3291</v>
      </c>
      <c r="C40" s="2938">
        <f ca="1">ROUND(C36*F40,0)</f>
        <v>187518</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187518</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106786</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161782+0.0002V建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161782</v>
      </c>
      <c r="D45" s="3029" t="str">
        <f>IF(F45&lt;=1,"(建造成本+管理费用)×利率×(建设周期÷2)","(建造成本+管理费用)×((1+利率)^(建设周期÷2)-1)")</f>
        <v>(建造成本+管理费用)×利率×(建设周期÷2)</v>
      </c>
      <c r="E45" s="190" t="s">
        <v>726</v>
      </c>
      <c r="F45" s="368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3029"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3310</v>
      </c>
      <c r="C47" s="3678" t="str">
        <f ca="1">C48&amp;"+"&amp;C49&amp;"V建"</f>
        <v>862835+0.0008V建</v>
      </c>
      <c r="D47" s="2920" t="s">
        <v>3431</v>
      </c>
      <c r="E47" s="204"/>
      <c r="F47" s="3002"/>
      <c r="G47" s="990"/>
      <c r="H47" s="831"/>
      <c r="I47" s="831"/>
      <c r="J47" s="831"/>
      <c r="K47" s="2019"/>
      <c r="L47" s="831"/>
      <c r="M47" s="831"/>
    </row>
    <row r="48" spans="1:37" ht="18" customHeight="1">
      <c r="A48" s="2936" t="s">
        <v>391</v>
      </c>
      <c r="B48" s="190" t="s">
        <v>739</v>
      </c>
      <c r="C48" s="2938">
        <f ca="1">ROUND((C35+C42)*F48,0)</f>
        <v>862835</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11941406</v>
      </c>
      <c r="D51" s="2975" t="s">
        <v>3442</v>
      </c>
      <c r="E51" s="2961"/>
      <c r="F51" s="3003"/>
      <c r="K51" s="4412"/>
      <c r="Q51" s="4407"/>
    </row>
    <row r="52" spans="1:37" s="4361" customFormat="1" ht="18" customHeight="1">
      <c r="A52" s="2965" t="s">
        <v>3432</v>
      </c>
      <c r="B52" s="2964" t="s">
        <v>3434</v>
      </c>
      <c r="C52" s="4341">
        <f ca="1">ROUND(C51*(1-F52),0)</f>
        <v>2985352</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8956054</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f ca="1">IF(M56="住宅",0,IF(L57&gt;J60,L69,J69))</f>
        <v>1229590</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9169552</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f ca="1">J69</f>
        <v>1229590</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11941406</v>
      </c>
      <c r="R58" s="1025" t="s">
        <v>803</v>
      </c>
    </row>
    <row r="59" spans="1:37" s="990" customFormat="1" ht="15" customHeight="1" thickBot="1">
      <c r="A59" s="4218" t="s">
        <v>3793</v>
      </c>
      <c r="B59" s="4922" t="s">
        <v>3790</v>
      </c>
      <c r="C59" s="4265">
        <f ca="1">ROUND(F58*F60*F59,0)</f>
        <v>0</v>
      </c>
      <c r="D59" s="4925" t="s">
        <v>3470</v>
      </c>
      <c r="E59" s="735" t="s">
        <v>682</v>
      </c>
      <c r="F59" s="2996">
        <f ca="1">F7</f>
        <v>40</v>
      </c>
      <c r="H59" s="515"/>
      <c r="I59" s="1026" t="s">
        <v>811</v>
      </c>
      <c r="J59" s="4250">
        <f>SUMPRODUCT((I72:I74=J56)*(J71:L71=J57)*(J72:L74))</f>
        <v>60</v>
      </c>
      <c r="K59" s="1028" t="s">
        <v>812</v>
      </c>
      <c r="L59" s="4246">
        <f>基准地价修正!C42</f>
        <v>4981</v>
      </c>
      <c r="M59" s="1035"/>
      <c r="O59" s="1033" t="s">
        <v>400</v>
      </c>
      <c r="P59" s="1024" t="s">
        <v>813</v>
      </c>
      <c r="Q59" s="3693">
        <f ca="1">J67</f>
        <v>0.4</v>
      </c>
      <c r="R59" s="1025"/>
    </row>
    <row r="60" spans="1:37" s="990" customFormat="1" ht="15" customHeight="1" thickBot="1">
      <c r="A60" s="4495"/>
      <c r="B60" s="4923"/>
      <c r="C60" s="4199"/>
      <c r="D60" s="4925"/>
      <c r="E60" s="690" t="str">
        <f ca="1">IF(F60=1,"年",IF(F60=12,"月","天"))</f>
        <v>月</v>
      </c>
      <c r="F60" s="2997">
        <f ca="1">F8</f>
        <v>12</v>
      </c>
      <c r="I60" s="1037" t="s">
        <v>814</v>
      </c>
      <c r="J60" s="4234">
        <f>IF(J58="",J59,J58+J59-YEAR('数据-取费表'!B2))</f>
        <v>43</v>
      </c>
      <c r="K60" s="1039" t="s">
        <v>815</v>
      </c>
      <c r="L60" s="4223">
        <f ca="1">ROUND(-PV(INDIRECT("'数据-取费表'!h"&amp;$G$1),J60,(C27-C52*C88),0),0)</f>
        <v>4889316</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0" t="s">
        <v>822</v>
      </c>
      <c r="L62" s="4921"/>
      <c r="O62" s="4400" t="s">
        <v>403</v>
      </c>
      <c r="P62" s="4404" t="s">
        <v>3946</v>
      </c>
      <c r="Q62" s="4405">
        <f ca="1">ROUND((Q56+Q57)*(1+F31),0)</f>
        <v>11335065</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f ca="1">ROUND(IF(J56="钢混",J66/J59,1-(1-2%)*(J59-J66)/J59),3)</f>
        <v>0.20300000000000001</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4098</v>
      </c>
      <c r="K65" s="1026" t="s">
        <v>828</v>
      </c>
      <c r="L65" s="4234" t="str">
        <f ca="1">IF(L57&lt;J60,"——",L57-J62)</f>
        <v>——</v>
      </c>
      <c r="O65" s="4400" t="s">
        <v>397</v>
      </c>
      <c r="P65" s="4404" t="s">
        <v>3944</v>
      </c>
      <c r="Q65" s="4405">
        <f ca="1">C28+J31</f>
        <v>9169552</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f ca="1">IF(OR(M56="住宅",J60&lt;L57,J65="是"),"——",J60-L57)</f>
        <v>12.170000000000002</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-322</v>
      </c>
      <c r="D67" s="2951" t="s">
        <v>3961</v>
      </c>
      <c r="E67" s="4457"/>
      <c r="F67" s="4494"/>
      <c r="I67" s="1060" t="s">
        <v>832</v>
      </c>
      <c r="J67" s="4241">
        <f ca="1">IF(J64&lt;0.4,0.4,J64)</f>
        <v>0.4</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f ca="1">IF(OR(M56="住宅",J60&lt;L57,J65="是"),"——",ROUND(C51*J67,0))</f>
        <v>4776562</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2687</v>
      </c>
      <c r="D69" s="4336" t="s">
        <v>3858</v>
      </c>
      <c r="E69" s="2958"/>
      <c r="F69" s="3001">
        <f>F17</f>
        <v>0.06</v>
      </c>
      <c r="I69" s="1063" t="s">
        <v>837</v>
      </c>
      <c r="J69" s="4243">
        <f ca="1">IF(OR(M56="住宅",J60&lt;L57,J65="是"),"0",ROUND(J68/(1+J61)^J62,0))</f>
        <v>1229590</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-322</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9994812</v>
      </c>
      <c r="R71" s="4402" t="s">
        <v>3948</v>
      </c>
    </row>
    <row r="72" spans="1:18" s="990" customFormat="1" ht="13.8" thickBot="1">
      <c r="A72" s="4458" t="s">
        <v>769</v>
      </c>
      <c r="B72" s="4446" t="s">
        <v>3964</v>
      </c>
      <c r="C72" s="3267" t="str">
        <f>IF(项目基本情况!B11="自然人","——",ROUND(F72*F73,0))</f>
        <v>——</v>
      </c>
      <c r="D72" s="674" t="s">
        <v>771</v>
      </c>
      <c r="E72" s="659" t="s">
        <v>717</v>
      </c>
      <c r="F72" s="3682">
        <f t="shared" si="0"/>
        <v>0</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0</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23883</v>
      </c>
      <c r="D74" s="4209" t="s">
        <v>724</v>
      </c>
      <c r="E74" s="2931" t="s">
        <v>3804</v>
      </c>
      <c r="F74" s="4223">
        <f ca="1">C51</f>
        <v>11941406</v>
      </c>
      <c r="I74" s="3687" t="s">
        <v>851</v>
      </c>
      <c r="J74" s="3683">
        <v>40</v>
      </c>
      <c r="K74" s="3683">
        <v>30</v>
      </c>
      <c r="L74" s="3683">
        <v>50</v>
      </c>
      <c r="M74" s="1070">
        <v>0.02</v>
      </c>
      <c r="O74" s="4400" t="s">
        <v>397</v>
      </c>
      <c r="P74" s="4401" t="s">
        <v>3907</v>
      </c>
      <c r="Q74" s="4403">
        <f ca="1">C28+J31</f>
        <v>9169552</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8956</v>
      </c>
      <c r="D76" s="4209" t="s">
        <v>3441</v>
      </c>
      <c r="E76" s="2931" t="s">
        <v>3440</v>
      </c>
      <c r="F76" s="4224">
        <f ca="1">C53</f>
        <v>8956054</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4889316</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221610</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355951</v>
      </c>
      <c r="R80" s="1025" t="s">
        <v>803</v>
      </c>
    </row>
    <row r="81" spans="1:18" s="4361" customFormat="1" ht="13.8" thickBot="1">
      <c r="A81" s="3452"/>
      <c r="B81" s="661"/>
      <c r="C81" s="4461"/>
      <c r="D81" s="4392" t="s">
        <v>3893</v>
      </c>
      <c r="E81" s="667" t="s">
        <v>3892</v>
      </c>
      <c r="F81" s="3004">
        <f ca="1">F29</f>
        <v>30.83</v>
      </c>
      <c r="O81" s="1033" t="s">
        <v>406</v>
      </c>
      <c r="P81" s="1072" t="s">
        <v>3940</v>
      </c>
      <c r="Q81" s="3696">
        <f ca="1">C52</f>
        <v>2985352</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2467.34</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9994812</v>
      </c>
      <c r="R86" s="4402" t="s">
        <v>3948</v>
      </c>
    </row>
    <row r="87" spans="1:18">
      <c r="A87" s="990"/>
      <c r="B87" s="227" t="s">
        <v>780</v>
      </c>
      <c r="C87" s="3072">
        <f ca="1">ROUND(C53*C88,0)</f>
        <v>403022</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-0.1319999999999999</v>
      </c>
    </row>
    <row r="92" spans="1:18">
      <c r="B92" s="227" t="s">
        <v>785</v>
      </c>
      <c r="C92" s="3073">
        <f ca="1">ROUND(C87/C27,3)</f>
        <v>1.1319999999999999</v>
      </c>
    </row>
    <row r="93" spans="1:18">
      <c r="B93" s="169" t="s">
        <v>786</v>
      </c>
      <c r="C93" s="137"/>
    </row>
    <row r="94" spans="1:18">
      <c r="B94" s="172" t="s">
        <v>787</v>
      </c>
      <c r="C94" s="3074">
        <f ca="1">1-C95</f>
        <v>0.13900000000000001</v>
      </c>
    </row>
    <row r="95" spans="1:18">
      <c r="B95" s="172" t="s">
        <v>788</v>
      </c>
      <c r="C95" s="3073">
        <f ca="1">ROUND(C53/(C28+J31+L55),3)</f>
        <v>0.86099999999999999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4" t="s">
        <v>679</v>
      </c>
      <c r="C6" s="749">
        <f ca="1">ROUND(F6*F8*F7*(1-F9),0)</f>
        <v>0</v>
      </c>
      <c r="D6" s="60" t="s">
        <v>2011</v>
      </c>
      <c r="E6" s="190" t="s">
        <v>681</v>
      </c>
      <c r="F6" s="191">
        <f ca="1">INDIRECT("'数据-取费表'!u"&amp;$G$1)</f>
        <v>0</v>
      </c>
      <c r="G6" s="990"/>
      <c r="H6" s="744" t="s">
        <v>392</v>
      </c>
      <c r="I6" s="4934" t="s">
        <v>679</v>
      </c>
      <c r="J6" s="189">
        <f ca="1">ROUND(M6*M8*M7*(1-M9),0)</f>
        <v>0</v>
      </c>
      <c r="K6" s="982" t="s">
        <v>2012</v>
      </c>
      <c r="L6" s="190" t="s">
        <v>681</v>
      </c>
      <c r="M6" s="191">
        <f ca="1">INDIRECT("'数据-取费表'!z"&amp;$G$1)</f>
        <v>0</v>
      </c>
    </row>
    <row r="7" spans="1:37" ht="18" customHeight="1">
      <c r="A7" s="748"/>
      <c r="B7" s="4935"/>
      <c r="C7" s="750"/>
      <c r="D7" s="195"/>
      <c r="E7" s="751" t="s">
        <v>682</v>
      </c>
      <c r="F7" s="191">
        <f ca="1">IF(INDIRECT("'数据-取费表'!ah"&amp;$G$1)="",INDIRECT("'数据-取费表'!k"&amp;$G$1),INDIRECT("'数据-取费表'!ah"&amp;$G$1))</f>
        <v>0</v>
      </c>
      <c r="G7" s="990"/>
      <c r="H7" s="192"/>
      <c r="I7" s="4935"/>
      <c r="J7" s="194"/>
      <c r="K7" s="195"/>
      <c r="L7" s="190" t="s">
        <v>682</v>
      </c>
      <c r="M7" s="191">
        <f ca="1">F7</f>
        <v>0</v>
      </c>
    </row>
    <row r="8" spans="1:37" ht="18" customHeight="1">
      <c r="A8" s="192"/>
      <c r="B8" s="4935"/>
      <c r="C8" s="194"/>
      <c r="D8" s="195"/>
      <c r="E8" s="190" t="s">
        <v>683</v>
      </c>
      <c r="F8" s="191">
        <f ca="1">INDIRECT("'数据-取费表'!ai"&amp;$G$1)</f>
        <v>0</v>
      </c>
      <c r="G8" s="990"/>
      <c r="H8" s="192"/>
      <c r="I8" s="4935"/>
      <c r="J8" s="194"/>
      <c r="K8" s="195"/>
      <c r="L8" s="190" t="s">
        <v>683</v>
      </c>
      <c r="M8" s="191">
        <f ca="1">INDIRECT("'数据-取费表'!ai"&amp;$G$1)</f>
        <v>0</v>
      </c>
    </row>
    <row r="9" spans="1:37" ht="18" customHeight="1">
      <c r="A9" s="192"/>
      <c r="B9" s="4936"/>
      <c r="C9" s="194"/>
      <c r="D9" s="195"/>
      <c r="E9" s="190" t="s">
        <v>684</v>
      </c>
      <c r="F9" s="200">
        <f ca="1">INDIRECT("'数据-取费表'!w"&amp;$G$1)</f>
        <v>0</v>
      </c>
      <c r="G9" s="990"/>
      <c r="H9" s="192"/>
      <c r="I9" s="4936"/>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0</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0" t="s">
        <v>822</v>
      </c>
      <c r="L53" s="4921"/>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37" t="s">
        <v>2210</v>
      </c>
      <c r="K2" s="4938"/>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39" t="s">
        <v>2220</v>
      </c>
      <c r="K3" s="4940"/>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39" t="s">
        <v>2222</v>
      </c>
      <c r="K4" s="4940"/>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41" t="s">
        <v>3788</v>
      </c>
      <c r="B6" s="4942"/>
      <c r="C6" s="4943"/>
      <c r="D6" s="3707"/>
      <c r="E6" s="3853"/>
      <c r="F6" s="2275"/>
      <c r="G6" s="2276"/>
      <c r="H6" s="2254"/>
      <c r="I6" s="2255"/>
      <c r="J6" s="4944">
        <v>1</v>
      </c>
      <c r="K6" s="4945"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44"/>
      <c r="K7" s="4946"/>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48" t="s">
        <v>2239</v>
      </c>
      <c r="C8" s="4949"/>
      <c r="D8" s="4428" t="s">
        <v>3950</v>
      </c>
      <c r="E8" s="2290" t="s">
        <v>2240</v>
      </c>
      <c r="F8" s="2291" t="s">
        <v>2241</v>
      </c>
      <c r="G8" s="2292"/>
      <c r="H8" s="2254"/>
      <c r="I8" s="2255"/>
      <c r="J8" s="4944"/>
      <c r="K8" s="4946"/>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48" t="s">
        <v>2244</v>
      </c>
      <c r="C9" s="4949"/>
      <c r="D9" s="3709">
        <f>ROUND(D6*E9,0)</f>
        <v>0</v>
      </c>
      <c r="E9" s="3710"/>
      <c r="F9" s="2293" t="s">
        <v>2245</v>
      </c>
      <c r="G9" s="2276"/>
      <c r="H9" s="2254"/>
      <c r="I9" s="2255"/>
      <c r="J9" s="4944"/>
      <c r="K9" s="4946"/>
      <c r="L9" s="2285" t="s">
        <v>2246</v>
      </c>
      <c r="M9" s="3976"/>
      <c r="N9" s="3975"/>
      <c r="O9" s="4608"/>
      <c r="P9" s="4608"/>
      <c r="Q9" s="3975">
        <v>365</v>
      </c>
      <c r="R9" s="3974">
        <f t="shared" si="0"/>
        <v>0</v>
      </c>
      <c r="S9" s="2248"/>
      <c r="T9" s="2248"/>
      <c r="U9" s="2248"/>
      <c r="V9" s="2255"/>
    </row>
    <row r="10" spans="1:22" s="2259" customFormat="1" ht="13.2" customHeight="1">
      <c r="A10" s="2289">
        <v>2</v>
      </c>
      <c r="B10" s="4948" t="s">
        <v>2247</v>
      </c>
      <c r="C10" s="4949"/>
      <c r="D10" s="3709">
        <f>ROUND(D6*E10,0)</f>
        <v>0</v>
      </c>
      <c r="E10" s="3710"/>
      <c r="F10" s="3848" t="s">
        <v>3713</v>
      </c>
      <c r="G10" s="2276"/>
      <c r="H10" s="2254"/>
      <c r="I10" s="2255"/>
      <c r="J10" s="4944"/>
      <c r="K10" s="4946"/>
      <c r="L10" s="2285" t="s">
        <v>2248</v>
      </c>
      <c r="M10" s="3976"/>
      <c r="N10" s="3975"/>
      <c r="O10" s="4608"/>
      <c r="P10" s="4608"/>
      <c r="Q10" s="3975">
        <v>365</v>
      </c>
      <c r="R10" s="3974">
        <f t="shared" si="0"/>
        <v>0</v>
      </c>
      <c r="S10" s="2248"/>
      <c r="T10" s="2248"/>
      <c r="U10" s="2248"/>
      <c r="V10" s="2255"/>
    </row>
    <row r="11" spans="1:22" s="2259" customFormat="1" ht="13.2" customHeight="1">
      <c r="A11" s="2289">
        <v>3</v>
      </c>
      <c r="B11" s="4948" t="s">
        <v>2249</v>
      </c>
      <c r="C11" s="4949"/>
      <c r="D11" s="3709">
        <f>D12+D14+D15+D16</f>
        <v>0</v>
      </c>
      <c r="E11" s="3711" t="e">
        <f>D11/D6</f>
        <v>#DIV/0!</v>
      </c>
      <c r="F11" s="2291"/>
      <c r="G11" s="2292"/>
      <c r="H11" s="2254"/>
      <c r="I11" s="2255"/>
      <c r="J11" s="4944"/>
      <c r="K11" s="4946"/>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50" t="s">
        <v>2252</v>
      </c>
      <c r="C12" s="4951"/>
      <c r="D12" s="3712">
        <f>ROUND(D13*1.2%*(1-30%),0)</f>
        <v>0</v>
      </c>
      <c r="E12" s="3713">
        <v>1.2E-2</v>
      </c>
      <c r="F12" s="2291" t="s">
        <v>2253</v>
      </c>
      <c r="G12" s="2292"/>
      <c r="H12" s="2254"/>
      <c r="I12" s="2255"/>
      <c r="J12" s="4944"/>
      <c r="K12" s="4946"/>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44"/>
      <c r="K13" s="4946"/>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50" t="s">
        <v>2258</v>
      </c>
      <c r="C14" s="4951"/>
      <c r="D14" s="3712">
        <f>ROUND(E14*B5/10000,0)</f>
        <v>0</v>
      </c>
      <c r="E14" s="3715"/>
      <c r="F14" s="2291" t="s">
        <v>2259</v>
      </c>
      <c r="G14" s="2292"/>
      <c r="H14" s="2254"/>
      <c r="I14" s="2255"/>
      <c r="J14" s="4944"/>
      <c r="K14" s="4947"/>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52" t="s">
        <v>3785</v>
      </c>
      <c r="C15" s="4951"/>
      <c r="D15" s="3712">
        <f>IF(F15="酒店",E48*(1+E15),IF(F15="购物中心",E67*(1+E15),IF(F15="按比例计算-酒店",E46,E65)))</f>
        <v>0</v>
      </c>
      <c r="E15" s="3713">
        <f>'数据-取费表'!B44</f>
        <v>0.12000000000000001</v>
      </c>
      <c r="F15" s="3851" t="s">
        <v>3844</v>
      </c>
      <c r="G15" s="3852"/>
      <c r="H15" s="2254"/>
      <c r="I15" s="2255"/>
      <c r="J15" s="4944">
        <v>2</v>
      </c>
      <c r="K15" s="4945"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50" t="s">
        <v>2269</v>
      </c>
      <c r="C16" s="4951"/>
      <c r="D16" s="3716">
        <f>D6*E16</f>
        <v>0</v>
      </c>
      <c r="E16" s="3717"/>
      <c r="F16" s="2293" t="s">
        <v>2270</v>
      </c>
      <c r="G16" s="2276"/>
      <c r="H16" s="2254"/>
      <c r="I16" s="2255"/>
      <c r="J16" s="4944"/>
      <c r="K16" s="4946"/>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3" t="s">
        <v>2272</v>
      </c>
      <c r="C17" s="4954"/>
      <c r="D17" s="3718">
        <f>ROUND(D6*E17,0)</f>
        <v>0</v>
      </c>
      <c r="E17" s="3719"/>
      <c r="F17" s="3849" t="s">
        <v>3714</v>
      </c>
      <c r="G17" s="2276"/>
      <c r="H17" s="2254"/>
      <c r="I17" s="2255"/>
      <c r="J17" s="4944"/>
      <c r="K17" s="4946"/>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44"/>
      <c r="K18" s="4946"/>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44"/>
      <c r="K19" s="4947"/>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44">
        <v>3</v>
      </c>
      <c r="K20" s="4945"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44"/>
      <c r="K21" s="4946"/>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44"/>
      <c r="K22" s="4946"/>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44"/>
      <c r="K23" s="4946"/>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44"/>
      <c r="K24" s="4947"/>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55">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56"/>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37" t="s">
        <v>2210</v>
      </c>
      <c r="K32" s="4938"/>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39" t="s">
        <v>2220</v>
      </c>
      <c r="K33" s="4940"/>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39" t="s">
        <v>2222</v>
      </c>
      <c r="K34" s="4940"/>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44">
        <v>1</v>
      </c>
      <c r="K36" s="4945"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44"/>
      <c r="K37" s="4946"/>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44"/>
      <c r="K38" s="4946"/>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44"/>
      <c r="K39" s="4946"/>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44"/>
      <c r="K40" s="4947"/>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55">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56"/>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估价对象为北京市房地产，为所有。根据《国有土地使用证》[]，估价对象（分摊）出让国有建设用地使用权面积为0平方米，建筑面积为2467.34平方米。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估价对象为北京市房地产,为开发建设的，该项目尚在开发建设中。根据《国有土地使用证》[]，估价对象（分摊）出让国有建设用地使用权面积为0平方米，规划建筑面积为2467.34平方米。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1133.5065</v>
      </c>
      <c r="C2" s="1445" t="s">
        <v>1558</v>
      </c>
      <c r="D2" s="1446" t="s">
        <v>1559</v>
      </c>
      <c r="E2" s="3119">
        <f>SUM(E6:E13)</f>
        <v>2467.34</v>
      </c>
      <c r="F2" s="2137"/>
      <c r="G2" s="1094"/>
      <c r="H2" s="1094"/>
      <c r="I2" s="1094"/>
      <c r="J2" s="1094"/>
      <c r="K2" s="1094"/>
      <c r="L2" s="1094"/>
      <c r="M2" s="1094"/>
      <c r="N2" s="1094"/>
      <c r="O2" s="1094"/>
      <c r="P2" s="1094"/>
      <c r="Q2" s="1094"/>
      <c r="R2" s="1094"/>
      <c r="S2" s="1094"/>
    </row>
    <row r="3" spans="1:22" ht="15.6">
      <c r="A3" s="1444" t="s">
        <v>672</v>
      </c>
      <c r="B3" s="3118">
        <f ca="1">ROUND(B2*10000/E2,0)</f>
        <v>4594</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7" t="s">
        <v>1561</v>
      </c>
      <c r="C5" s="4958"/>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1133.5065</v>
      </c>
      <c r="C6" s="1445" t="s">
        <v>1558</v>
      </c>
      <c r="D6" s="2139"/>
      <c r="E6" s="3120">
        <f>IF(OR(A6=0,F6="否"),0,'数据-取费表'!K6+'数据-取费表'!S6)</f>
        <v>2467.34</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2467.34</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2" t="s">
        <v>1574</v>
      </c>
      <c r="D4" s="4973"/>
      <c r="E4" s="4974" t="s">
        <v>1575</v>
      </c>
      <c r="F4" s="4975"/>
      <c r="G4" s="4972" t="s">
        <v>1576</v>
      </c>
      <c r="H4" s="4973"/>
      <c r="I4" s="4972" t="s">
        <v>1577</v>
      </c>
      <c r="J4" s="4973"/>
      <c r="K4" s="3049" t="s">
        <v>1578</v>
      </c>
      <c r="L4" s="2145"/>
      <c r="M4" s="2146"/>
      <c r="N4" s="2146"/>
      <c r="O4" s="2146"/>
      <c r="P4" s="4976" t="s">
        <v>1579</v>
      </c>
      <c r="Q4" s="4977"/>
      <c r="R4" s="4959" t="s">
        <v>1575</v>
      </c>
      <c r="S4" s="4960"/>
      <c r="T4" s="4959" t="s">
        <v>1576</v>
      </c>
      <c r="U4" s="4960"/>
      <c r="V4" s="4984" t="s">
        <v>1577</v>
      </c>
      <c r="W4" s="4984"/>
      <c r="X4" s="962"/>
      <c r="Y4" s="4883" t="s">
        <v>1579</v>
      </c>
      <c r="Z4" s="4884"/>
      <c r="AA4" s="4878" t="s">
        <v>1575</v>
      </c>
      <c r="AB4" s="4878" t="s">
        <v>1576</v>
      </c>
      <c r="AC4" s="4878" t="s">
        <v>1577</v>
      </c>
    </row>
    <row r="5" spans="1:29">
      <c r="A5" s="244"/>
      <c r="B5" s="245"/>
      <c r="C5" s="4965" t="s">
        <v>1580</v>
      </c>
      <c r="D5" s="4966"/>
      <c r="E5" s="4963" t="s">
        <v>1581</v>
      </c>
      <c r="F5" s="4964"/>
      <c r="G5" s="4965" t="s">
        <v>1582</v>
      </c>
      <c r="H5" s="4966"/>
      <c r="I5" s="4965" t="s">
        <v>1583</v>
      </c>
      <c r="J5" s="4966"/>
      <c r="K5" s="3050"/>
      <c r="L5" s="2145"/>
      <c r="M5" s="2146"/>
      <c r="N5" s="2146"/>
      <c r="O5" s="2146"/>
      <c r="P5" s="4978"/>
      <c r="Q5" s="4979"/>
      <c r="R5" s="4961"/>
      <c r="S5" s="4962"/>
      <c r="T5" s="4961"/>
      <c r="U5" s="4962"/>
      <c r="V5" s="4984"/>
      <c r="W5" s="4984"/>
      <c r="X5" s="962"/>
      <c r="Y5" s="4885"/>
      <c r="Z5" s="4886"/>
      <c r="AA5" s="4879"/>
      <c r="AB5" s="4879"/>
      <c r="AC5" s="4879"/>
    </row>
    <row r="6" spans="1:29" ht="15" thickBot="1">
      <c r="A6" s="246"/>
      <c r="B6" s="247"/>
      <c r="C6" s="4967" t="s">
        <v>1584</v>
      </c>
      <c r="D6" s="4968"/>
      <c r="E6" s="4969" t="s">
        <v>1584</v>
      </c>
      <c r="F6" s="4970"/>
      <c r="G6" s="4967" t="s">
        <v>1584</v>
      </c>
      <c r="H6" s="4968"/>
      <c r="I6" s="4967" t="s">
        <v>1584</v>
      </c>
      <c r="J6" s="4968"/>
      <c r="K6" s="3050" t="s">
        <v>1585</v>
      </c>
      <c r="L6" s="2145"/>
      <c r="M6" s="2146"/>
      <c r="N6" s="2146"/>
      <c r="O6" s="2146"/>
      <c r="P6" s="4980"/>
      <c r="Q6" s="4981"/>
      <c r="R6" s="4961"/>
      <c r="S6" s="4962"/>
      <c r="T6" s="4982"/>
      <c r="U6" s="4983"/>
      <c r="V6" s="4984"/>
      <c r="W6" s="4984"/>
      <c r="X6" s="962"/>
      <c r="Y6" s="4908"/>
      <c r="Z6" s="4909"/>
      <c r="AA6" s="4880"/>
      <c r="AB6" s="4880"/>
      <c r="AC6" s="4880"/>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85" t="s">
        <v>1587</v>
      </c>
      <c r="Q7" s="4987"/>
      <c r="R7" s="3917" t="s">
        <v>18</v>
      </c>
      <c r="S7" s="3403">
        <f t="shared" ref="S7:S15" si="0">F7</f>
        <v>0</v>
      </c>
      <c r="T7" s="3917" t="s">
        <v>18</v>
      </c>
      <c r="U7" s="3403">
        <f t="shared" ref="U7:U15" si="1">H7</f>
        <v>0</v>
      </c>
      <c r="V7" s="3917" t="s">
        <v>18</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85" t="s">
        <v>1590</v>
      </c>
      <c r="Q8" s="4986"/>
      <c r="R8" s="3917" t="s">
        <v>18</v>
      </c>
      <c r="S8" s="3403">
        <f t="shared" si="0"/>
        <v>100</v>
      </c>
      <c r="T8" s="3917" t="s">
        <v>18</v>
      </c>
      <c r="U8" s="3403">
        <f t="shared" si="1"/>
        <v>100</v>
      </c>
      <c r="V8" s="3917" t="s">
        <v>18</v>
      </c>
      <c r="W8" s="3403">
        <f t="shared" si="2"/>
        <v>100</v>
      </c>
      <c r="X8" s="503"/>
      <c r="Y8" s="4881" t="s">
        <v>1590</v>
      </c>
      <c r="Z8" s="4882"/>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1"/>
      <c r="Q11" s="3025" t="str">
        <f t="shared" si="6"/>
        <v>容积率</v>
      </c>
      <c r="R11" s="3917" t="s">
        <v>16</v>
      </c>
      <c r="S11" s="3403">
        <f t="shared" si="0"/>
        <v>100</v>
      </c>
      <c r="T11" s="3917" t="s">
        <v>16</v>
      </c>
      <c r="U11" s="3403">
        <f t="shared" si="1"/>
        <v>100</v>
      </c>
      <c r="V11" s="3917" t="s">
        <v>16</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1"/>
      <c r="Q12" s="3025">
        <f t="shared" si="6"/>
        <v>111</v>
      </c>
      <c r="R12" s="3917" t="s">
        <v>16</v>
      </c>
      <c r="S12" s="3403">
        <f t="shared" si="0"/>
        <v>100</v>
      </c>
      <c r="T12" s="3917" t="s">
        <v>16</v>
      </c>
      <c r="U12" s="3403">
        <f t="shared" si="1"/>
        <v>100</v>
      </c>
      <c r="V12" s="3917" t="s">
        <v>16</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1"/>
      <c r="Q13" s="3025">
        <f t="shared" si="6"/>
        <v>111</v>
      </c>
      <c r="R13" s="3917" t="s">
        <v>16</v>
      </c>
      <c r="S13" s="3403">
        <f t="shared" si="0"/>
        <v>100</v>
      </c>
      <c r="T13" s="3917" t="s">
        <v>16</v>
      </c>
      <c r="U13" s="3403">
        <f t="shared" si="1"/>
        <v>100</v>
      </c>
      <c r="V13" s="3917" t="s">
        <v>16</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1"/>
      <c r="Q14" s="3025">
        <f t="shared" si="6"/>
        <v>111</v>
      </c>
      <c r="R14" s="3917" t="s">
        <v>16</v>
      </c>
      <c r="S14" s="3403">
        <f t="shared" si="0"/>
        <v>100</v>
      </c>
      <c r="T14" s="3917" t="s">
        <v>16</v>
      </c>
      <c r="U14" s="3403">
        <f t="shared" si="1"/>
        <v>100</v>
      </c>
      <c r="V14" s="3917" t="s">
        <v>16</v>
      </c>
      <c r="W14" s="3403">
        <f t="shared" si="2"/>
        <v>100</v>
      </c>
      <c r="X14" s="503"/>
      <c r="Y14" s="4897"/>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97" t="s">
        <v>1598</v>
      </c>
      <c r="Q15" s="1617" t="str">
        <f t="shared" si="6"/>
        <v>居住社区成熟度</v>
      </c>
      <c r="R15" s="4038" t="s">
        <v>16</v>
      </c>
      <c r="S15" s="3404">
        <f t="shared" si="0"/>
        <v>100</v>
      </c>
      <c r="T15" s="4038" t="s">
        <v>16</v>
      </c>
      <c r="U15" s="3404">
        <f t="shared" si="1"/>
        <v>100</v>
      </c>
      <c r="V15" s="4038" t="s">
        <v>16</v>
      </c>
      <c r="W15" s="3404">
        <f t="shared" si="2"/>
        <v>100</v>
      </c>
      <c r="X15" s="962"/>
      <c r="Y15" s="4912"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98"/>
      <c r="Q17" s="1617" t="str">
        <f>B17</f>
        <v>交通便捷度</v>
      </c>
      <c r="R17" s="4038" t="s">
        <v>16</v>
      </c>
      <c r="S17" s="3404">
        <f>F17</f>
        <v>100</v>
      </c>
      <c r="T17" s="4038" t="s">
        <v>16</v>
      </c>
      <c r="U17" s="3404">
        <f>H17</f>
        <v>100</v>
      </c>
      <c r="V17" s="4038" t="s">
        <v>16</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98"/>
      <c r="Q19" s="1617" t="str">
        <f>B19</f>
        <v>公共配套设施</v>
      </c>
      <c r="R19" s="4038" t="s">
        <v>16</v>
      </c>
      <c r="S19" s="3404">
        <f>F19</f>
        <v>100</v>
      </c>
      <c r="T19" s="4038" t="s">
        <v>16</v>
      </c>
      <c r="U19" s="3404">
        <f>H19</f>
        <v>100</v>
      </c>
      <c r="V19" s="4038" t="s">
        <v>16</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98"/>
      <c r="Q23" s="1617" t="str">
        <f>B23</f>
        <v>自然及人文环境</v>
      </c>
      <c r="R23" s="4038" t="s">
        <v>16</v>
      </c>
      <c r="S23" s="3404">
        <f>F23</f>
        <v>100</v>
      </c>
      <c r="T23" s="4038" t="s">
        <v>16</v>
      </c>
      <c r="U23" s="3404">
        <f>H23</f>
        <v>100</v>
      </c>
      <c r="V23" s="4038" t="s">
        <v>16</v>
      </c>
      <c r="W23" s="3404">
        <f>J23</f>
        <v>100</v>
      </c>
      <c r="X23" s="962"/>
      <c r="Y23" s="4913"/>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98"/>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913"/>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98"/>
      <c r="Q26" s="1617" t="str">
        <f t="shared" si="11"/>
        <v>朝向</v>
      </c>
      <c r="R26" s="4038" t="s">
        <v>16</v>
      </c>
      <c r="S26" s="3404">
        <f t="shared" si="12"/>
        <v>100</v>
      </c>
      <c r="T26" s="4038" t="s">
        <v>16</v>
      </c>
      <c r="U26" s="3404">
        <f t="shared" si="13"/>
        <v>100</v>
      </c>
      <c r="V26" s="4038" t="s">
        <v>16</v>
      </c>
      <c r="W26" s="3404">
        <f t="shared" si="14"/>
        <v>100</v>
      </c>
      <c r="X26" s="962"/>
      <c r="Y26" s="4913"/>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98"/>
      <c r="Q27" s="3025">
        <f t="shared" si="11"/>
        <v>111</v>
      </c>
      <c r="R27" s="3917" t="s">
        <v>16</v>
      </c>
      <c r="S27" s="3403">
        <f t="shared" si="12"/>
        <v>100</v>
      </c>
      <c r="T27" s="3917" t="s">
        <v>16</v>
      </c>
      <c r="U27" s="3403">
        <f t="shared" si="13"/>
        <v>100</v>
      </c>
      <c r="V27" s="3917" t="s">
        <v>16</v>
      </c>
      <c r="W27" s="3403">
        <f t="shared" si="14"/>
        <v>100</v>
      </c>
      <c r="X27" s="503"/>
      <c r="Y27" s="4913"/>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98"/>
      <c r="Q28" s="1617">
        <f t="shared" si="11"/>
        <v>111</v>
      </c>
      <c r="R28" s="4038" t="s">
        <v>16</v>
      </c>
      <c r="S28" s="3404">
        <f t="shared" si="12"/>
        <v>100</v>
      </c>
      <c r="T28" s="4038" t="s">
        <v>16</v>
      </c>
      <c r="U28" s="3404">
        <f t="shared" si="13"/>
        <v>100</v>
      </c>
      <c r="V28" s="4038" t="s">
        <v>16</v>
      </c>
      <c r="W28" s="3404">
        <f t="shared" si="14"/>
        <v>100</v>
      </c>
      <c r="X28" s="962"/>
      <c r="Y28" s="4913"/>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98"/>
      <c r="Q29" s="1617">
        <f t="shared" si="11"/>
        <v>111</v>
      </c>
      <c r="R29" s="4038" t="s">
        <v>16</v>
      </c>
      <c r="S29" s="3404">
        <f t="shared" si="12"/>
        <v>100</v>
      </c>
      <c r="T29" s="4038" t="s">
        <v>16</v>
      </c>
      <c r="U29" s="3404">
        <f t="shared" si="13"/>
        <v>100</v>
      </c>
      <c r="V29" s="4038" t="s">
        <v>16</v>
      </c>
      <c r="W29" s="3404">
        <f t="shared" si="14"/>
        <v>100</v>
      </c>
      <c r="X29" s="962"/>
      <c r="Y29" s="4913"/>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98"/>
      <c r="Q30" s="1617">
        <f t="shared" si="11"/>
        <v>111</v>
      </c>
      <c r="R30" s="4038" t="s">
        <v>16</v>
      </c>
      <c r="S30" s="3404">
        <f t="shared" si="12"/>
        <v>100</v>
      </c>
      <c r="T30" s="4038" t="s">
        <v>16</v>
      </c>
      <c r="U30" s="3404">
        <f t="shared" si="13"/>
        <v>100</v>
      </c>
      <c r="V30" s="4038" t="s">
        <v>16</v>
      </c>
      <c r="W30" s="3404">
        <f t="shared" si="14"/>
        <v>100</v>
      </c>
      <c r="X30" s="962"/>
      <c r="Y30" s="4913"/>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98"/>
      <c r="Q31" s="1617">
        <f t="shared" si="11"/>
        <v>111</v>
      </c>
      <c r="R31" s="4038" t="s">
        <v>16</v>
      </c>
      <c r="S31" s="3404">
        <f t="shared" si="12"/>
        <v>100</v>
      </c>
      <c r="T31" s="4038" t="s">
        <v>16</v>
      </c>
      <c r="U31" s="3404">
        <f t="shared" si="13"/>
        <v>100</v>
      </c>
      <c r="V31" s="4038" t="s">
        <v>16</v>
      </c>
      <c r="W31" s="3404">
        <f t="shared" si="14"/>
        <v>100</v>
      </c>
      <c r="X31" s="962"/>
      <c r="Y31" s="4913"/>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93" t="s">
        <v>1603</v>
      </c>
      <c r="Q32" s="1617" t="str">
        <f t="shared" si="11"/>
        <v>建筑类型</v>
      </c>
      <c r="R32" s="4038" t="s">
        <v>16</v>
      </c>
      <c r="S32" s="3404">
        <f t="shared" si="12"/>
        <v>100</v>
      </c>
      <c r="T32" s="4038" t="s">
        <v>16</v>
      </c>
      <c r="U32" s="3404">
        <f t="shared" si="13"/>
        <v>100</v>
      </c>
      <c r="V32" s="4038" t="s">
        <v>16</v>
      </c>
      <c r="W32" s="3404">
        <f t="shared" si="14"/>
        <v>100</v>
      </c>
      <c r="X32" s="962"/>
      <c r="Y32" s="4915"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94"/>
      <c r="Q33" s="3105" t="str">
        <f t="shared" si="11"/>
        <v>项目建筑规模</v>
      </c>
      <c r="R33" s="4039" t="s">
        <v>16</v>
      </c>
      <c r="S33" s="3405" t="e">
        <f t="shared" si="12"/>
        <v>#N/A</v>
      </c>
      <c r="T33" s="4039" t="s">
        <v>16</v>
      </c>
      <c r="U33" s="3405" t="e">
        <f t="shared" si="13"/>
        <v>#N/A</v>
      </c>
      <c r="V33" s="4039" t="s">
        <v>16</v>
      </c>
      <c r="W33" s="3405" t="e">
        <f t="shared" si="14"/>
        <v>#N/A</v>
      </c>
      <c r="X33" s="506"/>
      <c r="Y33" s="4915"/>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94"/>
      <c r="Q34" s="1617" t="str">
        <f t="shared" si="11"/>
        <v>建筑结构</v>
      </c>
      <c r="R34" s="4038" t="s">
        <v>16</v>
      </c>
      <c r="S34" s="3404">
        <f t="shared" si="12"/>
        <v>100</v>
      </c>
      <c r="T34" s="4038" t="s">
        <v>16</v>
      </c>
      <c r="U34" s="3404">
        <f t="shared" si="13"/>
        <v>100</v>
      </c>
      <c r="V34" s="4038" t="s">
        <v>16</v>
      </c>
      <c r="W34" s="3404">
        <f t="shared" si="14"/>
        <v>100</v>
      </c>
      <c r="X34" s="962"/>
      <c r="Y34" s="4915"/>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94"/>
      <c r="Q35" s="1617" t="str">
        <f t="shared" si="11"/>
        <v>建筑品质</v>
      </c>
      <c r="R35" s="4038" t="s">
        <v>16</v>
      </c>
      <c r="S35" s="3404">
        <f t="shared" si="12"/>
        <v>100</v>
      </c>
      <c r="T35" s="4038" t="s">
        <v>16</v>
      </c>
      <c r="U35" s="3404">
        <f t="shared" si="13"/>
        <v>100</v>
      </c>
      <c r="V35" s="4038" t="s">
        <v>16</v>
      </c>
      <c r="W35" s="3404">
        <f t="shared" si="14"/>
        <v>100</v>
      </c>
      <c r="X35" s="962"/>
      <c r="Y35" s="4915"/>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94"/>
      <c r="Q36" s="1617" t="str">
        <f t="shared" si="11"/>
        <v>公共部分装修</v>
      </c>
      <c r="R36" s="4038" t="s">
        <v>16</v>
      </c>
      <c r="S36" s="3404">
        <f t="shared" si="12"/>
        <v>100</v>
      </c>
      <c r="T36" s="4038" t="s">
        <v>16</v>
      </c>
      <c r="U36" s="3404">
        <f t="shared" si="13"/>
        <v>100</v>
      </c>
      <c r="V36" s="4038" t="s">
        <v>16</v>
      </c>
      <c r="W36" s="3404">
        <f t="shared" si="14"/>
        <v>100</v>
      </c>
      <c r="X36" s="962"/>
      <c r="Y36" s="4915"/>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94"/>
      <c r="Q37" s="3025" t="str">
        <f t="shared" si="11"/>
        <v>成新度</v>
      </c>
      <c r="R37" s="3917" t="s">
        <v>16</v>
      </c>
      <c r="S37" s="3403" t="e">
        <f t="shared" si="12"/>
        <v>#N/A</v>
      </c>
      <c r="T37" s="3917" t="s">
        <v>16</v>
      </c>
      <c r="U37" s="3403" t="e">
        <f t="shared" si="13"/>
        <v>#N/A</v>
      </c>
      <c r="V37" s="3917" t="s">
        <v>16</v>
      </c>
      <c r="W37" s="3403" t="e">
        <f t="shared" si="14"/>
        <v>#N/A</v>
      </c>
      <c r="X37" s="503"/>
      <c r="Y37" s="4915"/>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94" t="s">
        <v>1603</v>
      </c>
      <c r="Q38" s="1617" t="str">
        <f t="shared" si="11"/>
        <v>物业管理</v>
      </c>
      <c r="R38" s="4038" t="s">
        <v>16</v>
      </c>
      <c r="S38" s="3404">
        <f t="shared" si="12"/>
        <v>100</v>
      </c>
      <c r="T38" s="4038" t="s">
        <v>16</v>
      </c>
      <c r="U38" s="3404">
        <f t="shared" si="13"/>
        <v>100</v>
      </c>
      <c r="V38" s="4038" t="s">
        <v>16</v>
      </c>
      <c r="W38" s="3404">
        <f t="shared" si="14"/>
        <v>100</v>
      </c>
      <c r="X38" s="962"/>
      <c r="Y38" s="4915"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94"/>
      <c r="Q39" s="1617" t="str">
        <f t="shared" si="11"/>
        <v>市政基础设施</v>
      </c>
      <c r="R39" s="4038" t="s">
        <v>16</v>
      </c>
      <c r="S39" s="3404">
        <f t="shared" si="12"/>
        <v>100</v>
      </c>
      <c r="T39" s="4038" t="s">
        <v>16</v>
      </c>
      <c r="U39" s="3404">
        <f t="shared" si="13"/>
        <v>100</v>
      </c>
      <c r="V39" s="4038" t="s">
        <v>16</v>
      </c>
      <c r="W39" s="3404">
        <f t="shared" si="14"/>
        <v>100</v>
      </c>
      <c r="X39" s="962"/>
      <c r="Y39" s="4915"/>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94"/>
      <c r="Q40" s="1617" t="str">
        <f t="shared" si="11"/>
        <v>房型</v>
      </c>
      <c r="R40" s="4038" t="s">
        <v>16</v>
      </c>
      <c r="S40" s="3404">
        <f t="shared" si="12"/>
        <v>100</v>
      </c>
      <c r="T40" s="4038" t="s">
        <v>16</v>
      </c>
      <c r="U40" s="3404">
        <f t="shared" si="13"/>
        <v>100</v>
      </c>
      <c r="V40" s="4038" t="s">
        <v>16</v>
      </c>
      <c r="W40" s="3404">
        <f t="shared" si="14"/>
        <v>100</v>
      </c>
      <c r="X40" s="962"/>
      <c r="Y40" s="4915"/>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94"/>
      <c r="Q41" s="3105" t="str">
        <f t="shared" si="11"/>
        <v>单套/主力户型建筑面积</v>
      </c>
      <c r="R41" s="4039" t="s">
        <v>16</v>
      </c>
      <c r="S41" s="3405">
        <f t="shared" si="12"/>
        <v>100</v>
      </c>
      <c r="T41" s="4039" t="s">
        <v>16</v>
      </c>
      <c r="U41" s="3405">
        <f t="shared" si="13"/>
        <v>100</v>
      </c>
      <c r="V41" s="4039" t="s">
        <v>16</v>
      </c>
      <c r="W41" s="3405">
        <f t="shared" si="14"/>
        <v>100</v>
      </c>
      <c r="X41" s="506"/>
      <c r="Y41" s="4915"/>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94"/>
      <c r="Q42" s="1617" t="str">
        <f t="shared" si="11"/>
        <v>内部装修</v>
      </c>
      <c r="R42" s="4038" t="s">
        <v>16</v>
      </c>
      <c r="S42" s="3404">
        <f t="shared" si="12"/>
        <v>100</v>
      </c>
      <c r="T42" s="4038" t="s">
        <v>16</v>
      </c>
      <c r="U42" s="3404">
        <f t="shared" si="13"/>
        <v>100</v>
      </c>
      <c r="V42" s="4038" t="s">
        <v>16</v>
      </c>
      <c r="W42" s="3404">
        <f t="shared" si="14"/>
        <v>100</v>
      </c>
      <c r="X42" s="962"/>
      <c r="Y42" s="4915"/>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94"/>
      <c r="Q43" s="1617" t="str">
        <f t="shared" si="11"/>
        <v>内部装修维护情况</v>
      </c>
      <c r="R43" s="4038" t="s">
        <v>16</v>
      </c>
      <c r="S43" s="3404">
        <f t="shared" si="12"/>
        <v>100</v>
      </c>
      <c r="T43" s="4038" t="s">
        <v>16</v>
      </c>
      <c r="U43" s="3404">
        <f t="shared" si="13"/>
        <v>100</v>
      </c>
      <c r="V43" s="4038" t="s">
        <v>16</v>
      </c>
      <c r="W43" s="3404">
        <f t="shared" si="14"/>
        <v>100</v>
      </c>
      <c r="X43" s="962"/>
      <c r="Y43" s="4915"/>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94"/>
      <c r="Q44" s="3025">
        <f t="shared" si="11"/>
        <v>111</v>
      </c>
      <c r="R44" s="3917" t="s">
        <v>16</v>
      </c>
      <c r="S44" s="3403">
        <f t="shared" si="12"/>
        <v>100</v>
      </c>
      <c r="T44" s="3917" t="s">
        <v>16</v>
      </c>
      <c r="U44" s="3403">
        <f t="shared" si="13"/>
        <v>100</v>
      </c>
      <c r="V44" s="3917" t="s">
        <v>16</v>
      </c>
      <c r="W44" s="3403">
        <f t="shared" si="14"/>
        <v>100</v>
      </c>
      <c r="X44" s="503"/>
      <c r="Y44" s="4915"/>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94"/>
      <c r="Q45" s="1617">
        <f t="shared" si="11"/>
        <v>111</v>
      </c>
      <c r="R45" s="4038" t="s">
        <v>16</v>
      </c>
      <c r="S45" s="3404">
        <f t="shared" si="12"/>
        <v>100</v>
      </c>
      <c r="T45" s="4038" t="s">
        <v>16</v>
      </c>
      <c r="U45" s="3404">
        <f t="shared" si="13"/>
        <v>100</v>
      </c>
      <c r="V45" s="4038" t="s">
        <v>16</v>
      </c>
      <c r="W45" s="3404">
        <f t="shared" si="14"/>
        <v>100</v>
      </c>
      <c r="X45" s="962"/>
      <c r="Y45" s="4915"/>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95"/>
      <c r="Q46" s="1617">
        <f t="shared" si="11"/>
        <v>111</v>
      </c>
      <c r="R46" s="4038" t="s">
        <v>15</v>
      </c>
      <c r="S46" s="3404">
        <f t="shared" si="12"/>
        <v>100</v>
      </c>
      <c r="T46" s="4038" t="s">
        <v>15</v>
      </c>
      <c r="U46" s="3404">
        <f t="shared" si="13"/>
        <v>100</v>
      </c>
      <c r="V46" s="4038" t="s">
        <v>15</v>
      </c>
      <c r="W46" s="3404">
        <f t="shared" si="14"/>
        <v>100</v>
      </c>
      <c r="X46" s="962"/>
      <c r="Y46" s="4996"/>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2" t="s">
        <v>1677</v>
      </c>
      <c r="D4" s="4973"/>
      <c r="E4" s="4974" t="s">
        <v>1678</v>
      </c>
      <c r="F4" s="4975"/>
      <c r="G4" s="4972" t="s">
        <v>1679</v>
      </c>
      <c r="H4" s="4973"/>
      <c r="I4" s="4972" t="s">
        <v>1680</v>
      </c>
      <c r="J4" s="4973"/>
      <c r="K4" s="3104" t="s">
        <v>1681</v>
      </c>
      <c r="L4" s="2145"/>
      <c r="M4" s="2146"/>
      <c r="N4" s="2146"/>
      <c r="O4" s="2146"/>
      <c r="P4" s="4976" t="s">
        <v>1682</v>
      </c>
      <c r="Q4" s="4977"/>
      <c r="R4" s="4959" t="s">
        <v>1678</v>
      </c>
      <c r="S4" s="4960"/>
      <c r="T4" s="4959" t="s">
        <v>1679</v>
      </c>
      <c r="U4" s="4960"/>
      <c r="V4" s="4984" t="s">
        <v>1680</v>
      </c>
      <c r="W4" s="4984"/>
      <c r="X4" s="962"/>
      <c r="Y4" s="4883" t="s">
        <v>1682</v>
      </c>
      <c r="Z4" s="4884"/>
      <c r="AA4" s="4878" t="s">
        <v>1678</v>
      </c>
      <c r="AB4" s="4910" t="s">
        <v>1679</v>
      </c>
      <c r="AC4" s="4878" t="s">
        <v>1680</v>
      </c>
    </row>
    <row r="5" spans="1:29">
      <c r="A5" s="244"/>
      <c r="B5" s="245"/>
      <c r="C5" s="4965" t="s">
        <v>1580</v>
      </c>
      <c r="D5" s="4966"/>
      <c r="E5" s="4963" t="s">
        <v>1581</v>
      </c>
      <c r="F5" s="4964"/>
      <c r="G5" s="4965" t="s">
        <v>1582</v>
      </c>
      <c r="H5" s="4966"/>
      <c r="I5" s="4965" t="s">
        <v>1583</v>
      </c>
      <c r="J5" s="4966"/>
      <c r="K5" s="3104"/>
      <c r="L5" s="2145"/>
      <c r="M5" s="2146"/>
      <c r="N5" s="2146"/>
      <c r="O5" s="2146"/>
      <c r="P5" s="4978"/>
      <c r="Q5" s="4979"/>
      <c r="R5" s="4961"/>
      <c r="S5" s="4962"/>
      <c r="T5" s="4961"/>
      <c r="U5" s="4962"/>
      <c r="V5" s="4984"/>
      <c r="W5" s="4984"/>
      <c r="X5" s="962"/>
      <c r="Y5" s="4885"/>
      <c r="Z5" s="4886"/>
      <c r="AA5" s="4879"/>
      <c r="AB5" s="4910"/>
      <c r="AC5" s="4879"/>
    </row>
    <row r="6" spans="1:29" ht="15" thickBot="1">
      <c r="A6" s="246"/>
      <c r="B6" s="247"/>
      <c r="C6" s="4967" t="s">
        <v>1584</v>
      </c>
      <c r="D6" s="4968"/>
      <c r="E6" s="4969" t="s">
        <v>1584</v>
      </c>
      <c r="F6" s="4970"/>
      <c r="G6" s="4967" t="s">
        <v>1584</v>
      </c>
      <c r="H6" s="4968"/>
      <c r="I6" s="4967" t="s">
        <v>1584</v>
      </c>
      <c r="J6" s="4968"/>
      <c r="K6" s="3104" t="s">
        <v>1585</v>
      </c>
      <c r="L6" s="2145"/>
      <c r="M6" s="2146"/>
      <c r="N6" s="2146"/>
      <c r="O6" s="2146"/>
      <c r="P6" s="4980"/>
      <c r="Q6" s="4981"/>
      <c r="R6" s="4961"/>
      <c r="S6" s="4962"/>
      <c r="T6" s="4982"/>
      <c r="U6" s="4983"/>
      <c r="V6" s="4984"/>
      <c r="W6" s="4984"/>
      <c r="X6" s="962"/>
      <c r="Y6" s="4908"/>
      <c r="Z6" s="4909"/>
      <c r="AA6" s="4880"/>
      <c r="AB6" s="4910"/>
      <c r="AC6" s="4880"/>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85"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85" t="s">
        <v>1590</v>
      </c>
      <c r="Q8" s="4986"/>
      <c r="R8" s="3917" t="s">
        <v>13</v>
      </c>
      <c r="S8" s="3403">
        <f t="shared" si="0"/>
        <v>100</v>
      </c>
      <c r="T8" s="3917" t="s">
        <v>13</v>
      </c>
      <c r="U8" s="3403">
        <f t="shared" si="1"/>
        <v>100</v>
      </c>
      <c r="V8" s="3917" t="s">
        <v>13</v>
      </c>
      <c r="W8" s="3403">
        <f t="shared" si="2"/>
        <v>100</v>
      </c>
      <c r="X8" s="503"/>
      <c r="Y8" s="4881" t="s">
        <v>1590</v>
      </c>
      <c r="Z8" s="4882"/>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1"/>
      <c r="Q11" s="3025"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1"/>
      <c r="Q12" s="3025">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1"/>
      <c r="Q13" s="3025">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1"/>
      <c r="Q14" s="3025">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97" t="s">
        <v>1598</v>
      </c>
      <c r="Q15" s="1617" t="str">
        <f t="shared" si="6"/>
        <v>商业繁华度</v>
      </c>
      <c r="R15" s="4038" t="s">
        <v>13</v>
      </c>
      <c r="S15" s="3404">
        <f t="shared" si="0"/>
        <v>100</v>
      </c>
      <c r="T15" s="4038" t="s">
        <v>13</v>
      </c>
      <c r="U15" s="3404">
        <f t="shared" si="1"/>
        <v>100</v>
      </c>
      <c r="V15" s="4038" t="s">
        <v>13</v>
      </c>
      <c r="W15" s="3404">
        <f t="shared" si="2"/>
        <v>100</v>
      </c>
      <c r="X15" s="962"/>
      <c r="Y15" s="4912"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98"/>
      <c r="Q17" s="1617"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98"/>
      <c r="Q19" s="1617"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98"/>
      <c r="Q23" s="1617" t="str">
        <f>B23</f>
        <v>自然及人文环境</v>
      </c>
      <c r="R23" s="4038" t="s">
        <v>13</v>
      </c>
      <c r="S23" s="3404">
        <f>F23</f>
        <v>100</v>
      </c>
      <c r="T23" s="4038" t="s">
        <v>13</v>
      </c>
      <c r="U23" s="3404">
        <f>H23</f>
        <v>100</v>
      </c>
      <c r="V23" s="4038" t="s">
        <v>13</v>
      </c>
      <c r="W23" s="3404">
        <f>J23</f>
        <v>100</v>
      </c>
      <c r="X23" s="962"/>
      <c r="Y23" s="4913"/>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98"/>
      <c r="Q25" s="1617" t="str">
        <f t="shared" ref="Q25:Q46" si="11">B25</f>
        <v>临街状况</v>
      </c>
      <c r="R25" s="4038" t="s">
        <v>13</v>
      </c>
      <c r="S25" s="3404">
        <f>F25</f>
        <v>100</v>
      </c>
      <c r="T25" s="4038" t="s">
        <v>13</v>
      </c>
      <c r="U25" s="3404">
        <f>H25</f>
        <v>100</v>
      </c>
      <c r="V25" s="4038" t="s">
        <v>13</v>
      </c>
      <c r="W25" s="3404">
        <f>J25</f>
        <v>100</v>
      </c>
      <c r="X25" s="962"/>
      <c r="Y25" s="4913"/>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98"/>
      <c r="Q26" s="1617" t="str">
        <f t="shared" si="11"/>
        <v>平面位置/可视性</v>
      </c>
      <c r="R26" s="4038" t="s">
        <v>13</v>
      </c>
      <c r="S26" s="3404">
        <f>F26</f>
        <v>100</v>
      </c>
      <c r="T26" s="4038" t="s">
        <v>13</v>
      </c>
      <c r="U26" s="3404">
        <f>H26</f>
        <v>100</v>
      </c>
      <c r="V26" s="4038" t="s">
        <v>13</v>
      </c>
      <c r="W26" s="3404">
        <f>J26</f>
        <v>100</v>
      </c>
      <c r="X26" s="962"/>
      <c r="Y26" s="4913"/>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98"/>
      <c r="Q27" s="3025" t="str">
        <f t="shared" si="11"/>
        <v>人流量</v>
      </c>
      <c r="R27" s="3917" t="s">
        <v>13</v>
      </c>
      <c r="S27" s="3403">
        <f>F27</f>
        <v>100</v>
      </c>
      <c r="T27" s="3917" t="s">
        <v>13</v>
      </c>
      <c r="U27" s="3403">
        <f>H27</f>
        <v>100</v>
      </c>
      <c r="V27" s="3917" t="s">
        <v>13</v>
      </c>
      <c r="W27" s="3403">
        <f>J27</f>
        <v>100</v>
      </c>
      <c r="X27" s="503"/>
      <c r="Y27" s="4913"/>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98"/>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913"/>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98"/>
      <c r="Q29" s="1617">
        <f t="shared" si="11"/>
        <v>111</v>
      </c>
      <c r="R29" s="4038" t="s">
        <v>13</v>
      </c>
      <c r="S29" s="3404">
        <f t="shared" si="12"/>
        <v>100</v>
      </c>
      <c r="T29" s="4038" t="s">
        <v>13</v>
      </c>
      <c r="U29" s="3404">
        <f t="shared" si="13"/>
        <v>100</v>
      </c>
      <c r="V29" s="4038" t="s">
        <v>13</v>
      </c>
      <c r="W29" s="3404">
        <f t="shared" si="14"/>
        <v>100</v>
      </c>
      <c r="X29" s="962"/>
      <c r="Y29" s="4913"/>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98"/>
      <c r="Q30" s="1617">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98"/>
      <c r="Q31" s="1617">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93" t="s">
        <v>1603</v>
      </c>
      <c r="Q32" s="1617" t="str">
        <f t="shared" si="11"/>
        <v>商业类型</v>
      </c>
      <c r="R32" s="4038" t="s">
        <v>13</v>
      </c>
      <c r="S32" s="3404">
        <f t="shared" si="12"/>
        <v>100</v>
      </c>
      <c r="T32" s="4038" t="s">
        <v>13</v>
      </c>
      <c r="U32" s="3404">
        <f t="shared" si="13"/>
        <v>100</v>
      </c>
      <c r="V32" s="4038" t="s">
        <v>13</v>
      </c>
      <c r="W32" s="3404">
        <f t="shared" si="14"/>
        <v>100</v>
      </c>
      <c r="X32" s="962"/>
      <c r="Y32" s="4915"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94"/>
      <c r="Q33" s="3105" t="str">
        <f t="shared" si="11"/>
        <v>项目建筑规模</v>
      </c>
      <c r="R33" s="4039" t="s">
        <v>13</v>
      </c>
      <c r="S33" s="3405" t="e">
        <f t="shared" si="12"/>
        <v>#N/A</v>
      </c>
      <c r="T33" s="4039" t="s">
        <v>13</v>
      </c>
      <c r="U33" s="3405" t="e">
        <f t="shared" si="13"/>
        <v>#N/A</v>
      </c>
      <c r="V33" s="4039" t="s">
        <v>13</v>
      </c>
      <c r="W33" s="3405" t="e">
        <f t="shared" si="14"/>
        <v>#N/A</v>
      </c>
      <c r="X33" s="506"/>
      <c r="Y33" s="4915"/>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94"/>
      <c r="Q34" s="1617" t="str">
        <f t="shared" si="11"/>
        <v>建筑结构</v>
      </c>
      <c r="R34" s="4038" t="s">
        <v>13</v>
      </c>
      <c r="S34" s="3404">
        <f t="shared" si="12"/>
        <v>100</v>
      </c>
      <c r="T34" s="4038" t="s">
        <v>13</v>
      </c>
      <c r="U34" s="3404">
        <f t="shared" si="13"/>
        <v>100</v>
      </c>
      <c r="V34" s="4038" t="s">
        <v>13</v>
      </c>
      <c r="W34" s="3404">
        <f t="shared" si="14"/>
        <v>100</v>
      </c>
      <c r="X34" s="962"/>
      <c r="Y34" s="4915"/>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94"/>
      <c r="Q35" s="1617" t="str">
        <f t="shared" si="11"/>
        <v>公共部分装修</v>
      </c>
      <c r="R35" s="4038" t="s">
        <v>13</v>
      </c>
      <c r="S35" s="3404">
        <f t="shared" si="12"/>
        <v>100</v>
      </c>
      <c r="T35" s="4038" t="s">
        <v>13</v>
      </c>
      <c r="U35" s="3404">
        <f t="shared" si="13"/>
        <v>100</v>
      </c>
      <c r="V35" s="4038" t="s">
        <v>13</v>
      </c>
      <c r="W35" s="3404">
        <f t="shared" si="14"/>
        <v>100</v>
      </c>
      <c r="X35" s="962"/>
      <c r="Y35" s="4915"/>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94"/>
      <c r="Q36" s="1617" t="str">
        <f t="shared" si="11"/>
        <v>成新度</v>
      </c>
      <c r="R36" s="4038" t="s">
        <v>13</v>
      </c>
      <c r="S36" s="3404" t="e">
        <f t="shared" si="12"/>
        <v>#N/A</v>
      </c>
      <c r="T36" s="4038" t="s">
        <v>13</v>
      </c>
      <c r="U36" s="3404" t="e">
        <f t="shared" si="13"/>
        <v>#N/A</v>
      </c>
      <c r="V36" s="4038" t="s">
        <v>13</v>
      </c>
      <c r="W36" s="3404" t="e">
        <f t="shared" si="14"/>
        <v>#N/A</v>
      </c>
      <c r="X36" s="962"/>
      <c r="Y36" s="4915"/>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94"/>
      <c r="Q37" s="3025" t="str">
        <f t="shared" si="11"/>
        <v>市政基础设施</v>
      </c>
      <c r="R37" s="3917" t="s">
        <v>13</v>
      </c>
      <c r="S37" s="3403">
        <f t="shared" si="12"/>
        <v>100</v>
      </c>
      <c r="T37" s="3917" t="s">
        <v>13</v>
      </c>
      <c r="U37" s="3403">
        <f t="shared" si="13"/>
        <v>100</v>
      </c>
      <c r="V37" s="3917" t="s">
        <v>13</v>
      </c>
      <c r="W37" s="3403">
        <f t="shared" si="14"/>
        <v>100</v>
      </c>
      <c r="X37" s="503"/>
      <c r="Y37" s="4915"/>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94" t="s">
        <v>1603</v>
      </c>
      <c r="Q38" s="1617" t="str">
        <f t="shared" si="11"/>
        <v>业态</v>
      </c>
      <c r="R38" s="4038" t="s">
        <v>13</v>
      </c>
      <c r="S38" s="3404">
        <f t="shared" si="12"/>
        <v>100</v>
      </c>
      <c r="T38" s="4038" t="s">
        <v>13</v>
      </c>
      <c r="U38" s="3404">
        <f t="shared" si="13"/>
        <v>100</v>
      </c>
      <c r="V38" s="4038" t="s">
        <v>13</v>
      </c>
      <c r="W38" s="3404">
        <f t="shared" si="14"/>
        <v>100</v>
      </c>
      <c r="X38" s="962"/>
      <c r="Y38" s="4915"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94"/>
      <c r="Q39" s="1617" t="str">
        <f t="shared" si="11"/>
        <v>层高</v>
      </c>
      <c r="R39" s="4038" t="s">
        <v>13</v>
      </c>
      <c r="S39" s="3404">
        <f t="shared" si="12"/>
        <v>100</v>
      </c>
      <c r="T39" s="4038" t="s">
        <v>13</v>
      </c>
      <c r="U39" s="3404">
        <f t="shared" si="13"/>
        <v>100</v>
      </c>
      <c r="V39" s="4038" t="s">
        <v>13</v>
      </c>
      <c r="W39" s="3404">
        <f t="shared" si="14"/>
        <v>100</v>
      </c>
      <c r="X39" s="962"/>
      <c r="Y39" s="4915"/>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94"/>
      <c r="Q40" s="1617" t="str">
        <f t="shared" si="11"/>
        <v>单套建筑面积</v>
      </c>
      <c r="R40" s="4038" t="s">
        <v>13</v>
      </c>
      <c r="S40" s="3404">
        <f t="shared" si="12"/>
        <v>100</v>
      </c>
      <c r="T40" s="4038" t="s">
        <v>13</v>
      </c>
      <c r="U40" s="3404">
        <f t="shared" si="13"/>
        <v>100</v>
      </c>
      <c r="V40" s="4038" t="s">
        <v>13</v>
      </c>
      <c r="W40" s="3404">
        <f t="shared" si="14"/>
        <v>100</v>
      </c>
      <c r="X40" s="962"/>
      <c r="Y40" s="4915"/>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94"/>
      <c r="Q41" s="3105" t="str">
        <f t="shared" si="11"/>
        <v>进深比</v>
      </c>
      <c r="R41" s="4039" t="s">
        <v>13</v>
      </c>
      <c r="S41" s="3405">
        <f t="shared" si="12"/>
        <v>100</v>
      </c>
      <c r="T41" s="4039" t="s">
        <v>13</v>
      </c>
      <c r="U41" s="3405">
        <f t="shared" si="13"/>
        <v>100</v>
      </c>
      <c r="V41" s="4039" t="s">
        <v>13</v>
      </c>
      <c r="W41" s="3405">
        <f t="shared" si="14"/>
        <v>100</v>
      </c>
      <c r="X41" s="506"/>
      <c r="Y41" s="4915"/>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94"/>
      <c r="Q42" s="1617" t="str">
        <f t="shared" si="11"/>
        <v>内部装修</v>
      </c>
      <c r="R42" s="4038" t="s">
        <v>13</v>
      </c>
      <c r="S42" s="3404">
        <f t="shared" si="12"/>
        <v>100</v>
      </c>
      <c r="T42" s="4038" t="s">
        <v>13</v>
      </c>
      <c r="U42" s="3404">
        <f t="shared" si="13"/>
        <v>100</v>
      </c>
      <c r="V42" s="4038" t="s">
        <v>13</v>
      </c>
      <c r="W42" s="3404">
        <f t="shared" si="14"/>
        <v>100</v>
      </c>
      <c r="X42" s="962"/>
      <c r="Y42" s="4915"/>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94"/>
      <c r="Q43" s="1617" t="str">
        <f t="shared" si="11"/>
        <v>内部装修维护情况</v>
      </c>
      <c r="R43" s="4038" t="s">
        <v>13</v>
      </c>
      <c r="S43" s="3404">
        <f t="shared" si="12"/>
        <v>100</v>
      </c>
      <c r="T43" s="4038" t="s">
        <v>13</v>
      </c>
      <c r="U43" s="3404">
        <f t="shared" si="13"/>
        <v>100</v>
      </c>
      <c r="V43" s="4038" t="s">
        <v>13</v>
      </c>
      <c r="W43" s="3404">
        <f t="shared" si="14"/>
        <v>100</v>
      </c>
      <c r="X43" s="962"/>
      <c r="Y43" s="4915"/>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94"/>
      <c r="Q44" s="3025">
        <f t="shared" si="11"/>
        <v>111</v>
      </c>
      <c r="R44" s="3917" t="s">
        <v>13</v>
      </c>
      <c r="S44" s="3403">
        <f t="shared" si="12"/>
        <v>100</v>
      </c>
      <c r="T44" s="3917" t="s">
        <v>13</v>
      </c>
      <c r="U44" s="3403">
        <f t="shared" si="13"/>
        <v>100</v>
      </c>
      <c r="V44" s="3917" t="s">
        <v>13</v>
      </c>
      <c r="W44" s="3403">
        <f t="shared" si="14"/>
        <v>100</v>
      </c>
      <c r="X44" s="503"/>
      <c r="Y44" s="4915"/>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94"/>
      <c r="Q45" s="1617">
        <f t="shared" si="11"/>
        <v>111</v>
      </c>
      <c r="R45" s="4038" t="s">
        <v>13</v>
      </c>
      <c r="S45" s="3404">
        <f t="shared" si="12"/>
        <v>100</v>
      </c>
      <c r="T45" s="4038" t="s">
        <v>13</v>
      </c>
      <c r="U45" s="3404">
        <f t="shared" si="13"/>
        <v>100</v>
      </c>
      <c r="V45" s="4038" t="s">
        <v>13</v>
      </c>
      <c r="W45" s="3404">
        <f t="shared" si="14"/>
        <v>100</v>
      </c>
      <c r="X45" s="962"/>
      <c r="Y45" s="4915"/>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95"/>
      <c r="Q46" s="1617">
        <f t="shared" si="11"/>
        <v>111</v>
      </c>
      <c r="R46" s="4038" t="s">
        <v>13</v>
      </c>
      <c r="S46" s="3404">
        <f t="shared" si="12"/>
        <v>100</v>
      </c>
      <c r="T46" s="4038" t="s">
        <v>13</v>
      </c>
      <c r="U46" s="3404">
        <f t="shared" si="13"/>
        <v>100</v>
      </c>
      <c r="V46" s="4038" t="s">
        <v>13</v>
      </c>
      <c r="W46" s="3404">
        <f t="shared" si="14"/>
        <v>100</v>
      </c>
      <c r="X46" s="962"/>
      <c r="Y46" s="4996"/>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5008" t="s">
        <v>1682</v>
      </c>
      <c r="Q4" s="5009"/>
      <c r="R4" s="5000" t="s">
        <v>1678</v>
      </c>
      <c r="S4" s="5001"/>
      <c r="T4" s="5000" t="s">
        <v>1679</v>
      </c>
      <c r="U4" s="5001"/>
      <c r="V4" s="5012" t="s">
        <v>1680</v>
      </c>
      <c r="W4" s="5012"/>
      <c r="X4" s="1516"/>
      <c r="Y4" s="5014" t="s">
        <v>1682</v>
      </c>
      <c r="Z4" s="5015"/>
      <c r="AA4" s="4999" t="s">
        <v>1678</v>
      </c>
      <c r="AB4" s="4999" t="s">
        <v>1679</v>
      </c>
      <c r="AC4" s="5005" t="s">
        <v>1680</v>
      </c>
    </row>
    <row r="5" spans="1:29">
      <c r="A5" s="244"/>
      <c r="B5" s="245"/>
      <c r="C5" s="5003" t="s">
        <v>1580</v>
      </c>
      <c r="D5" s="4890"/>
      <c r="E5" s="5002" t="s">
        <v>1581</v>
      </c>
      <c r="F5" s="4888"/>
      <c r="G5" s="5003" t="s">
        <v>1582</v>
      </c>
      <c r="H5" s="4890"/>
      <c r="I5" s="5003" t="s">
        <v>1583</v>
      </c>
      <c r="J5" s="4890"/>
      <c r="K5" s="406"/>
      <c r="L5" s="2145"/>
      <c r="M5" s="2146"/>
      <c r="N5" s="2146"/>
      <c r="O5" s="2146"/>
      <c r="P5" s="5010"/>
      <c r="Q5" s="4979"/>
      <c r="R5" s="4961"/>
      <c r="S5" s="4962"/>
      <c r="T5" s="4961"/>
      <c r="U5" s="4962"/>
      <c r="V5" s="4984"/>
      <c r="W5" s="4984"/>
      <c r="X5" s="962"/>
      <c r="Y5" s="4885"/>
      <c r="Z5" s="4886"/>
      <c r="AA5" s="4879"/>
      <c r="AB5" s="4879"/>
      <c r="AC5" s="5006"/>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5011"/>
      <c r="Q6" s="4981"/>
      <c r="R6" s="4961"/>
      <c r="S6" s="4962"/>
      <c r="T6" s="4982"/>
      <c r="U6" s="4983"/>
      <c r="V6" s="4984"/>
      <c r="W6" s="4984"/>
      <c r="X6" s="962"/>
      <c r="Y6" s="4908"/>
      <c r="Z6" s="4909"/>
      <c r="AA6" s="4880"/>
      <c r="AB6" s="4880"/>
      <c r="AC6" s="5007"/>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3"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3" t="s">
        <v>1590</v>
      </c>
      <c r="Q8" s="4986"/>
      <c r="R8" s="3917" t="s">
        <v>13</v>
      </c>
      <c r="S8" s="3403">
        <f t="shared" si="0"/>
        <v>100</v>
      </c>
      <c r="T8" s="3917" t="s">
        <v>13</v>
      </c>
      <c r="U8" s="3403">
        <f t="shared" si="1"/>
        <v>100</v>
      </c>
      <c r="V8" s="3917" t="s">
        <v>13</v>
      </c>
      <c r="W8" s="3403">
        <f t="shared" si="2"/>
        <v>100</v>
      </c>
      <c r="X8" s="503"/>
      <c r="Y8" s="4881" t="s">
        <v>1590</v>
      </c>
      <c r="Z8" s="4882"/>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1" t="s">
        <v>1593</v>
      </c>
      <c r="Q9" s="3272"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1"/>
      <c r="Q10" s="3272"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1"/>
      <c r="Q11" s="3272"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1"/>
      <c r="Q12" s="3272">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1"/>
      <c r="Q13" s="3272">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1"/>
      <c r="Q14" s="3272">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97" t="s">
        <v>1598</v>
      </c>
      <c r="Q15" s="3275" t="str">
        <f t="shared" si="6"/>
        <v>办公集聚程度</v>
      </c>
      <c r="R15" s="4038" t="s">
        <v>13</v>
      </c>
      <c r="S15" s="3404">
        <f t="shared" si="0"/>
        <v>100</v>
      </c>
      <c r="T15" s="4038" t="s">
        <v>13</v>
      </c>
      <c r="U15" s="3404">
        <f t="shared" si="1"/>
        <v>100</v>
      </c>
      <c r="V15" s="4038" t="s">
        <v>13</v>
      </c>
      <c r="W15" s="3404">
        <f t="shared" si="2"/>
        <v>100</v>
      </c>
      <c r="X15" s="962"/>
      <c r="Y15" s="4912"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98"/>
      <c r="Q16" s="3275"/>
      <c r="R16" s="4038"/>
      <c r="S16" s="3404"/>
      <c r="T16" s="4038"/>
      <c r="U16" s="3404"/>
      <c r="V16" s="4038"/>
      <c r="W16" s="3404"/>
      <c r="X16" s="962"/>
      <c r="Y16" s="4913"/>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98"/>
      <c r="Q17" s="3275"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98"/>
      <c r="Q18" s="3275"/>
      <c r="R18" s="4038"/>
      <c r="S18" s="3404"/>
      <c r="T18" s="4038"/>
      <c r="U18" s="3404"/>
      <c r="V18" s="4038"/>
      <c r="W18" s="3404"/>
      <c r="X18" s="962"/>
      <c r="Y18" s="4913"/>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98"/>
      <c r="Q19" s="3275"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98"/>
      <c r="Q20" s="3275"/>
      <c r="R20" s="4038"/>
      <c r="S20" s="3404"/>
      <c r="T20" s="4038"/>
      <c r="U20" s="3404"/>
      <c r="V20" s="4038"/>
      <c r="W20" s="3404"/>
      <c r="X20" s="962"/>
      <c r="Y20" s="4913"/>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98"/>
      <c r="Q21" s="3275"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98"/>
      <c r="Q22" s="3275"/>
      <c r="R22" s="4038"/>
      <c r="S22" s="3404"/>
      <c r="T22" s="4038"/>
      <c r="U22" s="3404"/>
      <c r="V22" s="4038"/>
      <c r="W22" s="3404"/>
      <c r="X22" s="962"/>
      <c r="Y22" s="4913"/>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98"/>
      <c r="Q23" s="3275" t="str">
        <f>B23</f>
        <v>环境质量</v>
      </c>
      <c r="R23" s="4038" t="s">
        <v>13</v>
      </c>
      <c r="S23" s="3404">
        <f>F23</f>
        <v>100</v>
      </c>
      <c r="T23" s="4038" t="s">
        <v>13</v>
      </c>
      <c r="U23" s="3404">
        <f>H23</f>
        <v>100</v>
      </c>
      <c r="V23" s="4038" t="s">
        <v>13</v>
      </c>
      <c r="W23" s="3404">
        <f>J23</f>
        <v>100</v>
      </c>
      <c r="X23" s="962"/>
      <c r="Y23" s="4913"/>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98"/>
      <c r="Q24" s="3275"/>
      <c r="R24" s="4038"/>
      <c r="S24" s="3404"/>
      <c r="T24" s="4038"/>
      <c r="U24" s="3404"/>
      <c r="V24" s="4038"/>
      <c r="W24" s="3404"/>
      <c r="X24" s="962"/>
      <c r="Y24" s="4913"/>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98"/>
      <c r="Q25" s="3275" t="str">
        <f>B25</f>
        <v>毗邻道路的类型与等级</v>
      </c>
      <c r="R25" s="4038" t="s">
        <v>13</v>
      </c>
      <c r="S25" s="3404">
        <f>F25</f>
        <v>100</v>
      </c>
      <c r="T25" s="4038" t="s">
        <v>13</v>
      </c>
      <c r="U25" s="3404">
        <f>H25</f>
        <v>100</v>
      </c>
      <c r="V25" s="4038" t="s">
        <v>13</v>
      </c>
      <c r="W25" s="3404">
        <f>J25</f>
        <v>100</v>
      </c>
      <c r="X25" s="962"/>
      <c r="Y25" s="4913"/>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98"/>
      <c r="Q26" s="3275"/>
      <c r="R26" s="4038"/>
      <c r="S26" s="3404"/>
      <c r="T26" s="4038"/>
      <c r="U26" s="3404"/>
      <c r="V26" s="4038"/>
      <c r="W26" s="3404"/>
      <c r="X26" s="962"/>
      <c r="Y26" s="4913"/>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98"/>
      <c r="Q27" s="3275" t="str">
        <f t="shared" ref="Q27:Q47" si="11">B27</f>
        <v>楼层</v>
      </c>
      <c r="R27" s="4038" t="s">
        <v>13</v>
      </c>
      <c r="S27" s="3404">
        <f>F27</f>
        <v>100</v>
      </c>
      <c r="T27" s="4038" t="s">
        <v>13</v>
      </c>
      <c r="U27" s="3404">
        <f>H27</f>
        <v>100</v>
      </c>
      <c r="V27" s="4038" t="s">
        <v>13</v>
      </c>
      <c r="W27" s="3404">
        <f>J27</f>
        <v>100</v>
      </c>
      <c r="X27" s="962"/>
      <c r="Y27" s="4913"/>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98"/>
      <c r="Q28" s="3272" t="str">
        <f t="shared" si="11"/>
        <v>朝向</v>
      </c>
      <c r="R28" s="3917" t="s">
        <v>13</v>
      </c>
      <c r="S28" s="3403">
        <f>F28</f>
        <v>100</v>
      </c>
      <c r="T28" s="3917" t="s">
        <v>13</v>
      </c>
      <c r="U28" s="3403">
        <f>H28</f>
        <v>100</v>
      </c>
      <c r="V28" s="3917" t="s">
        <v>13</v>
      </c>
      <c r="W28" s="3403">
        <f>J28</f>
        <v>100</v>
      </c>
      <c r="X28" s="503"/>
      <c r="Y28" s="4913"/>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98"/>
      <c r="Q29" s="3275">
        <f t="shared" si="11"/>
        <v>111</v>
      </c>
      <c r="R29" s="4038" t="s">
        <v>13</v>
      </c>
      <c r="S29" s="3404">
        <f t="shared" ref="S29:S47" si="12">F29</f>
        <v>100</v>
      </c>
      <c r="T29" s="4038" t="s">
        <v>13</v>
      </c>
      <c r="U29" s="3404">
        <f t="shared" ref="U29:U47" si="13">H29</f>
        <v>100</v>
      </c>
      <c r="V29" s="4038" t="s">
        <v>13</v>
      </c>
      <c r="W29" s="3404">
        <f t="shared" ref="W29:W47" si="14">J29</f>
        <v>100</v>
      </c>
      <c r="X29" s="962"/>
      <c r="Y29" s="4913"/>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98"/>
      <c r="Q30" s="3275">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98"/>
      <c r="Q31" s="3275">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98"/>
      <c r="Q32" s="3275">
        <f t="shared" si="11"/>
        <v>111</v>
      </c>
      <c r="R32" s="4038" t="s">
        <v>13</v>
      </c>
      <c r="S32" s="3404">
        <f t="shared" si="12"/>
        <v>100</v>
      </c>
      <c r="T32" s="4038" t="s">
        <v>13</v>
      </c>
      <c r="U32" s="3404">
        <f t="shared" si="13"/>
        <v>100</v>
      </c>
      <c r="V32" s="4038" t="s">
        <v>13</v>
      </c>
      <c r="W32" s="3404">
        <f t="shared" si="14"/>
        <v>100</v>
      </c>
      <c r="X32" s="962"/>
      <c r="Y32" s="4913"/>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93" t="s">
        <v>1603</v>
      </c>
      <c r="Q33" s="3275" t="str">
        <f t="shared" si="11"/>
        <v>建筑类型</v>
      </c>
      <c r="R33" s="4038" t="s">
        <v>13</v>
      </c>
      <c r="S33" s="3404">
        <f t="shared" si="12"/>
        <v>100</v>
      </c>
      <c r="T33" s="4038" t="s">
        <v>13</v>
      </c>
      <c r="U33" s="3404">
        <f t="shared" si="13"/>
        <v>100</v>
      </c>
      <c r="V33" s="4038" t="s">
        <v>13</v>
      </c>
      <c r="W33" s="3404">
        <f t="shared" si="14"/>
        <v>100</v>
      </c>
      <c r="X33" s="962"/>
      <c r="Y33" s="4915"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94"/>
      <c r="Q34" s="3105" t="str">
        <f t="shared" si="11"/>
        <v>项目建筑规模</v>
      </c>
      <c r="R34" s="4039" t="s">
        <v>13</v>
      </c>
      <c r="S34" s="3405" t="e">
        <f t="shared" si="12"/>
        <v>#N/A</v>
      </c>
      <c r="T34" s="4039" t="s">
        <v>13</v>
      </c>
      <c r="U34" s="3405" t="e">
        <f t="shared" si="13"/>
        <v>#N/A</v>
      </c>
      <c r="V34" s="4039" t="s">
        <v>13</v>
      </c>
      <c r="W34" s="3405" t="e">
        <f t="shared" si="14"/>
        <v>#N/A</v>
      </c>
      <c r="X34" s="506"/>
      <c r="Y34" s="4915"/>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94"/>
      <c r="Q35" s="3275" t="str">
        <f t="shared" si="11"/>
        <v>建筑结构</v>
      </c>
      <c r="R35" s="4038" t="s">
        <v>13</v>
      </c>
      <c r="S35" s="3404">
        <f t="shared" si="12"/>
        <v>100</v>
      </c>
      <c r="T35" s="4038" t="s">
        <v>13</v>
      </c>
      <c r="U35" s="3404">
        <f t="shared" si="13"/>
        <v>100</v>
      </c>
      <c r="V35" s="4038" t="s">
        <v>13</v>
      </c>
      <c r="W35" s="3404">
        <f t="shared" si="14"/>
        <v>100</v>
      </c>
      <c r="X35" s="962"/>
      <c r="Y35" s="4915"/>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94"/>
      <c r="Q36" s="3275" t="str">
        <f t="shared" si="11"/>
        <v>公共部分装修</v>
      </c>
      <c r="R36" s="4038" t="s">
        <v>13</v>
      </c>
      <c r="S36" s="3404">
        <f t="shared" si="12"/>
        <v>100</v>
      </c>
      <c r="T36" s="4038" t="s">
        <v>13</v>
      </c>
      <c r="U36" s="3404">
        <f t="shared" si="13"/>
        <v>100</v>
      </c>
      <c r="V36" s="4038" t="s">
        <v>13</v>
      </c>
      <c r="W36" s="3404">
        <f t="shared" si="14"/>
        <v>100</v>
      </c>
      <c r="X36" s="962"/>
      <c r="Y36" s="4915"/>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94"/>
      <c r="Q37" s="3275" t="str">
        <f t="shared" si="11"/>
        <v>成新度</v>
      </c>
      <c r="R37" s="4038" t="s">
        <v>13</v>
      </c>
      <c r="S37" s="3404" t="e">
        <f t="shared" si="12"/>
        <v>#N/A</v>
      </c>
      <c r="T37" s="4038" t="s">
        <v>13</v>
      </c>
      <c r="U37" s="3404" t="e">
        <f t="shared" si="13"/>
        <v>#N/A</v>
      </c>
      <c r="V37" s="4038" t="s">
        <v>13</v>
      </c>
      <c r="W37" s="3404" t="e">
        <f t="shared" si="14"/>
        <v>#N/A</v>
      </c>
      <c r="X37" s="962"/>
      <c r="Y37" s="4915"/>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94"/>
      <c r="Q38" s="3272" t="str">
        <f t="shared" si="11"/>
        <v>写字楼等级</v>
      </c>
      <c r="R38" s="3917" t="s">
        <v>13</v>
      </c>
      <c r="S38" s="3403">
        <f t="shared" si="12"/>
        <v>100</v>
      </c>
      <c r="T38" s="3917" t="s">
        <v>13</v>
      </c>
      <c r="U38" s="3403">
        <f t="shared" si="13"/>
        <v>100</v>
      </c>
      <c r="V38" s="3917" t="s">
        <v>13</v>
      </c>
      <c r="W38" s="3403">
        <f t="shared" si="14"/>
        <v>100</v>
      </c>
      <c r="X38" s="503"/>
      <c r="Y38" s="4915"/>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94" t="s">
        <v>1603</v>
      </c>
      <c r="Q39" s="3275" t="str">
        <f t="shared" si="11"/>
        <v>物业管理</v>
      </c>
      <c r="R39" s="4038" t="s">
        <v>13</v>
      </c>
      <c r="S39" s="3404">
        <f t="shared" si="12"/>
        <v>100</v>
      </c>
      <c r="T39" s="4038" t="s">
        <v>13</v>
      </c>
      <c r="U39" s="3404">
        <f t="shared" si="13"/>
        <v>100</v>
      </c>
      <c r="V39" s="4038" t="s">
        <v>13</v>
      </c>
      <c r="W39" s="3404">
        <f t="shared" si="14"/>
        <v>100</v>
      </c>
      <c r="X39" s="962"/>
      <c r="Y39" s="4915"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94"/>
      <c r="Q40" s="3275" t="str">
        <f t="shared" si="11"/>
        <v>市政基础设施</v>
      </c>
      <c r="R40" s="4038" t="s">
        <v>13</v>
      </c>
      <c r="S40" s="3404">
        <f t="shared" si="12"/>
        <v>100</v>
      </c>
      <c r="T40" s="4038" t="s">
        <v>13</v>
      </c>
      <c r="U40" s="3404">
        <f t="shared" si="13"/>
        <v>100</v>
      </c>
      <c r="V40" s="4038" t="s">
        <v>13</v>
      </c>
      <c r="W40" s="3404">
        <f t="shared" si="14"/>
        <v>100</v>
      </c>
      <c r="X40" s="962"/>
      <c r="Y40" s="4915"/>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94"/>
      <c r="Q41" s="3275" t="str">
        <f t="shared" si="11"/>
        <v>层高</v>
      </c>
      <c r="R41" s="4038" t="s">
        <v>13</v>
      </c>
      <c r="S41" s="3404">
        <f t="shared" si="12"/>
        <v>100</v>
      </c>
      <c r="T41" s="4038" t="s">
        <v>13</v>
      </c>
      <c r="U41" s="3404">
        <f t="shared" si="13"/>
        <v>100</v>
      </c>
      <c r="V41" s="4038" t="s">
        <v>13</v>
      </c>
      <c r="W41" s="3404">
        <f t="shared" si="14"/>
        <v>100</v>
      </c>
      <c r="X41" s="962"/>
      <c r="Y41" s="4915"/>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94"/>
      <c r="Q42" s="3105" t="str">
        <f t="shared" si="11"/>
        <v>单套建筑面积</v>
      </c>
      <c r="R42" s="4039" t="s">
        <v>13</v>
      </c>
      <c r="S42" s="3405">
        <f t="shared" si="12"/>
        <v>100</v>
      </c>
      <c r="T42" s="4039" t="s">
        <v>13</v>
      </c>
      <c r="U42" s="3405">
        <f t="shared" si="13"/>
        <v>100</v>
      </c>
      <c r="V42" s="4039" t="s">
        <v>13</v>
      </c>
      <c r="W42" s="3405">
        <f t="shared" si="14"/>
        <v>100</v>
      </c>
      <c r="X42" s="506"/>
      <c r="Y42" s="4915"/>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94"/>
      <c r="Q43" s="3275" t="str">
        <f t="shared" si="11"/>
        <v>内部装修</v>
      </c>
      <c r="R43" s="4038" t="s">
        <v>13</v>
      </c>
      <c r="S43" s="3404">
        <f t="shared" si="12"/>
        <v>100</v>
      </c>
      <c r="T43" s="4038" t="s">
        <v>13</v>
      </c>
      <c r="U43" s="3404">
        <f t="shared" si="13"/>
        <v>100</v>
      </c>
      <c r="V43" s="4038" t="s">
        <v>13</v>
      </c>
      <c r="W43" s="3404">
        <f t="shared" si="14"/>
        <v>100</v>
      </c>
      <c r="X43" s="962"/>
      <c r="Y43" s="4915"/>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94"/>
      <c r="Q44" s="3275" t="str">
        <f t="shared" si="11"/>
        <v>内部装修维护情况</v>
      </c>
      <c r="R44" s="4038" t="s">
        <v>13</v>
      </c>
      <c r="S44" s="3404">
        <f t="shared" si="12"/>
        <v>100</v>
      </c>
      <c r="T44" s="4038" t="s">
        <v>13</v>
      </c>
      <c r="U44" s="3404">
        <f t="shared" si="13"/>
        <v>100</v>
      </c>
      <c r="V44" s="4038" t="s">
        <v>13</v>
      </c>
      <c r="W44" s="3404">
        <f t="shared" si="14"/>
        <v>100</v>
      </c>
      <c r="X44" s="962"/>
      <c r="Y44" s="4915"/>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94"/>
      <c r="Q45" s="3272">
        <f t="shared" si="11"/>
        <v>111</v>
      </c>
      <c r="R45" s="3917" t="s">
        <v>13</v>
      </c>
      <c r="S45" s="3403">
        <f t="shared" si="12"/>
        <v>100</v>
      </c>
      <c r="T45" s="3917" t="s">
        <v>13</v>
      </c>
      <c r="U45" s="3403">
        <f t="shared" si="13"/>
        <v>100</v>
      </c>
      <c r="V45" s="3917" t="s">
        <v>13</v>
      </c>
      <c r="W45" s="3403">
        <f t="shared" si="14"/>
        <v>100</v>
      </c>
      <c r="X45" s="503"/>
      <c r="Y45" s="4915"/>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94"/>
      <c r="Q46" s="3275">
        <f t="shared" si="11"/>
        <v>111</v>
      </c>
      <c r="R46" s="4038" t="s">
        <v>13</v>
      </c>
      <c r="S46" s="3404">
        <f t="shared" si="12"/>
        <v>100</v>
      </c>
      <c r="T46" s="4038" t="s">
        <v>13</v>
      </c>
      <c r="U46" s="3404">
        <f t="shared" si="13"/>
        <v>100</v>
      </c>
      <c r="V46" s="4038" t="s">
        <v>13</v>
      </c>
      <c r="W46" s="3404">
        <f t="shared" si="14"/>
        <v>100</v>
      </c>
      <c r="X46" s="962"/>
      <c r="Y46" s="4915"/>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95"/>
      <c r="Q47" s="3275">
        <f t="shared" si="11"/>
        <v>111</v>
      </c>
      <c r="R47" s="4038" t="s">
        <v>13</v>
      </c>
      <c r="S47" s="3404">
        <f t="shared" si="12"/>
        <v>100</v>
      </c>
      <c r="T47" s="4038" t="s">
        <v>13</v>
      </c>
      <c r="U47" s="3404">
        <f t="shared" si="13"/>
        <v>100</v>
      </c>
      <c r="V47" s="4038" t="s">
        <v>13</v>
      </c>
      <c r="W47" s="3404">
        <f t="shared" si="14"/>
        <v>100</v>
      </c>
      <c r="X47" s="962"/>
      <c r="Y47" s="4996"/>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1" t="str">
        <f>A48</f>
        <v>成交单价（元/平方米）</v>
      </c>
      <c r="Q48" s="4991"/>
      <c r="R48" s="4992">
        <f>E48</f>
        <v>0</v>
      </c>
      <c r="S48" s="4992"/>
      <c r="T48" s="4992">
        <f>G48</f>
        <v>0</v>
      </c>
      <c r="U48" s="4992"/>
      <c r="V48" s="4992">
        <f>I48</f>
        <v>0</v>
      </c>
      <c r="W48" s="4992"/>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1" t="str">
        <f>A49</f>
        <v>比较价值（元/平方米）</v>
      </c>
      <c r="Q49" s="4991"/>
      <c r="R49" s="4992" t="e">
        <f>IF(F1="售价",ROUND(PRODUCT(R48,AA7:AA47),0),ROUND(PRODUCT(R48,AA7:AA47),1))</f>
        <v>#DIV/0!</v>
      </c>
      <c r="S49" s="4992"/>
      <c r="T49" s="4992" t="e">
        <f>IF(F1="售价",ROUND(PRODUCT(T48,AB7:AB47),0),ROUND(PRODUCT(T48,AB7:AB47),1))</f>
        <v>#DIV/0!</v>
      </c>
      <c r="U49" s="4992"/>
      <c r="V49" s="4992" t="e">
        <f>IF(F1="售价",ROUND(PRODUCT(V48,AC7:AC47),0),ROUND(PRODUCT(V48,AC7:AC47),1))</f>
        <v>#DIV/0!</v>
      </c>
      <c r="W49" s="4992"/>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5016" t="str">
        <f>A50</f>
        <v>估价对象XX用房的比较价值（楼面单价，元/平方米）</v>
      </c>
      <c r="Q50" s="5017"/>
      <c r="R50" s="5018" t="e">
        <f>IF(F1="售价",ROUND(IF(D49="简单平均",AVERAGE(R49:V49),R49*F49+T49*H49+V49*J49),0),ROUND(IF(D49="简单平均",AVERAGE(R49:V49),R49*F49+T49*H49+V49*J49),1))</f>
        <v>#DIV/0!</v>
      </c>
      <c r="S50" s="5018"/>
      <c r="T50" s="5018"/>
      <c r="U50" s="5018"/>
      <c r="V50" s="5018"/>
      <c r="W50" s="5018"/>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2467.34</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624"/>
      <c r="M4" s="625"/>
      <c r="N4" s="625"/>
      <c r="O4" s="625"/>
      <c r="P4" s="4976" t="s">
        <v>1682</v>
      </c>
      <c r="Q4" s="4977"/>
      <c r="R4" s="4959" t="s">
        <v>1678</v>
      </c>
      <c r="S4" s="4960"/>
      <c r="T4" s="4959" t="s">
        <v>1679</v>
      </c>
      <c r="U4" s="4960"/>
      <c r="V4" s="4984" t="s">
        <v>1680</v>
      </c>
      <c r="W4" s="4984"/>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624"/>
      <c r="M5" s="625"/>
      <c r="N5" s="625"/>
      <c r="O5" s="625"/>
      <c r="P5" s="4978"/>
      <c r="Q5" s="4979"/>
      <c r="R5" s="4961"/>
      <c r="S5" s="4962"/>
      <c r="T5" s="4961"/>
      <c r="U5" s="4962"/>
      <c r="V5" s="4984"/>
      <c r="W5" s="4984"/>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624"/>
      <c r="M6" s="625"/>
      <c r="N6" s="625"/>
      <c r="O6" s="625"/>
      <c r="P6" s="4980"/>
      <c r="Q6" s="4981"/>
      <c r="R6" s="4961"/>
      <c r="S6" s="4962"/>
      <c r="T6" s="4982"/>
      <c r="U6" s="4983"/>
      <c r="V6" s="4984"/>
      <c r="W6" s="4984"/>
      <c r="X6" s="962"/>
      <c r="Y6" s="4908"/>
      <c r="Z6" s="4909"/>
      <c r="AA6" s="4880"/>
      <c r="AB6" s="4880"/>
      <c r="AC6" s="4880"/>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85" t="s">
        <v>1587</v>
      </c>
      <c r="Q7" s="4987"/>
      <c r="R7" s="4070" t="s">
        <v>13</v>
      </c>
      <c r="S7" s="4073">
        <f t="shared" ref="S7:S15" si="0">F7</f>
        <v>0</v>
      </c>
      <c r="T7" s="4070" t="s">
        <v>13</v>
      </c>
      <c r="U7" s="4073">
        <f t="shared" ref="U7:U15" si="1">H7</f>
        <v>0</v>
      </c>
      <c r="V7" s="4070" t="s">
        <v>13</v>
      </c>
      <c r="W7" s="407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85" t="s">
        <v>1590</v>
      </c>
      <c r="Q8" s="4986"/>
      <c r="R8" s="4070" t="s">
        <v>13</v>
      </c>
      <c r="S8" s="4073">
        <f t="shared" si="0"/>
        <v>100</v>
      </c>
      <c r="T8" s="4070" t="s">
        <v>13</v>
      </c>
      <c r="U8" s="4073">
        <f t="shared" si="1"/>
        <v>100</v>
      </c>
      <c r="V8" s="4070" t="s">
        <v>13</v>
      </c>
      <c r="W8" s="4073">
        <f t="shared" si="2"/>
        <v>100</v>
      </c>
      <c r="X8" s="503"/>
      <c r="Y8" s="4881" t="s">
        <v>1590</v>
      </c>
      <c r="Z8" s="4882"/>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91" t="s">
        <v>1593</v>
      </c>
      <c r="Q9" s="3272" t="str">
        <f t="shared" ref="Q9:Q15" si="6">B9</f>
        <v>用途</v>
      </c>
      <c r="R9" s="4070" t="s">
        <v>13</v>
      </c>
      <c r="S9" s="4073">
        <f t="shared" si="0"/>
        <v>100</v>
      </c>
      <c r="T9" s="4070" t="s">
        <v>13</v>
      </c>
      <c r="U9" s="4073">
        <f t="shared" si="1"/>
        <v>100</v>
      </c>
      <c r="V9" s="4070" t="s">
        <v>13</v>
      </c>
      <c r="W9" s="4073">
        <f t="shared" si="2"/>
        <v>100</v>
      </c>
      <c r="X9" s="503"/>
      <c r="Y9" s="4897"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91"/>
      <c r="Q10" s="3272" t="str">
        <f t="shared" si="6"/>
        <v>土地使用年限（年）</v>
      </c>
      <c r="R10" s="4070" t="s">
        <v>13</v>
      </c>
      <c r="S10" s="4073">
        <f t="shared" si="0"/>
        <v>100</v>
      </c>
      <c r="T10" s="4070" t="s">
        <v>13</v>
      </c>
      <c r="U10" s="4073">
        <f t="shared" si="1"/>
        <v>100</v>
      </c>
      <c r="V10" s="4070" t="s">
        <v>13</v>
      </c>
      <c r="W10" s="4073">
        <f t="shared" si="2"/>
        <v>100</v>
      </c>
      <c r="X10" s="503"/>
      <c r="Y10" s="4897"/>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91"/>
      <c r="Q11" s="3272" t="str">
        <f t="shared" si="6"/>
        <v>容积率</v>
      </c>
      <c r="R11" s="4070" t="s">
        <v>13</v>
      </c>
      <c r="S11" s="4073">
        <f t="shared" si="0"/>
        <v>100</v>
      </c>
      <c r="T11" s="4070" t="s">
        <v>13</v>
      </c>
      <c r="U11" s="4073">
        <f t="shared" si="1"/>
        <v>100</v>
      </c>
      <c r="V11" s="4070" t="s">
        <v>13</v>
      </c>
      <c r="W11" s="4073">
        <f t="shared" si="2"/>
        <v>100</v>
      </c>
      <c r="X11" s="503"/>
      <c r="Y11" s="4897"/>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91"/>
      <c r="Q12" s="3272">
        <f t="shared" si="6"/>
        <v>111</v>
      </c>
      <c r="R12" s="4070" t="s">
        <v>13</v>
      </c>
      <c r="S12" s="4073">
        <f t="shared" si="0"/>
        <v>100</v>
      </c>
      <c r="T12" s="4070" t="s">
        <v>13</v>
      </c>
      <c r="U12" s="4073">
        <f t="shared" si="1"/>
        <v>100</v>
      </c>
      <c r="V12" s="4070" t="s">
        <v>13</v>
      </c>
      <c r="W12" s="4073">
        <f t="shared" si="2"/>
        <v>100</v>
      </c>
      <c r="X12" s="503"/>
      <c r="Y12" s="4897"/>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91"/>
      <c r="Q13" s="3272">
        <f t="shared" si="6"/>
        <v>111</v>
      </c>
      <c r="R13" s="4070" t="s">
        <v>13</v>
      </c>
      <c r="S13" s="4073">
        <f t="shared" si="0"/>
        <v>100</v>
      </c>
      <c r="T13" s="4070" t="s">
        <v>13</v>
      </c>
      <c r="U13" s="4073">
        <f t="shared" si="1"/>
        <v>100</v>
      </c>
      <c r="V13" s="4070" t="s">
        <v>13</v>
      </c>
      <c r="W13" s="4073">
        <f t="shared" si="2"/>
        <v>100</v>
      </c>
      <c r="X13" s="503"/>
      <c r="Y13" s="4897"/>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9" t="s">
        <v>1598</v>
      </c>
      <c r="Q15" s="3275" t="str">
        <f t="shared" si="6"/>
        <v>产业集聚程度</v>
      </c>
      <c r="R15" s="4071" t="s">
        <v>13</v>
      </c>
      <c r="S15" s="4074">
        <f t="shared" si="0"/>
        <v>100</v>
      </c>
      <c r="T15" s="4071" t="s">
        <v>13</v>
      </c>
      <c r="U15" s="4074">
        <f t="shared" si="1"/>
        <v>100</v>
      </c>
      <c r="V15" s="4071" t="s">
        <v>13</v>
      </c>
      <c r="W15" s="4074">
        <f t="shared" si="2"/>
        <v>100</v>
      </c>
      <c r="X15" s="962"/>
      <c r="Y15" s="4912"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0"/>
      <c r="Q16" s="3275"/>
      <c r="R16" s="4071"/>
      <c r="S16" s="4074"/>
      <c r="T16" s="4071"/>
      <c r="U16" s="4074"/>
      <c r="V16" s="4071"/>
      <c r="W16" s="4074"/>
      <c r="X16" s="962"/>
      <c r="Y16" s="4913"/>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0"/>
      <c r="Q17" s="3275" t="str">
        <f>B17</f>
        <v>交通便捷度</v>
      </c>
      <c r="R17" s="4071" t="s">
        <v>13</v>
      </c>
      <c r="S17" s="4074">
        <f>F17</f>
        <v>100</v>
      </c>
      <c r="T17" s="4071" t="s">
        <v>13</v>
      </c>
      <c r="U17" s="4074">
        <f>H17</f>
        <v>100</v>
      </c>
      <c r="V17" s="4071" t="s">
        <v>13</v>
      </c>
      <c r="W17" s="4074">
        <f>J17</f>
        <v>100</v>
      </c>
      <c r="X17" s="962"/>
      <c r="Y17" s="4913"/>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0"/>
      <c r="Q18" s="3275"/>
      <c r="R18" s="4071"/>
      <c r="S18" s="4074"/>
      <c r="T18" s="4071"/>
      <c r="U18" s="4074"/>
      <c r="V18" s="4071"/>
      <c r="W18" s="4074"/>
      <c r="X18" s="962"/>
      <c r="Y18" s="4913"/>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0"/>
      <c r="Q19" s="3275" t="str">
        <f>B19</f>
        <v>公共配套设施</v>
      </c>
      <c r="R19" s="4071" t="s">
        <v>13</v>
      </c>
      <c r="S19" s="4074">
        <f>F19</f>
        <v>100</v>
      </c>
      <c r="T19" s="4071" t="s">
        <v>13</v>
      </c>
      <c r="U19" s="4074">
        <f>H19</f>
        <v>100</v>
      </c>
      <c r="V19" s="4071" t="s">
        <v>13</v>
      </c>
      <c r="W19" s="4074">
        <f>J19</f>
        <v>100</v>
      </c>
      <c r="X19" s="962"/>
      <c r="Y19" s="4913"/>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0"/>
      <c r="Q20" s="3275"/>
      <c r="R20" s="4071"/>
      <c r="S20" s="4074"/>
      <c r="T20" s="4071"/>
      <c r="U20" s="4074"/>
      <c r="V20" s="4071"/>
      <c r="W20" s="4074"/>
      <c r="X20" s="962"/>
      <c r="Y20" s="4913"/>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0"/>
      <c r="Q21" s="3275" t="str">
        <f>B21</f>
        <v>基础设施水平</v>
      </c>
      <c r="R21" s="4071" t="s">
        <v>13</v>
      </c>
      <c r="S21" s="4074">
        <f>F21</f>
        <v>100</v>
      </c>
      <c r="T21" s="4071" t="s">
        <v>13</v>
      </c>
      <c r="U21" s="4074">
        <f>H21</f>
        <v>100</v>
      </c>
      <c r="V21" s="4071" t="s">
        <v>13</v>
      </c>
      <c r="W21" s="4074">
        <f>J21</f>
        <v>100</v>
      </c>
      <c r="X21" s="962"/>
      <c r="Y21" s="4913"/>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0"/>
      <c r="Q22" s="3275"/>
      <c r="R22" s="4071"/>
      <c r="S22" s="4074"/>
      <c r="T22" s="4071"/>
      <c r="U22" s="4074"/>
      <c r="V22" s="4071"/>
      <c r="W22" s="4074"/>
      <c r="X22" s="962"/>
      <c r="Y22" s="4913"/>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0"/>
      <c r="Q23" s="3275" t="str">
        <f>B23</f>
        <v>环境质量</v>
      </c>
      <c r="R23" s="4071" t="s">
        <v>13</v>
      </c>
      <c r="S23" s="4074">
        <f>F23</f>
        <v>100</v>
      </c>
      <c r="T23" s="4071" t="s">
        <v>13</v>
      </c>
      <c r="U23" s="4074">
        <f>H23</f>
        <v>100</v>
      </c>
      <c r="V23" s="4071" t="s">
        <v>13</v>
      </c>
      <c r="W23" s="4074">
        <f>J23</f>
        <v>100</v>
      </c>
      <c r="X23" s="962"/>
      <c r="Y23" s="4913"/>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0"/>
      <c r="Q24" s="3275"/>
      <c r="R24" s="4071"/>
      <c r="S24" s="4074"/>
      <c r="T24" s="4071"/>
      <c r="U24" s="4074"/>
      <c r="V24" s="4071"/>
      <c r="W24" s="4074"/>
      <c r="X24" s="962"/>
      <c r="Y24" s="4913"/>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0"/>
      <c r="Q25" s="3275">
        <f>B25</f>
        <v>111</v>
      </c>
      <c r="R25" s="4071" t="s">
        <v>13</v>
      </c>
      <c r="S25" s="4074">
        <f>F25</f>
        <v>100</v>
      </c>
      <c r="T25" s="4071" t="s">
        <v>13</v>
      </c>
      <c r="U25" s="4074">
        <f>H25</f>
        <v>100</v>
      </c>
      <c r="V25" s="4071" t="s">
        <v>13</v>
      </c>
      <c r="W25" s="4074">
        <f>J25</f>
        <v>100</v>
      </c>
      <c r="X25" s="962"/>
      <c r="Y25" s="4913"/>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0"/>
      <c r="Q26" s="3275">
        <f t="shared" ref="Q26:Q40" si="11">B26</f>
        <v>111</v>
      </c>
      <c r="R26" s="4071" t="s">
        <v>13</v>
      </c>
      <c r="S26" s="4074">
        <f>F26</f>
        <v>100</v>
      </c>
      <c r="T26" s="4071" t="s">
        <v>13</v>
      </c>
      <c r="U26" s="4074">
        <f>H26</f>
        <v>100</v>
      </c>
      <c r="V26" s="4071" t="s">
        <v>13</v>
      </c>
      <c r="W26" s="4074">
        <f>J26</f>
        <v>100</v>
      </c>
      <c r="X26" s="962"/>
      <c r="Y26" s="4913"/>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0"/>
      <c r="Q27" s="3272">
        <f t="shared" si="11"/>
        <v>111</v>
      </c>
      <c r="R27" s="4070" t="s">
        <v>13</v>
      </c>
      <c r="S27" s="4073">
        <f>F27</f>
        <v>100</v>
      </c>
      <c r="T27" s="4070" t="s">
        <v>13</v>
      </c>
      <c r="U27" s="4073">
        <f>H27</f>
        <v>100</v>
      </c>
      <c r="V27" s="4070" t="s">
        <v>13</v>
      </c>
      <c r="W27" s="4073">
        <f>J27</f>
        <v>100</v>
      </c>
      <c r="X27" s="503"/>
      <c r="Y27" s="4913"/>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0"/>
      <c r="Q28" s="3275">
        <f t="shared" si="11"/>
        <v>111</v>
      </c>
      <c r="R28" s="4071" t="s">
        <v>13</v>
      </c>
      <c r="S28" s="4074">
        <f t="shared" ref="S28:S40" si="12">F28</f>
        <v>100</v>
      </c>
      <c r="T28" s="4071" t="s">
        <v>13</v>
      </c>
      <c r="U28" s="4074">
        <f t="shared" ref="U28:U40" si="13">H28</f>
        <v>100</v>
      </c>
      <c r="V28" s="4071" t="s">
        <v>13</v>
      </c>
      <c r="W28" s="4074">
        <f t="shared" ref="W28:W40" si="14">J28</f>
        <v>100</v>
      </c>
      <c r="X28" s="962"/>
      <c r="Y28" s="4913"/>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1" t="s">
        <v>1603</v>
      </c>
      <c r="Q29" s="3275" t="str">
        <f t="shared" si="11"/>
        <v>建筑类型</v>
      </c>
      <c r="R29" s="4071" t="s">
        <v>13</v>
      </c>
      <c r="S29" s="4074">
        <f t="shared" si="12"/>
        <v>100</v>
      </c>
      <c r="T29" s="4071" t="s">
        <v>13</v>
      </c>
      <c r="U29" s="4074">
        <f t="shared" si="13"/>
        <v>100</v>
      </c>
      <c r="V29" s="4071" t="s">
        <v>13</v>
      </c>
      <c r="W29" s="4074">
        <f t="shared" si="14"/>
        <v>100</v>
      </c>
      <c r="X29" s="962"/>
      <c r="Y29" s="4915"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2"/>
      <c r="Q30" s="3105" t="str">
        <f t="shared" si="11"/>
        <v>项目建筑规模</v>
      </c>
      <c r="R30" s="4072" t="s">
        <v>13</v>
      </c>
      <c r="S30" s="4075" t="e">
        <f t="shared" si="12"/>
        <v>#N/A</v>
      </c>
      <c r="T30" s="4072" t="s">
        <v>13</v>
      </c>
      <c r="U30" s="4075" t="e">
        <f t="shared" si="13"/>
        <v>#N/A</v>
      </c>
      <c r="V30" s="4072" t="s">
        <v>13</v>
      </c>
      <c r="W30" s="4075" t="e">
        <f t="shared" si="14"/>
        <v>#N/A</v>
      </c>
      <c r="X30" s="506"/>
      <c r="Y30" s="4915"/>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2"/>
      <c r="Q31" s="3275" t="str">
        <f t="shared" si="11"/>
        <v>建筑结构</v>
      </c>
      <c r="R31" s="4071" t="s">
        <v>13</v>
      </c>
      <c r="S31" s="4074">
        <f t="shared" si="12"/>
        <v>100</v>
      </c>
      <c r="T31" s="4071" t="s">
        <v>13</v>
      </c>
      <c r="U31" s="4074">
        <f t="shared" si="13"/>
        <v>100</v>
      </c>
      <c r="V31" s="4071" t="s">
        <v>13</v>
      </c>
      <c r="W31" s="4074">
        <f t="shared" si="14"/>
        <v>100</v>
      </c>
      <c r="X31" s="962"/>
      <c r="Y31" s="4915"/>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2"/>
      <c r="Q32" s="3275" t="str">
        <f t="shared" si="11"/>
        <v>公共部分装修</v>
      </c>
      <c r="R32" s="4071" t="s">
        <v>13</v>
      </c>
      <c r="S32" s="4074">
        <f t="shared" si="12"/>
        <v>100</v>
      </c>
      <c r="T32" s="4071" t="s">
        <v>13</v>
      </c>
      <c r="U32" s="4074">
        <f t="shared" si="13"/>
        <v>100</v>
      </c>
      <c r="V32" s="4071" t="s">
        <v>13</v>
      </c>
      <c r="W32" s="4074">
        <f t="shared" si="14"/>
        <v>100</v>
      </c>
      <c r="X32" s="962"/>
      <c r="Y32" s="4915"/>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2"/>
      <c r="Q33" s="3275" t="str">
        <f t="shared" si="11"/>
        <v>成新度</v>
      </c>
      <c r="R33" s="4071" t="s">
        <v>13</v>
      </c>
      <c r="S33" s="4074" t="e">
        <f t="shared" si="12"/>
        <v>#N/A</v>
      </c>
      <c r="T33" s="4071" t="s">
        <v>13</v>
      </c>
      <c r="U33" s="4074" t="e">
        <f t="shared" si="13"/>
        <v>#N/A</v>
      </c>
      <c r="V33" s="4071" t="s">
        <v>13</v>
      </c>
      <c r="W33" s="4074" t="e">
        <f t="shared" si="14"/>
        <v>#N/A</v>
      </c>
      <c r="X33" s="962"/>
      <c r="Y33" s="4915"/>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2"/>
      <c r="Q34" s="3272" t="str">
        <f t="shared" si="11"/>
        <v>物业管理</v>
      </c>
      <c r="R34" s="4070" t="s">
        <v>13</v>
      </c>
      <c r="S34" s="4073">
        <f t="shared" si="12"/>
        <v>100</v>
      </c>
      <c r="T34" s="4070" t="s">
        <v>13</v>
      </c>
      <c r="U34" s="4073">
        <f t="shared" si="13"/>
        <v>100</v>
      </c>
      <c r="V34" s="4070" t="s">
        <v>13</v>
      </c>
      <c r="W34" s="4073">
        <f t="shared" si="14"/>
        <v>100</v>
      </c>
      <c r="X34" s="503"/>
      <c r="Y34" s="4915"/>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2" t="s">
        <v>1603</v>
      </c>
      <c r="Q35" s="3275" t="str">
        <f t="shared" si="11"/>
        <v>市政基础设施</v>
      </c>
      <c r="R35" s="4071" t="s">
        <v>13</v>
      </c>
      <c r="S35" s="4074">
        <f t="shared" si="12"/>
        <v>100</v>
      </c>
      <c r="T35" s="4071" t="s">
        <v>13</v>
      </c>
      <c r="U35" s="4074">
        <f t="shared" si="13"/>
        <v>100</v>
      </c>
      <c r="V35" s="4071" t="s">
        <v>13</v>
      </c>
      <c r="W35" s="4074">
        <f t="shared" si="14"/>
        <v>100</v>
      </c>
      <c r="X35" s="962"/>
      <c r="Y35" s="4915"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2"/>
      <c r="Q36" s="3275" t="str">
        <f t="shared" si="11"/>
        <v>内部装修</v>
      </c>
      <c r="R36" s="4071" t="s">
        <v>13</v>
      </c>
      <c r="S36" s="4074">
        <f t="shared" si="12"/>
        <v>100</v>
      </c>
      <c r="T36" s="4071" t="s">
        <v>13</v>
      </c>
      <c r="U36" s="4074">
        <f t="shared" si="13"/>
        <v>100</v>
      </c>
      <c r="V36" s="4071" t="s">
        <v>13</v>
      </c>
      <c r="W36" s="4074">
        <f t="shared" si="14"/>
        <v>100</v>
      </c>
      <c r="X36" s="962"/>
      <c r="Y36" s="4915"/>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2"/>
      <c r="Q37" s="3275" t="str">
        <f t="shared" si="11"/>
        <v>内部装修状况</v>
      </c>
      <c r="R37" s="4071" t="s">
        <v>13</v>
      </c>
      <c r="S37" s="4074">
        <f t="shared" si="12"/>
        <v>100</v>
      </c>
      <c r="T37" s="4071" t="s">
        <v>13</v>
      </c>
      <c r="U37" s="4074">
        <f t="shared" si="13"/>
        <v>100</v>
      </c>
      <c r="V37" s="4071" t="s">
        <v>13</v>
      </c>
      <c r="W37" s="4074">
        <f t="shared" si="14"/>
        <v>100</v>
      </c>
      <c r="X37" s="962"/>
      <c r="Y37" s="4915"/>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2"/>
      <c r="Q38" s="3105">
        <f t="shared" si="11"/>
        <v>111</v>
      </c>
      <c r="R38" s="4072" t="s">
        <v>13</v>
      </c>
      <c r="S38" s="4075">
        <f t="shared" si="12"/>
        <v>100</v>
      </c>
      <c r="T38" s="4072" t="s">
        <v>13</v>
      </c>
      <c r="U38" s="4075">
        <f t="shared" si="13"/>
        <v>100</v>
      </c>
      <c r="V38" s="4072" t="s">
        <v>13</v>
      </c>
      <c r="W38" s="4075">
        <f t="shared" si="14"/>
        <v>100</v>
      </c>
      <c r="X38" s="506"/>
      <c r="Y38" s="4915"/>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2"/>
      <c r="Q39" s="3275">
        <f t="shared" si="11"/>
        <v>111</v>
      </c>
      <c r="R39" s="4071" t="s">
        <v>13</v>
      </c>
      <c r="S39" s="4074">
        <f t="shared" si="12"/>
        <v>100</v>
      </c>
      <c r="T39" s="4071" t="s">
        <v>13</v>
      </c>
      <c r="U39" s="4074">
        <f t="shared" si="13"/>
        <v>100</v>
      </c>
      <c r="V39" s="4071" t="s">
        <v>13</v>
      </c>
      <c r="W39" s="4074">
        <f t="shared" si="14"/>
        <v>100</v>
      </c>
      <c r="X39" s="962"/>
      <c r="Y39" s="4915"/>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3"/>
      <c r="Q40" s="3275">
        <f t="shared" si="11"/>
        <v>111</v>
      </c>
      <c r="R40" s="4071" t="s">
        <v>13</v>
      </c>
      <c r="S40" s="4074">
        <f t="shared" si="12"/>
        <v>100</v>
      </c>
      <c r="T40" s="4071" t="s">
        <v>13</v>
      </c>
      <c r="U40" s="4074">
        <f t="shared" si="13"/>
        <v>100</v>
      </c>
      <c r="V40" s="4071" t="s">
        <v>13</v>
      </c>
      <c r="W40" s="4074">
        <f t="shared" si="14"/>
        <v>100</v>
      </c>
      <c r="X40" s="962"/>
      <c r="Y40" s="4996"/>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91" t="str">
        <f>A41</f>
        <v>成交单价（元/平方米）</v>
      </c>
      <c r="Q41" s="4991"/>
      <c r="R41" s="4992">
        <f>E41</f>
        <v>0</v>
      </c>
      <c r="S41" s="4992"/>
      <c r="T41" s="4992">
        <f>G41</f>
        <v>0</v>
      </c>
      <c r="U41" s="4992"/>
      <c r="V41" s="4992">
        <f>I41</f>
        <v>0</v>
      </c>
      <c r="W41" s="4992"/>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91" t="str">
        <f>A42</f>
        <v>比较价值（元/平方米）</v>
      </c>
      <c r="Q42" s="4991"/>
      <c r="R42" s="4992" t="e">
        <f>IF(F1="售价",ROUND(PRODUCT(R41,AA7:AA40),0),ROUND(PRODUCT(R41,AA7:AA40),1))</f>
        <v>#DIV/0!</v>
      </c>
      <c r="S42" s="4992"/>
      <c r="T42" s="4992" t="e">
        <f>IF(F1="售价",ROUND(PRODUCT(T41,AB7:AB40),0),ROUND(PRODUCT(T41,AB7:AB40),1))</f>
        <v>#DIV/0!</v>
      </c>
      <c r="U42" s="4992"/>
      <c r="V42" s="4992" t="e">
        <f>IF(F1="售价",ROUND(PRODUCT(V41,AC7:AC40),0),ROUND(PRODUCT(V41,AC7:AC40),1))</f>
        <v>#DIV/0!</v>
      </c>
      <c r="W42" s="4992"/>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88" t="str">
        <f>A43</f>
        <v>估价对象XX用房的比较价值（楼面单价，元/平方米）</v>
      </c>
      <c r="Q43" s="4989"/>
      <c r="R43" s="4990" t="e">
        <f>IF(F1="售价",ROUND(IF(D42="简单平均",AVERAGE(R42:V42),R42*F42+T42*H42+V42*J42),0),ROUND(IF(D42="简单平均",AVERAGE(R42:V42),R42*F42+T42*H42+V42*J42),1))</f>
        <v>#DIV/0!</v>
      </c>
      <c r="S43" s="4990"/>
      <c r="T43" s="4990"/>
      <c r="U43" s="4990"/>
      <c r="V43" s="4990"/>
      <c r="W43" s="4990"/>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2" sqref="D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2467.34</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2.5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2.5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8" t="s">
        <v>1867</v>
      </c>
      <c r="X8" s="5029"/>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0"/>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0"/>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1" t="s">
        <v>3141</v>
      </c>
      <c r="B20" s="70" t="s">
        <v>1901</v>
      </c>
      <c r="C20" s="4516">
        <f>ROUND(IF(F21="与级别开发程度一致",0,(G21-E21)/C21),0)</f>
        <v>0</v>
      </c>
      <c r="D20" s="2648" t="s">
        <v>1905</v>
      </c>
      <c r="E20" s="2649"/>
      <c r="F20" s="5037" t="s">
        <v>1902</v>
      </c>
      <c r="G20" s="5038"/>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2"/>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4140</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1.0558000000000001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1.0558000000000001</v>
      </c>
      <c r="E26" s="4532">
        <f>ROUNDDOWN(G3,1)</f>
        <v>2.5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4532">
        <f>ROUNDUP(G3,1)</f>
        <v>2.5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5"/>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7"/>
      <c r="S37" s="787"/>
      <c r="T37" s="787"/>
      <c r="U37" s="787"/>
      <c r="V37" s="787"/>
      <c r="W37" s="787"/>
      <c r="X37" s="787"/>
      <c r="Y37" s="787"/>
      <c r="Z37" s="788"/>
      <c r="AA37" s="788"/>
      <c r="AB37" s="788"/>
      <c r="AC37" s="788"/>
      <c r="AD37" s="788"/>
      <c r="AE37" s="788"/>
      <c r="AF37" s="788"/>
      <c r="AG37" s="1683"/>
      <c r="AH37" s="1683"/>
      <c r="AI37" s="1683"/>
      <c r="AJ37" s="1683"/>
    </row>
    <row r="38" spans="1:37">
      <c r="A38" s="5036"/>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6"/>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7471</v>
      </c>
      <c r="D41" s="4526"/>
      <c r="E41" s="3335">
        <f t="shared" si="4"/>
        <v>0</v>
      </c>
      <c r="F41" s="4529">
        <f>SUMIF(修正!A59:A70,G2,修正!F59:F70)</f>
        <v>0.3</v>
      </c>
      <c r="G41" s="3335">
        <f>ROUND(IF(E2="工业",C41*$M$42,C41*$M$41),0)</f>
        <v>1868</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4981</v>
      </c>
      <c r="D42" s="4528">
        <f>'数据-汇总表'!G19</f>
        <v>2467.34</v>
      </c>
      <c r="E42" s="4527">
        <f t="shared" si="4"/>
        <v>1229</v>
      </c>
      <c r="F42" s="4530">
        <f>SUMIF(修正!A59:A70,G2,修正!G59:G70)</f>
        <v>0.2</v>
      </c>
      <c r="G42" s="4527">
        <f>ROUND(IF(E2="工业",C42*$M$42,C42*$M$41),0)</f>
        <v>1245</v>
      </c>
      <c r="H42" s="4531">
        <f t="shared" si="5"/>
        <v>2467.34</v>
      </c>
      <c r="I42" s="4527">
        <f t="shared" si="6"/>
        <v>307</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c r="D61" s="4557">
        <f t="shared" ref="D61:D69" si="12">SUMIF($J$60:$N$60,C61,J61:N61)</f>
        <v>0</v>
      </c>
      <c r="E61" s="4558">
        <f>ROUND(SUM(D61:D69),4)</f>
        <v>0</v>
      </c>
      <c r="F61" s="4566">
        <f>IF(E2="办公",SUMIF(L1:L12,G2,N1:N12),"——")</f>
        <v>9.6000000000000002E-2</v>
      </c>
      <c r="G61" s="4561"/>
      <c r="H61" s="4562">
        <f t="shared" ref="H61:H69" si="13">IFERROR(ROUNDDOWN($F$61*I61/2,4),"——")</f>
        <v>1.2E-2</v>
      </c>
      <c r="I61" s="4563">
        <v>0.25</v>
      </c>
      <c r="J61" s="4564">
        <f t="shared" ref="J61:J69" si="14">K61+$G61</f>
        <v>0</v>
      </c>
      <c r="K61" s="4564">
        <f t="shared" ref="K61:K69" si="15">$L61+$G61</f>
        <v>0</v>
      </c>
      <c r="L61" s="4564">
        <v>0</v>
      </c>
      <c r="M61" s="4564">
        <f t="shared" ref="M61:N69" si="16">L61-$G61</f>
        <v>0</v>
      </c>
      <c r="N61" s="4564">
        <f t="shared" si="16"/>
        <v>0</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c r="D62" s="4557">
        <f t="shared" si="12"/>
        <v>0</v>
      </c>
      <c r="E62" s="4559"/>
      <c r="F62" s="4566"/>
      <c r="G62" s="4561"/>
      <c r="H62" s="4562">
        <f t="shared" si="13"/>
        <v>1.24E-2</v>
      </c>
      <c r="I62" s="4563">
        <v>0.26</v>
      </c>
      <c r="J62" s="4564">
        <f t="shared" si="14"/>
        <v>0</v>
      </c>
      <c r="K62" s="4564">
        <f t="shared" si="15"/>
        <v>0</v>
      </c>
      <c r="L62" s="4564">
        <v>0</v>
      </c>
      <c r="M62" s="4564">
        <f t="shared" si="16"/>
        <v>0</v>
      </c>
      <c r="N62" s="4564">
        <f t="shared" si="16"/>
        <v>0</v>
      </c>
      <c r="AA62" s="788"/>
      <c r="AB62" s="788"/>
      <c r="AC62" s="788"/>
      <c r="AD62" s="788"/>
      <c r="AE62" s="788"/>
      <c r="AF62" s="788"/>
      <c r="AG62" s="788"/>
      <c r="AH62" s="788"/>
      <c r="AI62" s="788"/>
      <c r="AJ62" s="788"/>
      <c r="AK62" s="788"/>
    </row>
    <row r="63" spans="1:37" s="787" customFormat="1" ht="48">
      <c r="A63" s="2668" t="s">
        <v>3154</v>
      </c>
      <c r="B63" s="1676">
        <f>估价对象房地状况!C19</f>
        <v>0</v>
      </c>
      <c r="C63" s="1591"/>
      <c r="D63" s="4557">
        <f t="shared" si="12"/>
        <v>0</v>
      </c>
      <c r="E63" s="4559"/>
      <c r="F63" s="4566"/>
      <c r="G63" s="4561"/>
      <c r="H63" s="4562">
        <f t="shared" si="13"/>
        <v>5.1999999999999998E-3</v>
      </c>
      <c r="I63" s="4563">
        <v>0.11</v>
      </c>
      <c r="J63" s="4564">
        <f t="shared" si="14"/>
        <v>0</v>
      </c>
      <c r="K63" s="4564">
        <f t="shared" si="15"/>
        <v>0</v>
      </c>
      <c r="L63" s="4564">
        <v>0</v>
      </c>
      <c r="M63" s="4564">
        <f t="shared" si="16"/>
        <v>0</v>
      </c>
      <c r="N63" s="4564">
        <f t="shared" si="16"/>
        <v>0</v>
      </c>
      <c r="AA63" s="788"/>
      <c r="AB63" s="788"/>
      <c r="AC63" s="788"/>
      <c r="AD63" s="788"/>
      <c r="AE63" s="788"/>
      <c r="AF63" s="788"/>
      <c r="AG63" s="788"/>
      <c r="AH63" s="788"/>
      <c r="AI63" s="788"/>
      <c r="AJ63" s="788"/>
      <c r="AK63" s="788"/>
    </row>
    <row r="64" spans="1:37" s="787" customFormat="1" ht="37.200000000000003">
      <c r="A64" s="1672" t="s">
        <v>1961</v>
      </c>
      <c r="B64" s="1677" t="s">
        <v>1962</v>
      </c>
      <c r="C64" s="1591"/>
      <c r="D64" s="4557">
        <f t="shared" si="12"/>
        <v>0</v>
      </c>
      <c r="E64" s="4559"/>
      <c r="F64" s="4566"/>
      <c r="G64" s="4561"/>
      <c r="H64" s="4562">
        <f t="shared" si="13"/>
        <v>2.3999999999999998E-3</v>
      </c>
      <c r="I64" s="4563">
        <v>0.05</v>
      </c>
      <c r="J64" s="4564">
        <f t="shared" si="14"/>
        <v>0</v>
      </c>
      <c r="K64" s="4564">
        <f t="shared" si="15"/>
        <v>0</v>
      </c>
      <c r="L64" s="4564">
        <v>0</v>
      </c>
      <c r="M64" s="4564">
        <f t="shared" si="16"/>
        <v>0</v>
      </c>
      <c r="N64" s="4564">
        <f t="shared" si="16"/>
        <v>0</v>
      </c>
      <c r="AA64" s="788"/>
      <c r="AB64" s="788"/>
      <c r="AC64" s="788"/>
      <c r="AD64" s="788"/>
      <c r="AE64" s="788"/>
      <c r="AF64" s="788"/>
      <c r="AG64" s="788"/>
      <c r="AH64" s="788"/>
      <c r="AI64" s="788"/>
      <c r="AJ64" s="788"/>
      <c r="AK64" s="788"/>
    </row>
    <row r="65" spans="1:37" s="787" customFormat="1" ht="24">
      <c r="A65" s="1672" t="s">
        <v>1963</v>
      </c>
      <c r="B65" s="1676">
        <f>估价对象房地状况!C24</f>
        <v>0</v>
      </c>
      <c r="C65" s="1591"/>
      <c r="D65" s="4557">
        <f t="shared" si="12"/>
        <v>0</v>
      </c>
      <c r="E65" s="4559"/>
      <c r="F65" s="4566"/>
      <c r="G65" s="4561"/>
      <c r="H65" s="4562">
        <f t="shared" si="13"/>
        <v>2.3999999999999998E-3</v>
      </c>
      <c r="I65" s="4563">
        <v>0.05</v>
      </c>
      <c r="J65" s="4564">
        <f t="shared" si="14"/>
        <v>0</v>
      </c>
      <c r="K65" s="4564">
        <f t="shared" si="15"/>
        <v>0</v>
      </c>
      <c r="L65" s="4564">
        <v>0</v>
      </c>
      <c r="M65" s="4564">
        <f t="shared" si="16"/>
        <v>0</v>
      </c>
      <c r="N65" s="4564">
        <f t="shared" si="16"/>
        <v>0</v>
      </c>
      <c r="AA65" s="788"/>
      <c r="AB65" s="788"/>
      <c r="AC65" s="788"/>
      <c r="AD65" s="788"/>
      <c r="AE65" s="788"/>
      <c r="AF65" s="788"/>
      <c r="AG65" s="788"/>
      <c r="AH65" s="788"/>
      <c r="AI65" s="788"/>
      <c r="AJ65" s="788"/>
      <c r="AK65" s="788"/>
    </row>
    <row r="66" spans="1:37" s="787" customFormat="1" ht="36">
      <c r="A66" s="1672" t="s">
        <v>1964</v>
      </c>
      <c r="B66" s="1678" t="s">
        <v>1965</v>
      </c>
      <c r="C66" s="1591"/>
      <c r="D66" s="4557">
        <f t="shared" si="12"/>
        <v>0</v>
      </c>
      <c r="E66" s="4559"/>
      <c r="F66" s="4566"/>
      <c r="G66" s="4561"/>
      <c r="H66" s="4562">
        <f t="shared" si="13"/>
        <v>2.8E-3</v>
      </c>
      <c r="I66" s="4563">
        <v>0.06</v>
      </c>
      <c r="J66" s="4564">
        <f t="shared" si="14"/>
        <v>0</v>
      </c>
      <c r="K66" s="4564">
        <f t="shared" si="15"/>
        <v>0</v>
      </c>
      <c r="L66" s="4564">
        <v>0</v>
      </c>
      <c r="M66" s="4564">
        <f t="shared" si="16"/>
        <v>0</v>
      </c>
      <c r="N66" s="4564">
        <f t="shared" si="16"/>
        <v>0</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c r="D67" s="4557">
        <f t="shared" si="12"/>
        <v>0</v>
      </c>
      <c r="E67" s="4559"/>
      <c r="F67" s="4566"/>
      <c r="G67" s="4561"/>
      <c r="H67" s="4562">
        <f t="shared" si="13"/>
        <v>2.8E-3</v>
      </c>
      <c r="I67" s="4563">
        <v>0.06</v>
      </c>
      <c r="J67" s="4564">
        <f t="shared" si="14"/>
        <v>0</v>
      </c>
      <c r="K67" s="4564">
        <f t="shared" si="15"/>
        <v>0</v>
      </c>
      <c r="L67" s="4564">
        <v>0</v>
      </c>
      <c r="M67" s="4564">
        <f t="shared" si="16"/>
        <v>0</v>
      </c>
      <c r="N67" s="4564">
        <f t="shared" si="16"/>
        <v>0</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c r="D68" s="4557">
        <f t="shared" si="12"/>
        <v>0</v>
      </c>
      <c r="E68" s="4559"/>
      <c r="F68" s="4566"/>
      <c r="G68" s="4561"/>
      <c r="H68" s="4562">
        <f t="shared" si="13"/>
        <v>4.3E-3</v>
      </c>
      <c r="I68" s="4563">
        <v>0.09</v>
      </c>
      <c r="J68" s="4564">
        <f t="shared" si="14"/>
        <v>0</v>
      </c>
      <c r="K68" s="4564">
        <f t="shared" si="15"/>
        <v>0</v>
      </c>
      <c r="L68" s="4564">
        <v>0</v>
      </c>
      <c r="M68" s="4564">
        <f t="shared" si="16"/>
        <v>0</v>
      </c>
      <c r="N68" s="4564">
        <f t="shared" si="16"/>
        <v>0</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c r="D69" s="4557">
        <f t="shared" si="12"/>
        <v>0</v>
      </c>
      <c r="E69" s="4560"/>
      <c r="F69" s="4566"/>
      <c r="G69" s="4561"/>
      <c r="H69" s="4562">
        <f t="shared" si="13"/>
        <v>3.3E-3</v>
      </c>
      <c r="I69" s="4565">
        <v>7.0000000000000007E-2</v>
      </c>
      <c r="J69" s="4564">
        <f t="shared" si="14"/>
        <v>0</v>
      </c>
      <c r="K69" s="4564">
        <f t="shared" si="15"/>
        <v>0</v>
      </c>
      <c r="L69" s="4564">
        <v>0</v>
      </c>
      <c r="M69" s="4564">
        <f t="shared" si="16"/>
        <v>0</v>
      </c>
      <c r="N69" s="4564">
        <f t="shared" si="16"/>
        <v>0</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3" t="s">
        <v>3179</v>
      </c>
      <c r="B103" s="5033"/>
      <c r="C103" s="5033"/>
      <c r="D103" s="5033"/>
      <c r="E103" s="5033"/>
      <c r="F103" s="5033"/>
      <c r="G103" s="5033"/>
      <c r="H103" s="5033"/>
      <c r="I103" s="5033"/>
      <c r="J103" s="5033"/>
      <c r="K103" s="2686"/>
      <c r="L103" s="2686"/>
      <c r="M103" s="2686"/>
      <c r="N103" s="2686"/>
    </row>
    <row r="104" spans="1:14">
      <c r="A104" s="5034" t="s">
        <v>3180</v>
      </c>
      <c r="B104" s="5034" t="s">
        <v>3181</v>
      </c>
      <c r="C104" s="4590" t="s">
        <v>3182</v>
      </c>
      <c r="D104" s="4591"/>
      <c r="E104" s="4591"/>
      <c r="F104" s="4591"/>
      <c r="G104" s="4591"/>
      <c r="H104" s="4591"/>
      <c r="I104" s="4591"/>
      <c r="J104" s="4591"/>
      <c r="K104" s="4591"/>
      <c r="L104" s="4591"/>
      <c r="M104" s="4591"/>
      <c r="N104" s="4592"/>
    </row>
    <row r="105" spans="1:14">
      <c r="A105" s="5034"/>
      <c r="B105" s="5034"/>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4"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5"/>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5"/>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5"/>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5"/>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5"/>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6"/>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7" t="s">
        <v>3196</v>
      </c>
      <c r="B113" s="5027"/>
      <c r="C113" s="5027"/>
      <c r="D113" s="5027"/>
      <c r="E113" s="5027"/>
      <c r="F113" s="5027"/>
      <c r="G113" s="5027"/>
      <c r="H113" s="5027"/>
      <c r="I113" s="5027"/>
      <c r="J113" s="5027"/>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2.5</v>
      </c>
      <c r="C116" s="4585" t="s">
        <v>3198</v>
      </c>
      <c r="D116" s="4589">
        <f>SUMPRODUCT((A118:A122=F116)*(B117:M117=H116)*B118:M122)</f>
        <v>0.96499999999999997</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0.96930000000000005</v>
      </c>
      <c r="C118" s="4576">
        <f>B118</f>
        <v>0.96930000000000005</v>
      </c>
      <c r="D118" s="4576">
        <f>ROUND(0.949-0.014*B116,4)</f>
        <v>0.91400000000000003</v>
      </c>
      <c r="E118" s="4576">
        <f>D118</f>
        <v>0.91400000000000003</v>
      </c>
      <c r="F118" s="4576">
        <f>E118</f>
        <v>0.91400000000000003</v>
      </c>
      <c r="G118" s="4576">
        <f>F118</f>
        <v>0.91400000000000003</v>
      </c>
      <c r="H118" s="4576">
        <f>G118</f>
        <v>0.91400000000000003</v>
      </c>
      <c r="I118" s="4576">
        <f>ROUND(0.8486-0.018*B116,4)</f>
        <v>0.80359999999999998</v>
      </c>
      <c r="J118" s="4576">
        <f t="shared" ref="J118:M122" si="35">I118</f>
        <v>0.80359999999999998</v>
      </c>
      <c r="K118" s="4576">
        <f t="shared" si="35"/>
        <v>0.80359999999999998</v>
      </c>
      <c r="L118" s="4576">
        <f t="shared" si="35"/>
        <v>0.80359999999999998</v>
      </c>
      <c r="M118" s="4577">
        <f t="shared" si="35"/>
        <v>0.80359999999999998</v>
      </c>
      <c r="N118" s="2689"/>
    </row>
    <row r="119" spans="1:14">
      <c r="A119" s="2692" t="s">
        <v>3214</v>
      </c>
      <c r="B119" s="4576">
        <f>ROUND(0.993-0.0112*B116,4)</f>
        <v>0.96499999999999997</v>
      </c>
      <c r="C119" s="4576">
        <f>B119</f>
        <v>0.96499999999999997</v>
      </c>
      <c r="D119" s="4576">
        <f>ROUND(0.9415-0.0142*B116,4)</f>
        <v>0.90600000000000003</v>
      </c>
      <c r="E119" s="4576">
        <f t="shared" ref="E119:H120" si="36">D119</f>
        <v>0.90600000000000003</v>
      </c>
      <c r="F119" s="4576">
        <f t="shared" si="36"/>
        <v>0.90600000000000003</v>
      </c>
      <c r="G119" s="4576">
        <f t="shared" si="36"/>
        <v>0.90600000000000003</v>
      </c>
      <c r="H119" s="4576">
        <f t="shared" si="36"/>
        <v>0.90600000000000003</v>
      </c>
      <c r="I119" s="4576">
        <f>ROUND(0.838-0.0182*B116,4)</f>
        <v>0.79249999999999998</v>
      </c>
      <c r="J119" s="4576">
        <f t="shared" si="35"/>
        <v>0.79249999999999998</v>
      </c>
      <c r="K119" s="4576">
        <f t="shared" si="35"/>
        <v>0.79249999999999998</v>
      </c>
      <c r="L119" s="4576">
        <f t="shared" si="35"/>
        <v>0.79249999999999998</v>
      </c>
      <c r="M119" s="4577">
        <f t="shared" si="35"/>
        <v>0.79249999999999998</v>
      </c>
      <c r="N119" s="2689"/>
    </row>
    <row r="120" spans="1:14">
      <c r="A120" s="2692" t="s">
        <v>3215</v>
      </c>
      <c r="B120" s="4576">
        <f>ROUND(0.9448-0.0115*B116,4)</f>
        <v>0.91610000000000003</v>
      </c>
      <c r="C120" s="4576">
        <f>B120</f>
        <v>0.91610000000000003</v>
      </c>
      <c r="D120" s="4576">
        <f>ROUND(0.937-0.0145*B116,4)</f>
        <v>0.90080000000000005</v>
      </c>
      <c r="E120" s="4576">
        <f t="shared" si="36"/>
        <v>0.90080000000000005</v>
      </c>
      <c r="F120" s="4576">
        <f t="shared" si="36"/>
        <v>0.90080000000000005</v>
      </c>
      <c r="G120" s="4576">
        <f t="shared" si="36"/>
        <v>0.90080000000000005</v>
      </c>
      <c r="H120" s="4576">
        <f t="shared" si="36"/>
        <v>0.90080000000000005</v>
      </c>
      <c r="I120" s="4576">
        <f>ROUND(0.7965-0.0185*B116,4)</f>
        <v>0.75029999999999997</v>
      </c>
      <c r="J120" s="4576">
        <f t="shared" si="35"/>
        <v>0.75029999999999997</v>
      </c>
      <c r="K120" s="4576">
        <f t="shared" si="35"/>
        <v>0.75029999999999997</v>
      </c>
      <c r="L120" s="4576">
        <f t="shared" si="35"/>
        <v>0.75029999999999997</v>
      </c>
      <c r="M120" s="4577">
        <f t="shared" si="35"/>
        <v>0.75029999999999997</v>
      </c>
      <c r="N120" s="2689"/>
    </row>
    <row r="121" spans="1:14">
      <c r="A121" s="2692" t="s">
        <v>3216</v>
      </c>
      <c r="B121" s="4576">
        <f>ROUND(0.7836-0.012*B116,4)</f>
        <v>0.75360000000000005</v>
      </c>
      <c r="C121" s="4576">
        <f>B121</f>
        <v>0.75360000000000005</v>
      </c>
      <c r="D121" s="4576">
        <f>ROUND(0.753-0.015*B116,4)</f>
        <v>0.71550000000000002</v>
      </c>
      <c r="E121" s="4576">
        <f>D121</f>
        <v>0.71550000000000002</v>
      </c>
      <c r="F121" s="4576">
        <f>E121</f>
        <v>0.71550000000000002</v>
      </c>
      <c r="G121" s="4576">
        <f>ROUND(0.6612-0.018*B116,4)</f>
        <v>0.61619999999999997</v>
      </c>
      <c r="H121" s="4576">
        <f>G121</f>
        <v>0.61619999999999997</v>
      </c>
      <c r="I121" s="4576">
        <f>ROUND(0.5905-0.019*B116,4)</f>
        <v>0.54300000000000004</v>
      </c>
      <c r="J121" s="4576">
        <f t="shared" si="35"/>
        <v>0.54300000000000004</v>
      </c>
      <c r="K121" s="4576">
        <f t="shared" si="35"/>
        <v>0.54300000000000004</v>
      </c>
      <c r="L121" s="4576">
        <f t="shared" si="35"/>
        <v>0.54300000000000004</v>
      </c>
      <c r="M121" s="4577">
        <f t="shared" si="35"/>
        <v>0.54300000000000004</v>
      </c>
      <c r="N121" s="2689"/>
    </row>
    <row r="122" spans="1:14" ht="13.8" thickBot="1">
      <c r="A122" s="4583" t="s">
        <v>2499</v>
      </c>
      <c r="B122" s="4578">
        <f>ROUND(0.9404-0.0106*B116,4)</f>
        <v>0.91390000000000005</v>
      </c>
      <c r="C122" s="4578">
        <f>B122</f>
        <v>0.91390000000000005</v>
      </c>
      <c r="D122" s="4578">
        <f>ROUND(0.8955-0.0135*B116,4)</f>
        <v>0.86180000000000001</v>
      </c>
      <c r="E122" s="4578">
        <f t="shared" ref="E122:H122" si="37">D122</f>
        <v>0.86180000000000001</v>
      </c>
      <c r="F122" s="4578">
        <f t="shared" si="37"/>
        <v>0.86180000000000001</v>
      </c>
      <c r="G122" s="4578">
        <f t="shared" si="37"/>
        <v>0.86180000000000001</v>
      </c>
      <c r="H122" s="4578">
        <f t="shared" si="37"/>
        <v>0.86180000000000001</v>
      </c>
      <c r="I122" s="4578">
        <f>ROUND(0.7632-0.0166*B116,4)</f>
        <v>0.72170000000000001</v>
      </c>
      <c r="J122" s="4578">
        <f t="shared" si="35"/>
        <v>0.72170000000000001</v>
      </c>
      <c r="K122" s="4578">
        <f t="shared" si="35"/>
        <v>0.72170000000000001</v>
      </c>
      <c r="L122" s="4578">
        <f t="shared" si="35"/>
        <v>0.72170000000000001</v>
      </c>
      <c r="M122" s="4579">
        <f t="shared" si="35"/>
        <v>0.72170000000000001</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881" t="s">
        <v>1587</v>
      </c>
      <c r="Q7" s="4911"/>
      <c r="R7" s="4078" t="s">
        <v>13</v>
      </c>
      <c r="S7" s="4081">
        <f t="shared" ref="S7:S14" si="0">F7</f>
        <v>0</v>
      </c>
      <c r="T7" s="4078" t="s">
        <v>13</v>
      </c>
      <c r="U7" s="4081">
        <f t="shared" ref="U7:U14" si="1">H7</f>
        <v>0</v>
      </c>
      <c r="V7" s="4078" t="s">
        <v>13</v>
      </c>
      <c r="W7" s="4081">
        <f t="shared" ref="W7:W14"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913"/>
      <c r="Q15" s="959"/>
      <c r="R15" s="4079"/>
      <c r="S15" s="4082"/>
      <c r="T15" s="4079"/>
      <c r="U15" s="4082"/>
      <c r="V15" s="4079"/>
      <c r="W15" s="4082"/>
      <c r="X15" s="962"/>
      <c r="Y15" s="4913"/>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913"/>
      <c r="Q17" s="959"/>
      <c r="R17" s="4079"/>
      <c r="S17" s="4082"/>
      <c r="T17" s="4079"/>
      <c r="U17" s="4082"/>
      <c r="V17" s="4079"/>
      <c r="W17" s="4082"/>
      <c r="X17" s="962"/>
      <c r="Y17" s="4913"/>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913"/>
      <c r="Q19" s="959"/>
      <c r="R19" s="4079"/>
      <c r="S19" s="4082"/>
      <c r="T19" s="4079"/>
      <c r="U19" s="4082"/>
      <c r="V19" s="4079"/>
      <c r="W19" s="4082"/>
      <c r="X19" s="962"/>
      <c r="Y19" s="4913"/>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913"/>
      <c r="Q21" s="959"/>
      <c r="R21" s="4079"/>
      <c r="S21" s="4082"/>
      <c r="T21" s="4079"/>
      <c r="U21" s="4082"/>
      <c r="V21" s="4079"/>
      <c r="W21" s="4082"/>
      <c r="X21" s="962"/>
      <c r="Y21" s="4913"/>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913"/>
      <c r="Q23" s="959">
        <f>B23</f>
        <v>111</v>
      </c>
      <c r="R23" s="4079" t="s">
        <v>13</v>
      </c>
      <c r="S23" s="4082">
        <f>F23</f>
        <v>100</v>
      </c>
      <c r="T23" s="4079" t="s">
        <v>13</v>
      </c>
      <c r="U23" s="4082">
        <f>H23</f>
        <v>100</v>
      </c>
      <c r="V23" s="4079" t="s">
        <v>13</v>
      </c>
      <c r="W23" s="4082">
        <f>J23</f>
        <v>100</v>
      </c>
      <c r="X23" s="962"/>
      <c r="Y23" s="4913"/>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913"/>
      <c r="Q24" s="959">
        <f t="shared" ref="Q24:Q34" si="11">B24</f>
        <v>111</v>
      </c>
      <c r="R24" s="4079" t="s">
        <v>13</v>
      </c>
      <c r="S24" s="4082">
        <f>F24</f>
        <v>100</v>
      </c>
      <c r="T24" s="4079" t="s">
        <v>13</v>
      </c>
      <c r="U24" s="4082">
        <f>H24</f>
        <v>100</v>
      </c>
      <c r="V24" s="4079" t="s">
        <v>13</v>
      </c>
      <c r="W24" s="4082">
        <f>J24</f>
        <v>100</v>
      </c>
      <c r="X24" s="962"/>
      <c r="Y24" s="4913"/>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913"/>
      <c r="Q25" s="951">
        <f t="shared" si="11"/>
        <v>111</v>
      </c>
      <c r="R25" s="4078" t="s">
        <v>13</v>
      </c>
      <c r="S25" s="4081">
        <f>F25</f>
        <v>100</v>
      </c>
      <c r="T25" s="4078" t="s">
        <v>13</v>
      </c>
      <c r="U25" s="4081">
        <f>H25</f>
        <v>100</v>
      </c>
      <c r="V25" s="4078" t="s">
        <v>13</v>
      </c>
      <c r="W25" s="4081">
        <f>J25</f>
        <v>100</v>
      </c>
      <c r="X25" s="503"/>
      <c r="Y25" s="4913"/>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914"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915"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915"/>
      <c r="Q27" s="505" t="str">
        <f t="shared" si="11"/>
        <v>成新率</v>
      </c>
      <c r="R27" s="4080" t="s">
        <v>13</v>
      </c>
      <c r="S27" s="4083" t="e">
        <f t="shared" si="12"/>
        <v>#N/A</v>
      </c>
      <c r="T27" s="4080" t="s">
        <v>13</v>
      </c>
      <c r="U27" s="4083" t="e">
        <f t="shared" si="13"/>
        <v>#N/A</v>
      </c>
      <c r="V27" s="4080" t="s">
        <v>13</v>
      </c>
      <c r="W27" s="4083" t="e">
        <f t="shared" si="14"/>
        <v>#N/A</v>
      </c>
      <c r="X27" s="506"/>
      <c r="Y27" s="4915"/>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915"/>
      <c r="Q28" s="959" t="str">
        <f t="shared" si="11"/>
        <v>物业等级</v>
      </c>
      <c r="R28" s="4079" t="s">
        <v>13</v>
      </c>
      <c r="S28" s="4082">
        <f t="shared" si="12"/>
        <v>100</v>
      </c>
      <c r="T28" s="4079" t="s">
        <v>13</v>
      </c>
      <c r="U28" s="4082">
        <f t="shared" si="13"/>
        <v>100</v>
      </c>
      <c r="V28" s="4079" t="s">
        <v>13</v>
      </c>
      <c r="W28" s="4082">
        <f t="shared" si="14"/>
        <v>100</v>
      </c>
      <c r="X28" s="962"/>
      <c r="Y28" s="4915"/>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915"/>
      <c r="Q29" s="959" t="str">
        <f t="shared" si="11"/>
        <v>有无电梯</v>
      </c>
      <c r="R29" s="4079" t="s">
        <v>13</v>
      </c>
      <c r="S29" s="4082">
        <f t="shared" si="12"/>
        <v>100</v>
      </c>
      <c r="T29" s="4079" t="s">
        <v>13</v>
      </c>
      <c r="U29" s="4082">
        <f t="shared" si="13"/>
        <v>100</v>
      </c>
      <c r="V29" s="4079" t="s">
        <v>13</v>
      </c>
      <c r="W29" s="4082">
        <f t="shared" si="14"/>
        <v>100</v>
      </c>
      <c r="X29" s="962"/>
      <c r="Y29" s="4915"/>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915"/>
      <c r="Q30" s="959" t="str">
        <f t="shared" si="11"/>
        <v>建筑面积</v>
      </c>
      <c r="R30" s="4079" t="s">
        <v>13</v>
      </c>
      <c r="S30" s="4082" t="e">
        <f t="shared" si="12"/>
        <v>#N/A</v>
      </c>
      <c r="T30" s="4079" t="s">
        <v>13</v>
      </c>
      <c r="U30" s="4082" t="e">
        <f t="shared" si="13"/>
        <v>#N/A</v>
      </c>
      <c r="V30" s="4079" t="s">
        <v>13</v>
      </c>
      <c r="W30" s="4082" t="e">
        <f t="shared" si="14"/>
        <v>#N/A</v>
      </c>
      <c r="X30" s="962"/>
      <c r="Y30" s="4915"/>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915"/>
      <c r="Q31" s="951" t="str">
        <f t="shared" si="11"/>
        <v>是否封闭</v>
      </c>
      <c r="R31" s="4078" t="s">
        <v>13</v>
      </c>
      <c r="S31" s="4081">
        <f t="shared" si="12"/>
        <v>100</v>
      </c>
      <c r="T31" s="4078" t="s">
        <v>13</v>
      </c>
      <c r="U31" s="4081">
        <f t="shared" si="13"/>
        <v>100</v>
      </c>
      <c r="V31" s="4078" t="s">
        <v>13</v>
      </c>
      <c r="W31" s="4081">
        <f t="shared" si="14"/>
        <v>100</v>
      </c>
      <c r="X31" s="503"/>
      <c r="Y31" s="4915"/>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915" t="s">
        <v>1603</v>
      </c>
      <c r="Q32" s="959">
        <f t="shared" si="11"/>
        <v>111</v>
      </c>
      <c r="R32" s="4079" t="s">
        <v>13</v>
      </c>
      <c r="S32" s="4082">
        <f t="shared" si="12"/>
        <v>100</v>
      </c>
      <c r="T32" s="4079" t="s">
        <v>13</v>
      </c>
      <c r="U32" s="4082">
        <f t="shared" si="13"/>
        <v>100</v>
      </c>
      <c r="V32" s="4079" t="s">
        <v>13</v>
      </c>
      <c r="W32" s="4082">
        <f t="shared" si="14"/>
        <v>100</v>
      </c>
      <c r="X32" s="962"/>
      <c r="Y32" s="4915"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915"/>
      <c r="Q33" s="959">
        <f t="shared" si="11"/>
        <v>111</v>
      </c>
      <c r="R33" s="4079" t="s">
        <v>13</v>
      </c>
      <c r="S33" s="4082">
        <f t="shared" si="12"/>
        <v>100</v>
      </c>
      <c r="T33" s="4079" t="s">
        <v>13</v>
      </c>
      <c r="U33" s="4082">
        <f t="shared" si="13"/>
        <v>100</v>
      </c>
      <c r="V33" s="4079" t="s">
        <v>13</v>
      </c>
      <c r="W33" s="4082">
        <f t="shared" si="14"/>
        <v>100</v>
      </c>
      <c r="X33" s="962"/>
      <c r="Y33" s="4915"/>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915"/>
      <c r="Q34" s="959">
        <f t="shared" si="11"/>
        <v>111</v>
      </c>
      <c r="R34" s="4079" t="s">
        <v>13</v>
      </c>
      <c r="S34" s="4082">
        <f t="shared" si="12"/>
        <v>100</v>
      </c>
      <c r="T34" s="4079" t="s">
        <v>13</v>
      </c>
      <c r="U34" s="4082">
        <f t="shared" si="13"/>
        <v>100</v>
      </c>
      <c r="V34" s="4079" t="s">
        <v>13</v>
      </c>
      <c r="W34" s="4082">
        <f t="shared" si="14"/>
        <v>100</v>
      </c>
      <c r="X34" s="962"/>
      <c r="Y34" s="4915"/>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96" t="str">
        <f>A35</f>
        <v>成交单价（元/平方米）</v>
      </c>
      <c r="Q35" s="4896"/>
      <c r="R35" s="4910">
        <f>E35</f>
        <v>0</v>
      </c>
      <c r="S35" s="4910"/>
      <c r="T35" s="4910">
        <f>G35</f>
        <v>0</v>
      </c>
      <c r="U35" s="4910"/>
      <c r="V35" s="4910">
        <f>I35</f>
        <v>0</v>
      </c>
      <c r="W35" s="4910"/>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96" t="str">
        <f>A36</f>
        <v>比较价值（元/平方米）</v>
      </c>
      <c r="Q36" s="4896"/>
      <c r="R36" s="4910" t="e">
        <f>IF(F1="售价",ROUND(PRODUCT(R35,AA7:AA34),0),ROUND(PRODUCT(R35,AA7:AA34),1))</f>
        <v>#DIV/0!</v>
      </c>
      <c r="S36" s="4910"/>
      <c r="T36" s="4910" t="e">
        <f>IF(F1="售价",ROUND(PRODUCT(T35,AB7:AB34),0),ROUND(PRODUCT(T35,AB7:AB34),1))</f>
        <v>#DIV/0!</v>
      </c>
      <c r="U36" s="4910"/>
      <c r="V36" s="4910" t="e">
        <f>IF(F1="售价",ROUND(PRODUCT(V35,AC7:AC34),0),ROUND(PRODUCT(V35,AC7:AC34),1))</f>
        <v>#DIV/0!</v>
      </c>
      <c r="W36" s="4910"/>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916" t="str">
        <f>A37</f>
        <v>估价对象XX用房的比较价值（楼面单价，元/平方米）</v>
      </c>
      <c r="Q37" s="4917"/>
      <c r="R37" s="4918" t="e">
        <f>IF(F1="售价",ROUND(IF(D36="简单平均",AVERAGE(R36:W36),R36*F36+T36*H36+V36*J36),0),ROUND(IF(D36="简单平均",AVERAGE(R36:V36),R36*F36+T36*H36+V36*J36),1))</f>
        <v>#DIV/0!</v>
      </c>
      <c r="S37" s="4918"/>
      <c r="T37" s="4918"/>
      <c r="U37" s="4918"/>
      <c r="V37" s="4918"/>
      <c r="W37" s="4918"/>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2" t="s">
        <v>1677</v>
      </c>
      <c r="D6" s="4973"/>
      <c r="E6" s="4974" t="s">
        <v>1678</v>
      </c>
      <c r="F6" s="4975"/>
      <c r="G6" s="4972" t="s">
        <v>1679</v>
      </c>
      <c r="H6" s="4973"/>
      <c r="I6" s="4972" t="s">
        <v>1680</v>
      </c>
      <c r="J6" s="4973"/>
      <c r="K6" s="3104"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30">
      <c r="A7" s="244"/>
      <c r="B7" s="245"/>
      <c r="C7" s="4965" t="s">
        <v>1580</v>
      </c>
      <c r="D7" s="4966"/>
      <c r="E7" s="4963" t="s">
        <v>1581</v>
      </c>
      <c r="F7" s="4964"/>
      <c r="G7" s="4965" t="s">
        <v>1582</v>
      </c>
      <c r="H7" s="4966"/>
      <c r="I7" s="4965" t="s">
        <v>1583</v>
      </c>
      <c r="J7" s="4966"/>
      <c r="K7" s="3104"/>
      <c r="L7" s="2145"/>
      <c r="M7" s="2146"/>
      <c r="N7" s="2146"/>
      <c r="O7" s="2146"/>
      <c r="P7" s="4978"/>
      <c r="Q7" s="4979"/>
      <c r="R7" s="4961"/>
      <c r="S7" s="4962"/>
      <c r="T7" s="4961"/>
      <c r="U7" s="4962"/>
      <c r="V7" s="4984"/>
      <c r="W7" s="4984"/>
      <c r="X7" s="962"/>
      <c r="Y7" s="4885"/>
      <c r="Z7" s="4886"/>
      <c r="AA7" s="4879"/>
      <c r="AB7" s="4879"/>
      <c r="AC7" s="4879"/>
    </row>
    <row r="8" spans="1:30" ht="15" thickBot="1">
      <c r="A8" s="246"/>
      <c r="B8" s="247"/>
      <c r="C8" s="4967" t="s">
        <v>1584</v>
      </c>
      <c r="D8" s="4968"/>
      <c r="E8" s="4969" t="s">
        <v>1584</v>
      </c>
      <c r="F8" s="4970"/>
      <c r="G8" s="4967" t="s">
        <v>1584</v>
      </c>
      <c r="H8" s="4968"/>
      <c r="I8" s="4967" t="s">
        <v>1584</v>
      </c>
      <c r="J8" s="4968"/>
      <c r="K8" s="3104" t="s">
        <v>1585</v>
      </c>
      <c r="L8" s="2145"/>
      <c r="M8" s="2146"/>
      <c r="N8" s="2146"/>
      <c r="O8" s="2146"/>
      <c r="P8" s="4980"/>
      <c r="Q8" s="4981"/>
      <c r="R8" s="4961"/>
      <c r="S8" s="4962"/>
      <c r="T8" s="4982"/>
      <c r="U8" s="4983"/>
      <c r="V8" s="4984"/>
      <c r="W8" s="4984"/>
      <c r="X8" s="962"/>
      <c r="Y8" s="4908"/>
      <c r="Z8" s="4909"/>
      <c r="AA8" s="4880"/>
      <c r="AB8" s="4880"/>
      <c r="AC8" s="4880"/>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85" t="s">
        <v>1590</v>
      </c>
      <c r="Q10" s="4986"/>
      <c r="R10" s="4070" t="s">
        <v>13</v>
      </c>
      <c r="S10" s="4073">
        <f t="shared" si="0"/>
        <v>100</v>
      </c>
      <c r="T10" s="4070" t="s">
        <v>13</v>
      </c>
      <c r="U10" s="4073">
        <f t="shared" si="1"/>
        <v>100</v>
      </c>
      <c r="V10" s="4070" t="s">
        <v>13</v>
      </c>
      <c r="W10" s="4073">
        <f t="shared" si="2"/>
        <v>100</v>
      </c>
      <c r="X10" s="503"/>
      <c r="Y10" s="4881" t="s">
        <v>1590</v>
      </c>
      <c r="Z10" s="4882"/>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91"/>
      <c r="Q13" s="3272" t="str">
        <f t="shared" si="6"/>
        <v>容积率</v>
      </c>
      <c r="R13" s="4070" t="s">
        <v>13</v>
      </c>
      <c r="S13" s="4073">
        <f t="shared" si="0"/>
        <v>100</v>
      </c>
      <c r="T13" s="4070" t="s">
        <v>13</v>
      </c>
      <c r="U13" s="4073">
        <f t="shared" si="1"/>
        <v>100</v>
      </c>
      <c r="V13" s="4070" t="s">
        <v>13</v>
      </c>
      <c r="W13" s="4073">
        <f t="shared" si="2"/>
        <v>100</v>
      </c>
      <c r="X13" s="503"/>
      <c r="Y13" s="4897"/>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91"/>
      <c r="Q14" s="3272" t="str">
        <f t="shared" si="6"/>
        <v>配建</v>
      </c>
      <c r="R14" s="4070" t="s">
        <v>13</v>
      </c>
      <c r="S14" s="4073">
        <f t="shared" si="0"/>
        <v>100</v>
      </c>
      <c r="T14" s="4070" t="s">
        <v>13</v>
      </c>
      <c r="U14" s="4073">
        <f t="shared" si="1"/>
        <v>100</v>
      </c>
      <c r="V14" s="4070" t="s">
        <v>13</v>
      </c>
      <c r="W14" s="4073">
        <f t="shared" si="2"/>
        <v>100</v>
      </c>
      <c r="X14" s="503"/>
      <c r="Y14" s="4897"/>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9" t="s">
        <v>1598</v>
      </c>
      <c r="Q17" s="3275" t="str">
        <f t="shared" si="6"/>
        <v>居住社区成熟度</v>
      </c>
      <c r="R17" s="4071" t="s">
        <v>13</v>
      </c>
      <c r="S17" s="4074">
        <f t="shared" si="0"/>
        <v>100</v>
      </c>
      <c r="T17" s="4071" t="s">
        <v>13</v>
      </c>
      <c r="U17" s="4074">
        <f t="shared" si="1"/>
        <v>100</v>
      </c>
      <c r="V17" s="4071" t="s">
        <v>13</v>
      </c>
      <c r="W17" s="4074">
        <f t="shared" si="2"/>
        <v>100</v>
      </c>
      <c r="X17" s="962"/>
      <c r="Y17" s="4912"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0"/>
      <c r="Q18" s="3275"/>
      <c r="R18" s="4071"/>
      <c r="S18" s="4074"/>
      <c r="T18" s="4071"/>
      <c r="U18" s="4074"/>
      <c r="V18" s="4071"/>
      <c r="W18" s="4074"/>
      <c r="X18" s="962"/>
      <c r="Y18" s="4913"/>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0"/>
      <c r="Q19" s="3275" t="str">
        <f>B19</f>
        <v>商业繁华度</v>
      </c>
      <c r="R19" s="4071" t="s">
        <v>13</v>
      </c>
      <c r="S19" s="4074">
        <f>F19</f>
        <v>100</v>
      </c>
      <c r="T19" s="4071" t="s">
        <v>13</v>
      </c>
      <c r="U19" s="4074">
        <f>H19</f>
        <v>100</v>
      </c>
      <c r="V19" s="4071" t="s">
        <v>13</v>
      </c>
      <c r="W19" s="4074">
        <f>J19</f>
        <v>100</v>
      </c>
      <c r="X19" s="962"/>
      <c r="Y19" s="4913"/>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0"/>
      <c r="Q20" s="3275"/>
      <c r="R20" s="4071"/>
      <c r="S20" s="4074"/>
      <c r="T20" s="4071"/>
      <c r="U20" s="4074"/>
      <c r="V20" s="4071"/>
      <c r="W20" s="4074"/>
      <c r="X20" s="962"/>
      <c r="Y20" s="4913"/>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0"/>
      <c r="Q21" s="3275" t="str">
        <f>B21</f>
        <v>办公集聚程度</v>
      </c>
      <c r="R21" s="4071" t="s">
        <v>13</v>
      </c>
      <c r="S21" s="4074">
        <f>F21</f>
        <v>100</v>
      </c>
      <c r="T21" s="4071" t="s">
        <v>13</v>
      </c>
      <c r="U21" s="4074">
        <f>H21</f>
        <v>100</v>
      </c>
      <c r="V21" s="4071" t="s">
        <v>13</v>
      </c>
      <c r="W21" s="4074">
        <f>J21</f>
        <v>100</v>
      </c>
      <c r="X21" s="962"/>
      <c r="Y21" s="4913"/>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0"/>
      <c r="Q22" s="3275"/>
      <c r="R22" s="4071"/>
      <c r="S22" s="4074"/>
      <c r="T22" s="4071"/>
      <c r="U22" s="4074"/>
      <c r="V22" s="4071"/>
      <c r="W22" s="4074"/>
      <c r="X22" s="962"/>
      <c r="Y22" s="4913"/>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0"/>
      <c r="Q23" s="3275" t="str">
        <f>B23</f>
        <v>交通便捷度</v>
      </c>
      <c r="R23" s="4071" t="s">
        <v>13</v>
      </c>
      <c r="S23" s="4074">
        <f>F23</f>
        <v>100</v>
      </c>
      <c r="T23" s="4071" t="s">
        <v>13</v>
      </c>
      <c r="U23" s="4074">
        <f>H23</f>
        <v>100</v>
      </c>
      <c r="V23" s="4071" t="s">
        <v>13</v>
      </c>
      <c r="W23" s="4074">
        <f>J23</f>
        <v>100</v>
      </c>
      <c r="X23" s="962"/>
      <c r="Y23" s="4913"/>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0"/>
      <c r="Q24" s="3275"/>
      <c r="R24" s="4071"/>
      <c r="S24" s="4074"/>
      <c r="T24" s="4071"/>
      <c r="U24" s="4074"/>
      <c r="V24" s="4071"/>
      <c r="W24" s="4074"/>
      <c r="X24" s="962"/>
      <c r="Y24" s="4913"/>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0"/>
      <c r="Q25" s="3275" t="str">
        <f t="shared" ref="Q25:Q39" si="8">B25</f>
        <v>区域土地利用方向</v>
      </c>
      <c r="R25" s="4071" t="s">
        <v>13</v>
      </c>
      <c r="S25" s="4074">
        <f>F25</f>
        <v>100</v>
      </c>
      <c r="T25" s="4071" t="s">
        <v>13</v>
      </c>
      <c r="U25" s="4074">
        <f>H25</f>
        <v>100</v>
      </c>
      <c r="V25" s="4071" t="s">
        <v>13</v>
      </c>
      <c r="W25" s="4074">
        <f>J25</f>
        <v>100</v>
      </c>
      <c r="X25" s="962"/>
      <c r="Y25" s="4913"/>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0"/>
      <c r="Q26" s="3275"/>
      <c r="R26" s="4071"/>
      <c r="S26" s="4074"/>
      <c r="T26" s="4071"/>
      <c r="U26" s="4074"/>
      <c r="V26" s="4071"/>
      <c r="W26" s="4074"/>
      <c r="X26" s="962"/>
      <c r="Y26" s="4913"/>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0"/>
      <c r="Q27" s="3275" t="str">
        <f t="shared" si="8"/>
        <v>自然及人文环境状况</v>
      </c>
      <c r="R27" s="4071" t="s">
        <v>13</v>
      </c>
      <c r="S27" s="4074">
        <f>F27</f>
        <v>100</v>
      </c>
      <c r="T27" s="4071" t="s">
        <v>13</v>
      </c>
      <c r="U27" s="4074">
        <f>H27</f>
        <v>100</v>
      </c>
      <c r="V27" s="4071" t="s">
        <v>13</v>
      </c>
      <c r="W27" s="4074">
        <f>J27</f>
        <v>100</v>
      </c>
      <c r="X27" s="962"/>
      <c r="Y27" s="4913"/>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0"/>
      <c r="Q28" s="3275"/>
      <c r="R28" s="4071"/>
      <c r="S28" s="4074"/>
      <c r="T28" s="4071"/>
      <c r="U28" s="4074"/>
      <c r="V28" s="4071"/>
      <c r="W28" s="4074"/>
      <c r="X28" s="962"/>
      <c r="Y28" s="4913"/>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0"/>
      <c r="Q29" s="3272" t="str">
        <f t="shared" si="8"/>
        <v>公共配套设施</v>
      </c>
      <c r="R29" s="4070" t="s">
        <v>13</v>
      </c>
      <c r="S29" s="4073">
        <f>F29</f>
        <v>100</v>
      </c>
      <c r="T29" s="4070" t="s">
        <v>13</v>
      </c>
      <c r="U29" s="4073">
        <f>H29</f>
        <v>100</v>
      </c>
      <c r="V29" s="4070" t="s">
        <v>13</v>
      </c>
      <c r="W29" s="4073">
        <f>J29</f>
        <v>100</v>
      </c>
      <c r="X29" s="503"/>
      <c r="Y29" s="4913"/>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0"/>
      <c r="Q30" s="3272"/>
      <c r="R30" s="4070"/>
      <c r="S30" s="4073"/>
      <c r="T30" s="4070"/>
      <c r="U30" s="4073"/>
      <c r="V30" s="4070"/>
      <c r="W30" s="4073"/>
      <c r="X30" s="503"/>
      <c r="Y30" s="4913"/>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0"/>
      <c r="Q31" s="3272" t="str">
        <f t="shared" ref="Q31" si="9">B31</f>
        <v>基础设施水平</v>
      </c>
      <c r="R31" s="4070" t="s">
        <v>13</v>
      </c>
      <c r="S31" s="4073">
        <f>F31</f>
        <v>100</v>
      </c>
      <c r="T31" s="4070" t="s">
        <v>13</v>
      </c>
      <c r="U31" s="4073">
        <f>H31</f>
        <v>100</v>
      </c>
      <c r="V31" s="4070" t="s">
        <v>13</v>
      </c>
      <c r="W31" s="4073">
        <f>J31</f>
        <v>100</v>
      </c>
      <c r="X31" s="503"/>
      <c r="Y31" s="4913"/>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0"/>
      <c r="Q32" s="3272"/>
      <c r="R32" s="4070"/>
      <c r="S32" s="4073"/>
      <c r="T32" s="4070"/>
      <c r="U32" s="4073"/>
      <c r="V32" s="4070"/>
      <c r="W32" s="4073"/>
      <c r="X32" s="503"/>
      <c r="Y32" s="4913"/>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0"/>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913"/>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0"/>
      <c r="Q34" s="3275" t="str">
        <f t="shared" si="8"/>
        <v>毗邻道路的类型与等级</v>
      </c>
      <c r="R34" s="4071" t="s">
        <v>13</v>
      </c>
      <c r="S34" s="4074">
        <f t="shared" si="10"/>
        <v>100</v>
      </c>
      <c r="T34" s="4071" t="s">
        <v>13</v>
      </c>
      <c r="U34" s="4074">
        <f t="shared" si="11"/>
        <v>100</v>
      </c>
      <c r="V34" s="4071" t="s">
        <v>13</v>
      </c>
      <c r="W34" s="4074">
        <f t="shared" si="12"/>
        <v>100</v>
      </c>
      <c r="X34" s="962"/>
      <c r="Y34" s="4913"/>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0"/>
      <c r="Q35" s="3275"/>
      <c r="R35" s="4071"/>
      <c r="S35" s="4074"/>
      <c r="T35" s="4071"/>
      <c r="U35" s="4074"/>
      <c r="V35" s="4071"/>
      <c r="W35" s="4074"/>
      <c r="X35" s="962"/>
      <c r="Y35" s="4913"/>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0"/>
      <c r="Q36" s="3275" t="str">
        <f t="shared" si="8"/>
        <v>土地级别</v>
      </c>
      <c r="R36" s="4071" t="s">
        <v>13</v>
      </c>
      <c r="S36" s="4074">
        <f t="shared" si="10"/>
        <v>100</v>
      </c>
      <c r="T36" s="4071" t="s">
        <v>13</v>
      </c>
      <c r="U36" s="4074">
        <f t="shared" si="11"/>
        <v>100</v>
      </c>
      <c r="V36" s="4071" t="s">
        <v>13</v>
      </c>
      <c r="W36" s="4074">
        <f t="shared" si="12"/>
        <v>100</v>
      </c>
      <c r="X36" s="962"/>
      <c r="Y36" s="4913"/>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0"/>
      <c r="Q37" s="3275">
        <f t="shared" si="8"/>
        <v>111</v>
      </c>
      <c r="R37" s="4071" t="s">
        <v>13</v>
      </c>
      <c r="S37" s="4074">
        <f t="shared" si="10"/>
        <v>100</v>
      </c>
      <c r="T37" s="4071" t="s">
        <v>13</v>
      </c>
      <c r="U37" s="4074">
        <f t="shared" si="11"/>
        <v>100</v>
      </c>
      <c r="V37" s="4071" t="s">
        <v>13</v>
      </c>
      <c r="W37" s="4074">
        <f t="shared" si="12"/>
        <v>100</v>
      </c>
      <c r="X37" s="962"/>
      <c r="Y37" s="4913"/>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1" t="s">
        <v>1603</v>
      </c>
      <c r="Q38" s="3275">
        <f t="shared" si="8"/>
        <v>111</v>
      </c>
      <c r="R38" s="4071" t="s">
        <v>13</v>
      </c>
      <c r="S38" s="4074">
        <f t="shared" si="10"/>
        <v>100</v>
      </c>
      <c r="T38" s="4071" t="s">
        <v>13</v>
      </c>
      <c r="U38" s="4074">
        <f t="shared" si="11"/>
        <v>100</v>
      </c>
      <c r="V38" s="4071" t="s">
        <v>13</v>
      </c>
      <c r="W38" s="4074">
        <f t="shared" si="12"/>
        <v>100</v>
      </c>
      <c r="X38" s="962"/>
      <c r="Y38" s="4915"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2"/>
      <c r="Q39" s="3275">
        <f t="shared" si="8"/>
        <v>111</v>
      </c>
      <c r="R39" s="4072" t="s">
        <v>13</v>
      </c>
      <c r="S39" s="4075">
        <f t="shared" si="10"/>
        <v>100</v>
      </c>
      <c r="T39" s="4072" t="s">
        <v>13</v>
      </c>
      <c r="U39" s="4075">
        <f t="shared" si="11"/>
        <v>100</v>
      </c>
      <c r="V39" s="4072" t="s">
        <v>13</v>
      </c>
      <c r="W39" s="4075">
        <f t="shared" si="12"/>
        <v>100</v>
      </c>
      <c r="X39" s="506"/>
      <c r="Y39" s="4915"/>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2"/>
      <c r="Q40" s="3275" t="str">
        <f>B40</f>
        <v>宗地面积</v>
      </c>
      <c r="R40" s="4071" t="s">
        <v>13</v>
      </c>
      <c r="S40" s="4074" t="e">
        <f t="shared" si="10"/>
        <v>#N/A</v>
      </c>
      <c r="T40" s="4071" t="s">
        <v>13</v>
      </c>
      <c r="U40" s="4074" t="e">
        <f t="shared" si="11"/>
        <v>#N/A</v>
      </c>
      <c r="V40" s="4071" t="s">
        <v>13</v>
      </c>
      <c r="W40" s="4074" t="e">
        <f t="shared" si="12"/>
        <v>#N/A</v>
      </c>
      <c r="X40" s="962"/>
      <c r="Y40" s="4915"/>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2"/>
      <c r="Q41" s="3275" t="str">
        <f t="shared" ref="Q41:Q47" si="14">B41</f>
        <v>宗地形状</v>
      </c>
      <c r="R41" s="4071" t="s">
        <v>13</v>
      </c>
      <c r="S41" s="4074">
        <f t="shared" si="10"/>
        <v>100</v>
      </c>
      <c r="T41" s="4071" t="s">
        <v>13</v>
      </c>
      <c r="U41" s="4074">
        <f t="shared" si="11"/>
        <v>100</v>
      </c>
      <c r="V41" s="4071" t="s">
        <v>13</v>
      </c>
      <c r="W41" s="4074">
        <f t="shared" si="12"/>
        <v>100</v>
      </c>
      <c r="X41" s="962"/>
      <c r="Y41" s="4915"/>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2"/>
      <c r="Q42" s="3275" t="str">
        <f t="shared" si="14"/>
        <v>临街宽度及深度</v>
      </c>
      <c r="R42" s="4071" t="s">
        <v>13</v>
      </c>
      <c r="S42" s="4074">
        <f t="shared" si="10"/>
        <v>100</v>
      </c>
      <c r="T42" s="4071" t="s">
        <v>13</v>
      </c>
      <c r="U42" s="4074">
        <f t="shared" si="11"/>
        <v>100</v>
      </c>
      <c r="V42" s="4071" t="s">
        <v>13</v>
      </c>
      <c r="W42" s="4074">
        <f t="shared" si="12"/>
        <v>100</v>
      </c>
      <c r="X42" s="962"/>
      <c r="Y42" s="4915"/>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2"/>
      <c r="Q43" s="3275" t="str">
        <f t="shared" si="14"/>
        <v>宗地开发程度</v>
      </c>
      <c r="R43" s="4070" t="s">
        <v>13</v>
      </c>
      <c r="S43" s="4073">
        <f t="shared" si="10"/>
        <v>100</v>
      </c>
      <c r="T43" s="4070" t="s">
        <v>13</v>
      </c>
      <c r="U43" s="4073">
        <f t="shared" si="11"/>
        <v>100</v>
      </c>
      <c r="V43" s="4070" t="s">
        <v>13</v>
      </c>
      <c r="W43" s="4073">
        <f t="shared" si="12"/>
        <v>100</v>
      </c>
      <c r="X43" s="503"/>
      <c r="Y43" s="4915"/>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2" t="s">
        <v>1603</v>
      </c>
      <c r="Q44" s="3275" t="str">
        <f t="shared" si="14"/>
        <v>工程地质条件</v>
      </c>
      <c r="R44" s="4071" t="s">
        <v>13</v>
      </c>
      <c r="S44" s="4074">
        <f t="shared" si="10"/>
        <v>100</v>
      </c>
      <c r="T44" s="4071" t="s">
        <v>13</v>
      </c>
      <c r="U44" s="4074">
        <f t="shared" si="11"/>
        <v>100</v>
      </c>
      <c r="V44" s="4071" t="s">
        <v>13</v>
      </c>
      <c r="W44" s="4074">
        <f t="shared" si="12"/>
        <v>100</v>
      </c>
      <c r="X44" s="962"/>
      <c r="Y44" s="4915"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2"/>
      <c r="Q45" s="3275">
        <f t="shared" si="14"/>
        <v>111</v>
      </c>
      <c r="R45" s="4071" t="s">
        <v>13</v>
      </c>
      <c r="S45" s="4074">
        <f t="shared" si="10"/>
        <v>100</v>
      </c>
      <c r="T45" s="4071" t="s">
        <v>13</v>
      </c>
      <c r="U45" s="4074">
        <f t="shared" si="11"/>
        <v>100</v>
      </c>
      <c r="V45" s="4071" t="s">
        <v>13</v>
      </c>
      <c r="W45" s="4074">
        <f t="shared" si="12"/>
        <v>100</v>
      </c>
      <c r="X45" s="962"/>
      <c r="Y45" s="4915"/>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2"/>
      <c r="Q46" s="3275">
        <f t="shared" si="14"/>
        <v>111</v>
      </c>
      <c r="R46" s="4071" t="s">
        <v>13</v>
      </c>
      <c r="S46" s="4074">
        <f t="shared" si="10"/>
        <v>100</v>
      </c>
      <c r="T46" s="4071" t="s">
        <v>13</v>
      </c>
      <c r="U46" s="4074">
        <f t="shared" si="11"/>
        <v>100</v>
      </c>
      <c r="V46" s="4071" t="s">
        <v>13</v>
      </c>
      <c r="W46" s="4074">
        <f t="shared" si="12"/>
        <v>100</v>
      </c>
      <c r="X46" s="962"/>
      <c r="Y46" s="4915"/>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2"/>
      <c r="Q47" s="3275">
        <f t="shared" si="14"/>
        <v>111</v>
      </c>
      <c r="R47" s="4072" t="s">
        <v>13</v>
      </c>
      <c r="S47" s="4075">
        <f t="shared" si="10"/>
        <v>100</v>
      </c>
      <c r="T47" s="4072" t="s">
        <v>13</v>
      </c>
      <c r="U47" s="4075">
        <f t="shared" si="11"/>
        <v>100</v>
      </c>
      <c r="V47" s="4072" t="s">
        <v>13</v>
      </c>
      <c r="W47" s="4075">
        <f t="shared" si="12"/>
        <v>100</v>
      </c>
      <c r="X47" s="506"/>
      <c r="Y47" s="4915"/>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91" t="str">
        <f>A48</f>
        <v>成交单价</v>
      </c>
      <c r="Q48" s="4991"/>
      <c r="R48" s="4992">
        <f>E48</f>
        <v>0</v>
      </c>
      <c r="S48" s="4992"/>
      <c r="T48" s="4992">
        <f>G48</f>
        <v>0</v>
      </c>
      <c r="U48" s="4992"/>
      <c r="V48" s="4992">
        <f>I48</f>
        <v>0</v>
      </c>
      <c r="W48" s="4992"/>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91" t="str">
        <f>A49</f>
        <v>比较价值（元/平方米）</v>
      </c>
      <c r="Q49" s="4991"/>
      <c r="R49" s="4992" t="e">
        <f>ROUND(PRODUCT(R48,AA9:AA47),0)</f>
        <v>#DIV/0!</v>
      </c>
      <c r="S49" s="4992"/>
      <c r="T49" s="4992" t="e">
        <f>ROUND(PRODUCT(T48,AB9:AB47),0)</f>
        <v>#DIV/0!</v>
      </c>
      <c r="U49" s="4992"/>
      <c r="V49" s="4992" t="e">
        <f>ROUND(PRODUCT(V48,AC9:AC47),0)</f>
        <v>#DIV/0!</v>
      </c>
      <c r="W49" s="4992"/>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88" t="str">
        <f>A50</f>
        <v>估价对象XX用房的比较价值（楼面单价，元/平方米）</v>
      </c>
      <c r="Q50" s="4989"/>
      <c r="R50" s="4990" t="e">
        <f>ROUND(IF(D49="简单平均",AVERAGE(R49:W49),R49*F49+T49*H49+V49*J49),0)</f>
        <v>#DIV/0!</v>
      </c>
      <c r="S50" s="4990"/>
      <c r="T50" s="4990"/>
      <c r="U50" s="4990"/>
      <c r="V50" s="4990"/>
      <c r="W50" s="4990"/>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8" t="s">
        <v>1794</v>
      </c>
      <c r="H57" s="5039"/>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0"/>
      <c r="H58" s="4896"/>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2467.34</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2467.34</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2" t="s">
        <v>1677</v>
      </c>
      <c r="D6" s="4973"/>
      <c r="E6" s="4974" t="s">
        <v>1678</v>
      </c>
      <c r="F6" s="4975"/>
      <c r="G6" s="4972" t="s">
        <v>1679</v>
      </c>
      <c r="H6" s="4973"/>
      <c r="I6" s="4972" t="s">
        <v>1680</v>
      </c>
      <c r="J6" s="4973"/>
      <c r="K6" s="406"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29">
      <c r="A7" s="3344"/>
      <c r="B7" s="3409"/>
      <c r="C7" s="4965" t="s">
        <v>1580</v>
      </c>
      <c r="D7" s="4966"/>
      <c r="E7" s="4963" t="s">
        <v>1581</v>
      </c>
      <c r="F7" s="4964"/>
      <c r="G7" s="4965" t="s">
        <v>1582</v>
      </c>
      <c r="H7" s="4966"/>
      <c r="I7" s="4965" t="s">
        <v>1583</v>
      </c>
      <c r="J7" s="4966"/>
      <c r="K7" s="406"/>
      <c r="L7" s="2145"/>
      <c r="M7" s="2146"/>
      <c r="N7" s="2146"/>
      <c r="O7" s="2146"/>
      <c r="P7" s="4978"/>
      <c r="Q7" s="4979"/>
      <c r="R7" s="4961"/>
      <c r="S7" s="4962"/>
      <c r="T7" s="4961"/>
      <c r="U7" s="4962"/>
      <c r="V7" s="4984"/>
      <c r="W7" s="4984"/>
      <c r="X7" s="962"/>
      <c r="Y7" s="4885"/>
      <c r="Z7" s="4886"/>
      <c r="AA7" s="4879"/>
      <c r="AB7" s="4879"/>
      <c r="AC7" s="4879"/>
    </row>
    <row r="8" spans="1:29" ht="15" thickBot="1">
      <c r="A8" s="3410"/>
      <c r="B8" s="3411"/>
      <c r="C8" s="5041" t="s">
        <v>1826</v>
      </c>
      <c r="D8" s="5042"/>
      <c r="E8" s="5043" t="s">
        <v>1826</v>
      </c>
      <c r="F8" s="5044"/>
      <c r="G8" s="5041" t="s">
        <v>1826</v>
      </c>
      <c r="H8" s="5042"/>
      <c r="I8" s="5041" t="s">
        <v>1826</v>
      </c>
      <c r="J8" s="5042"/>
      <c r="K8" s="406" t="s">
        <v>1585</v>
      </c>
      <c r="L8" s="2145"/>
      <c r="M8" s="2146"/>
      <c r="N8" s="2146"/>
      <c r="O8" s="2146"/>
      <c r="P8" s="4980"/>
      <c r="Q8" s="4981"/>
      <c r="R8" s="4961"/>
      <c r="S8" s="4962"/>
      <c r="T8" s="4982"/>
      <c r="U8" s="4983"/>
      <c r="V8" s="4984"/>
      <c r="W8" s="4984"/>
      <c r="X8" s="962"/>
      <c r="Y8" s="4908"/>
      <c r="Z8" s="4909"/>
      <c r="AA8" s="4880"/>
      <c r="AB8" s="4880"/>
      <c r="AC8" s="4880"/>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85" t="s">
        <v>1590</v>
      </c>
      <c r="Q10" s="4986"/>
      <c r="R10" s="4070" t="s">
        <v>13</v>
      </c>
      <c r="S10" s="4073">
        <f t="shared" si="0"/>
        <v>0</v>
      </c>
      <c r="T10" s="4070" t="s">
        <v>13</v>
      </c>
      <c r="U10" s="4073">
        <f t="shared" si="1"/>
        <v>0</v>
      </c>
      <c r="V10" s="4070" t="s">
        <v>13</v>
      </c>
      <c r="W10" s="4073">
        <f t="shared" si="2"/>
        <v>0</v>
      </c>
      <c r="X10" s="503"/>
      <c r="Y10" s="4881" t="s">
        <v>1590</v>
      </c>
      <c r="Z10" s="4882"/>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91"/>
      <c r="Q13" s="3272" t="str">
        <f t="shared" si="6"/>
        <v>容积率</v>
      </c>
      <c r="R13" s="4070" t="s">
        <v>13</v>
      </c>
      <c r="S13" s="4073" t="e">
        <f t="shared" si="0"/>
        <v>#N/A</v>
      </c>
      <c r="T13" s="4070" t="s">
        <v>13</v>
      </c>
      <c r="U13" s="4073" t="e">
        <f t="shared" si="1"/>
        <v>#N/A</v>
      </c>
      <c r="V13" s="4070" t="s">
        <v>13</v>
      </c>
      <c r="W13" s="4073" t="e">
        <f t="shared" si="2"/>
        <v>#N/A</v>
      </c>
      <c r="X13" s="503"/>
      <c r="Y13" s="4897"/>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9" t="s">
        <v>1598</v>
      </c>
      <c r="Q17" s="3275" t="str">
        <f t="shared" si="6"/>
        <v>产业集聚程度</v>
      </c>
      <c r="R17" s="4071" t="s">
        <v>13</v>
      </c>
      <c r="S17" s="4074">
        <f t="shared" si="0"/>
        <v>100</v>
      </c>
      <c r="T17" s="4071" t="s">
        <v>13</v>
      </c>
      <c r="U17" s="4074">
        <f t="shared" si="1"/>
        <v>100</v>
      </c>
      <c r="V17" s="4071" t="s">
        <v>13</v>
      </c>
      <c r="W17" s="4074">
        <f t="shared" si="2"/>
        <v>100</v>
      </c>
      <c r="X17" s="962"/>
      <c r="Y17" s="4912"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0"/>
      <c r="Q18" s="3275"/>
      <c r="R18" s="4071"/>
      <c r="S18" s="4074"/>
      <c r="T18" s="4071"/>
      <c r="U18" s="4074"/>
      <c r="V18" s="4071"/>
      <c r="W18" s="4074"/>
      <c r="X18" s="962"/>
      <c r="Y18" s="4913"/>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0"/>
      <c r="Q19" s="3275" t="str">
        <f>B19</f>
        <v>交通便捷度</v>
      </c>
      <c r="R19" s="4071" t="s">
        <v>13</v>
      </c>
      <c r="S19" s="4074">
        <f>F19</f>
        <v>100</v>
      </c>
      <c r="T19" s="4071" t="s">
        <v>13</v>
      </c>
      <c r="U19" s="4074">
        <f>H19</f>
        <v>100</v>
      </c>
      <c r="V19" s="4071" t="s">
        <v>13</v>
      </c>
      <c r="W19" s="4074">
        <f>J19</f>
        <v>100</v>
      </c>
      <c r="X19" s="962"/>
      <c r="Y19" s="4913"/>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0"/>
      <c r="Q20" s="3275"/>
      <c r="R20" s="4071"/>
      <c r="S20" s="4074"/>
      <c r="T20" s="4071"/>
      <c r="U20" s="4074"/>
      <c r="V20" s="4071"/>
      <c r="W20" s="4074"/>
      <c r="X20" s="962"/>
      <c r="Y20" s="4913"/>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0"/>
      <c r="Q21" s="3275" t="str">
        <f t="shared" ref="Q21:Q35" si="8">B21</f>
        <v>区域土地利用方向</v>
      </c>
      <c r="R21" s="4071" t="s">
        <v>13</v>
      </c>
      <c r="S21" s="4074">
        <f>F21</f>
        <v>100</v>
      </c>
      <c r="T21" s="4071" t="s">
        <v>13</v>
      </c>
      <c r="U21" s="4074">
        <f>H21</f>
        <v>100</v>
      </c>
      <c r="V21" s="4071" t="s">
        <v>13</v>
      </c>
      <c r="W21" s="4074">
        <f>J21</f>
        <v>100</v>
      </c>
      <c r="X21" s="962"/>
      <c r="Y21" s="4913"/>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0"/>
      <c r="Q22" s="3275"/>
      <c r="R22" s="4071"/>
      <c r="S22" s="4074"/>
      <c r="T22" s="4071"/>
      <c r="U22" s="4074"/>
      <c r="V22" s="4071"/>
      <c r="W22" s="4074"/>
      <c r="X22" s="962"/>
      <c r="Y22" s="4913"/>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0"/>
      <c r="Q23" s="3275" t="str">
        <f t="shared" si="8"/>
        <v>环境状况</v>
      </c>
      <c r="R23" s="4071" t="s">
        <v>13</v>
      </c>
      <c r="S23" s="4074">
        <f>F23</f>
        <v>100</v>
      </c>
      <c r="T23" s="4071" t="s">
        <v>13</v>
      </c>
      <c r="U23" s="4074">
        <f>H23</f>
        <v>100</v>
      </c>
      <c r="V23" s="4071" t="s">
        <v>13</v>
      </c>
      <c r="W23" s="4074">
        <f>J23</f>
        <v>100</v>
      </c>
      <c r="X23" s="962"/>
      <c r="Y23" s="4913"/>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0"/>
      <c r="Q24" s="3275"/>
      <c r="R24" s="4071"/>
      <c r="S24" s="4074"/>
      <c r="T24" s="4071"/>
      <c r="U24" s="4074"/>
      <c r="V24" s="4071"/>
      <c r="W24" s="4074"/>
      <c r="X24" s="962"/>
      <c r="Y24" s="4913"/>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0"/>
      <c r="Q25" s="3272" t="str">
        <f t="shared" si="8"/>
        <v>公共配套设施</v>
      </c>
      <c r="R25" s="4070" t="s">
        <v>13</v>
      </c>
      <c r="S25" s="4073">
        <f>F25</f>
        <v>100</v>
      </c>
      <c r="T25" s="4070" t="s">
        <v>13</v>
      </c>
      <c r="U25" s="4073">
        <f>H25</f>
        <v>100</v>
      </c>
      <c r="V25" s="4070" t="s">
        <v>13</v>
      </c>
      <c r="W25" s="4073">
        <f>J25</f>
        <v>100</v>
      </c>
      <c r="X25" s="503"/>
      <c r="Y25" s="4913"/>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0"/>
      <c r="Q26" s="3272"/>
      <c r="R26" s="4070"/>
      <c r="S26" s="4073"/>
      <c r="T26" s="4070"/>
      <c r="U26" s="4073"/>
      <c r="V26" s="4070"/>
      <c r="W26" s="4073"/>
      <c r="X26" s="503"/>
      <c r="Y26" s="4913"/>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0"/>
      <c r="Q27" s="3272" t="str">
        <f t="shared" ref="Q27" si="9">B27</f>
        <v>基础设施水平</v>
      </c>
      <c r="R27" s="4070" t="s">
        <v>13</v>
      </c>
      <c r="S27" s="4073">
        <f>F27</f>
        <v>100</v>
      </c>
      <c r="T27" s="4070" t="s">
        <v>13</v>
      </c>
      <c r="U27" s="4073">
        <f>H27</f>
        <v>100</v>
      </c>
      <c r="V27" s="4070" t="s">
        <v>13</v>
      </c>
      <c r="W27" s="4073">
        <f>J27</f>
        <v>100</v>
      </c>
      <c r="X27" s="503"/>
      <c r="Y27" s="4913"/>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0"/>
      <c r="Q28" s="3272"/>
      <c r="R28" s="4070"/>
      <c r="S28" s="4073"/>
      <c r="T28" s="4070"/>
      <c r="U28" s="4073"/>
      <c r="V28" s="4070"/>
      <c r="W28" s="4073"/>
      <c r="X28" s="503"/>
      <c r="Y28" s="4913"/>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0"/>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913"/>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0"/>
      <c r="Q30" s="3275" t="str">
        <f t="shared" si="8"/>
        <v>毗邻道路的类型与等级</v>
      </c>
      <c r="R30" s="4071" t="s">
        <v>13</v>
      </c>
      <c r="S30" s="4074">
        <f t="shared" si="10"/>
        <v>100</v>
      </c>
      <c r="T30" s="4071" t="s">
        <v>13</v>
      </c>
      <c r="U30" s="4074">
        <f t="shared" si="11"/>
        <v>100</v>
      </c>
      <c r="V30" s="4071" t="s">
        <v>13</v>
      </c>
      <c r="W30" s="4074">
        <f t="shared" si="12"/>
        <v>100</v>
      </c>
      <c r="X30" s="962"/>
      <c r="Y30" s="4913"/>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0"/>
      <c r="Q31" s="3275"/>
      <c r="R31" s="4071"/>
      <c r="S31" s="4074"/>
      <c r="T31" s="4071"/>
      <c r="U31" s="4074"/>
      <c r="V31" s="4071"/>
      <c r="W31" s="4074"/>
      <c r="X31" s="962"/>
      <c r="Y31" s="4913"/>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0"/>
      <c r="Q32" s="3275" t="str">
        <f t="shared" si="8"/>
        <v>土地级别</v>
      </c>
      <c r="R32" s="4071" t="s">
        <v>13</v>
      </c>
      <c r="S32" s="4074">
        <f t="shared" si="10"/>
        <v>100</v>
      </c>
      <c r="T32" s="4071" t="s">
        <v>13</v>
      </c>
      <c r="U32" s="4074">
        <f t="shared" si="11"/>
        <v>100</v>
      </c>
      <c r="V32" s="4071" t="s">
        <v>13</v>
      </c>
      <c r="W32" s="4074">
        <f t="shared" si="12"/>
        <v>100</v>
      </c>
      <c r="X32" s="962"/>
      <c r="Y32" s="4913"/>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0"/>
      <c r="Q33" s="3275">
        <f t="shared" si="8"/>
        <v>111</v>
      </c>
      <c r="R33" s="4071" t="s">
        <v>13</v>
      </c>
      <c r="S33" s="4074">
        <f t="shared" si="10"/>
        <v>100</v>
      </c>
      <c r="T33" s="4071" t="s">
        <v>13</v>
      </c>
      <c r="U33" s="4074">
        <f t="shared" si="11"/>
        <v>100</v>
      </c>
      <c r="V33" s="4071" t="s">
        <v>13</v>
      </c>
      <c r="W33" s="4074">
        <f t="shared" si="12"/>
        <v>100</v>
      </c>
      <c r="X33" s="962"/>
      <c r="Y33" s="4913"/>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1" t="s">
        <v>1603</v>
      </c>
      <c r="Q34" s="3275">
        <f t="shared" si="8"/>
        <v>111</v>
      </c>
      <c r="R34" s="4071" t="s">
        <v>13</v>
      </c>
      <c r="S34" s="4074">
        <f t="shared" si="10"/>
        <v>100</v>
      </c>
      <c r="T34" s="4071" t="s">
        <v>13</v>
      </c>
      <c r="U34" s="4074">
        <f t="shared" si="11"/>
        <v>100</v>
      </c>
      <c r="V34" s="4071" t="s">
        <v>13</v>
      </c>
      <c r="W34" s="4074">
        <f t="shared" si="12"/>
        <v>100</v>
      </c>
      <c r="X34" s="962"/>
      <c r="Y34" s="4915"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2"/>
      <c r="Q35" s="3275">
        <f t="shared" si="8"/>
        <v>111</v>
      </c>
      <c r="R35" s="4072" t="s">
        <v>13</v>
      </c>
      <c r="S35" s="4075">
        <f t="shared" si="10"/>
        <v>100</v>
      </c>
      <c r="T35" s="4072" t="s">
        <v>13</v>
      </c>
      <c r="U35" s="4075">
        <f t="shared" si="11"/>
        <v>100</v>
      </c>
      <c r="V35" s="4072" t="s">
        <v>13</v>
      </c>
      <c r="W35" s="4075">
        <f t="shared" si="12"/>
        <v>100</v>
      </c>
      <c r="X35" s="506"/>
      <c r="Y35" s="4915"/>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2"/>
      <c r="Q36" s="3275" t="str">
        <f>B36</f>
        <v>宗地面积</v>
      </c>
      <c r="R36" s="4071" t="s">
        <v>13</v>
      </c>
      <c r="S36" s="4074" t="e">
        <f t="shared" si="10"/>
        <v>#N/A</v>
      </c>
      <c r="T36" s="4071" t="s">
        <v>13</v>
      </c>
      <c r="U36" s="4074" t="e">
        <f t="shared" si="11"/>
        <v>#N/A</v>
      </c>
      <c r="V36" s="4071" t="s">
        <v>13</v>
      </c>
      <c r="W36" s="4074" t="e">
        <f t="shared" si="12"/>
        <v>#N/A</v>
      </c>
      <c r="X36" s="962"/>
      <c r="Y36" s="4915"/>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2"/>
      <c r="Q37" s="3275" t="str">
        <f t="shared" ref="Q37:Q42" si="14">B37</f>
        <v>宗地形状</v>
      </c>
      <c r="R37" s="4071" t="s">
        <v>13</v>
      </c>
      <c r="S37" s="4074">
        <f t="shared" si="10"/>
        <v>100</v>
      </c>
      <c r="T37" s="4071" t="s">
        <v>13</v>
      </c>
      <c r="U37" s="4074">
        <f t="shared" si="11"/>
        <v>100</v>
      </c>
      <c r="V37" s="4071" t="s">
        <v>13</v>
      </c>
      <c r="W37" s="4074">
        <f t="shared" si="12"/>
        <v>100</v>
      </c>
      <c r="X37" s="962"/>
      <c r="Y37" s="4915"/>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2"/>
      <c r="Q38" s="3275" t="str">
        <f t="shared" si="14"/>
        <v>宗地开发程度</v>
      </c>
      <c r="R38" s="4070" t="s">
        <v>13</v>
      </c>
      <c r="S38" s="4073">
        <f t="shared" si="10"/>
        <v>100</v>
      </c>
      <c r="T38" s="4070" t="s">
        <v>13</v>
      </c>
      <c r="U38" s="4073">
        <f t="shared" si="11"/>
        <v>100</v>
      </c>
      <c r="V38" s="4070" t="s">
        <v>13</v>
      </c>
      <c r="W38" s="4073">
        <f t="shared" si="12"/>
        <v>100</v>
      </c>
      <c r="X38" s="503"/>
      <c r="Y38" s="4915"/>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2" t="s">
        <v>1603</v>
      </c>
      <c r="Q39" s="3275" t="str">
        <f t="shared" si="14"/>
        <v>工程地质条件</v>
      </c>
      <c r="R39" s="4071" t="s">
        <v>13</v>
      </c>
      <c r="S39" s="4074">
        <f t="shared" si="10"/>
        <v>100</v>
      </c>
      <c r="T39" s="4071" t="s">
        <v>13</v>
      </c>
      <c r="U39" s="4074">
        <f t="shared" si="11"/>
        <v>100</v>
      </c>
      <c r="V39" s="4071" t="s">
        <v>13</v>
      </c>
      <c r="W39" s="4074">
        <f t="shared" si="12"/>
        <v>100</v>
      </c>
      <c r="X39" s="962"/>
      <c r="Y39" s="4915"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2"/>
      <c r="Q40" s="3275">
        <f t="shared" si="14"/>
        <v>111</v>
      </c>
      <c r="R40" s="4071" t="s">
        <v>13</v>
      </c>
      <c r="S40" s="4074">
        <f t="shared" si="10"/>
        <v>100</v>
      </c>
      <c r="T40" s="4071" t="s">
        <v>13</v>
      </c>
      <c r="U40" s="4074">
        <f t="shared" si="11"/>
        <v>100</v>
      </c>
      <c r="V40" s="4071" t="s">
        <v>13</v>
      </c>
      <c r="W40" s="4074">
        <f t="shared" si="12"/>
        <v>100</v>
      </c>
      <c r="X40" s="962"/>
      <c r="Y40" s="4915"/>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2"/>
      <c r="Q41" s="3275">
        <f t="shared" si="14"/>
        <v>111</v>
      </c>
      <c r="R41" s="4071" t="s">
        <v>13</v>
      </c>
      <c r="S41" s="4074">
        <f t="shared" si="10"/>
        <v>100</v>
      </c>
      <c r="T41" s="4071" t="s">
        <v>13</v>
      </c>
      <c r="U41" s="4074">
        <f t="shared" si="11"/>
        <v>100</v>
      </c>
      <c r="V41" s="4071" t="s">
        <v>13</v>
      </c>
      <c r="W41" s="4074">
        <f t="shared" si="12"/>
        <v>100</v>
      </c>
      <c r="X41" s="962"/>
      <c r="Y41" s="4915"/>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2"/>
      <c r="Q42" s="3275">
        <f t="shared" si="14"/>
        <v>111</v>
      </c>
      <c r="R42" s="4072" t="s">
        <v>13</v>
      </c>
      <c r="S42" s="4075">
        <f t="shared" si="10"/>
        <v>100</v>
      </c>
      <c r="T42" s="4072" t="s">
        <v>13</v>
      </c>
      <c r="U42" s="4075">
        <f t="shared" si="11"/>
        <v>100</v>
      </c>
      <c r="V42" s="4072" t="s">
        <v>13</v>
      </c>
      <c r="W42" s="4075">
        <f t="shared" si="12"/>
        <v>100</v>
      </c>
      <c r="X42" s="506"/>
      <c r="Y42" s="4915"/>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91" t="str">
        <f>A43</f>
        <v>成交单价</v>
      </c>
      <c r="Q43" s="4991"/>
      <c r="R43" s="4992">
        <f>E43</f>
        <v>0</v>
      </c>
      <c r="S43" s="4992"/>
      <c r="T43" s="4992">
        <f>G43</f>
        <v>0</v>
      </c>
      <c r="U43" s="4992"/>
      <c r="V43" s="4992">
        <f>I43</f>
        <v>0</v>
      </c>
      <c r="W43" s="4992"/>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91" t="str">
        <f>A44</f>
        <v>比较价值（元/平方米）</v>
      </c>
      <c r="Q44" s="4991"/>
      <c r="R44" s="4992" t="e">
        <f>ROUND(PRODUCT(R43,AA9:AA42),0)</f>
        <v>#DIV/0!</v>
      </c>
      <c r="S44" s="4992"/>
      <c r="T44" s="4992" t="e">
        <f>ROUND(PRODUCT(T43,AB9:AB42),0)</f>
        <v>#DIV/0!</v>
      </c>
      <c r="U44" s="4992"/>
      <c r="V44" s="4992" t="e">
        <f>ROUND(PRODUCT(V43,AC9:AC42),0)</f>
        <v>#DIV/0!</v>
      </c>
      <c r="W44" s="4992"/>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88" t="str">
        <f>A45</f>
        <v>估价对象XX用房的比较价值（楼面单价，元/平方米）</v>
      </c>
      <c r="Q45" s="4989"/>
      <c r="R45" s="4990" t="e">
        <f>ROUND(IF(D44="简单平均",AVERAGE(R44:W44),R44*F44+T44*H44+V44*J44),0)</f>
        <v>#DIV/0!</v>
      </c>
      <c r="S45" s="4990"/>
      <c r="T45" s="4990"/>
      <c r="U45" s="4990"/>
      <c r="V45" s="4990"/>
      <c r="W45" s="4990"/>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8" t="s">
        <v>1794</v>
      </c>
      <c r="H52" s="5039"/>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0"/>
      <c r="H53" s="4896"/>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2467.34</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0</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-51</v>
      </c>
      <c r="C2" s="175" t="s">
        <v>1531</v>
      </c>
      <c r="D2" s="3585"/>
      <c r="E2" s="2224"/>
      <c r="G2" s="2224"/>
      <c r="H2" s="2224"/>
      <c r="I2" s="2224"/>
      <c r="J2" s="2224"/>
      <c r="K2" s="2224"/>
    </row>
    <row r="3" spans="1:33" ht="18" customHeight="1">
      <c r="A3" s="102" t="s">
        <v>1433</v>
      </c>
      <c r="B3" s="2756">
        <f ca="1">ROUND(B2*10000/IF(C1="",'数据-汇总表'!E3,INDIRECT("'数据-取费表'!K"&amp;$K$1)),0)</f>
        <v>-207</v>
      </c>
      <c r="C3" s="175" t="s">
        <v>1532</v>
      </c>
      <c r="E3" s="540"/>
      <c r="I3" s="2224"/>
      <c r="J3" s="2224"/>
      <c r="K3" s="2224"/>
    </row>
    <row r="4" spans="1:33" ht="18" customHeight="1">
      <c r="A4" s="3638" t="s">
        <v>3625</v>
      </c>
      <c r="B4" s="3643" t="e">
        <f ca="1">ROUND(B2*10000/IF(C1="",'数据-汇总表'!D3,INDIRECT("'数据-取费表'!R"&amp;$K$1)),0)</f>
        <v>#DIV/0!</v>
      </c>
      <c r="C4" s="3642" t="s">
        <v>1532</v>
      </c>
      <c r="E4" s="540"/>
      <c r="I4" s="2224"/>
      <c r="J4" s="2224"/>
      <c r="K4" s="2224"/>
    </row>
    <row r="5" spans="1:33" ht="18" customHeight="1" thickBot="1">
      <c r="A5" s="98"/>
      <c r="B5" s="3639" t="e">
        <f ca="1">ROUND(B2/(IF(C1="",'数据-汇总表'!D3,INDIRECT("'数据-取费表'!R"&amp;$K$1))/666.67),0)</f>
        <v>#DIV/0!</v>
      </c>
      <c r="C5" s="3641" t="s">
        <v>3623</v>
      </c>
      <c r="E5" s="540"/>
      <c r="I5" s="2224"/>
      <c r="J5" s="2224"/>
      <c r="K5" s="2224"/>
    </row>
    <row r="6" spans="1:33" s="541" customFormat="1" ht="16.5" customHeight="1">
      <c r="A6" s="2889" t="s">
        <v>3372</v>
      </c>
      <c r="B6" s="2888"/>
      <c r="C6" s="5045" t="s">
        <v>3374</v>
      </c>
      <c r="D6" s="5045"/>
      <c r="E6" s="5045"/>
      <c r="F6" s="5045"/>
      <c r="G6" s="5045"/>
      <c r="H6" s="5045"/>
      <c r="I6" s="5045"/>
      <c r="J6" s="5045"/>
      <c r="K6" s="5046"/>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9" t="s">
        <v>3387</v>
      </c>
      <c r="B11" s="5050"/>
      <c r="C11" s="5050"/>
      <c r="D11" s="5050"/>
      <c r="E11" s="5050"/>
      <c r="F11" s="5050"/>
      <c r="G11" s="5050"/>
      <c r="H11" s="5050"/>
      <c r="I11" s="5050"/>
      <c r="J11" s="5050"/>
      <c r="K11" s="5051"/>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49</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49</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49</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49</v>
      </c>
      <c r="D22" s="2941">
        <f ca="1">IF(C1="",'数据-汇总表'!E6,IF(INDIRECT("'数据-取费表'!c"&amp;$K$1)="住宅",INDIRECT("'数据-取费表'!s"&amp;$K$1),INDIRECT("'数据-取费表'!k"&amp;$K$1)+INDIRECT("'数据-取费表'!s"&amp;$K$1)))</f>
        <v>2467.34</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2467.34</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2467.34</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0</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（(1)+取得税费率/(1+5%)）×年利率×建设期</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（1）-（3）项×年利率×建设期÷2</v>
      </c>
      <c r="H31" s="216"/>
      <c r="I31" s="216"/>
      <c r="J31" s="216"/>
      <c r="K31" s="2916"/>
    </row>
    <row r="32" spans="1:33" s="551" customFormat="1" ht="13.5" customHeight="1">
      <c r="A32" s="2726">
        <v>7</v>
      </c>
      <c r="B32" s="2925" t="s">
        <v>1557</v>
      </c>
      <c r="C32" s="2922">
        <f>ROUND(C13*F32/(1+'数据-取费表'!C43),0)</f>
        <v>0</v>
      </c>
      <c r="D32" s="2914"/>
      <c r="E32" s="2926"/>
      <c r="F32" s="2923"/>
      <c r="G32" s="5047" t="s">
        <v>3386</v>
      </c>
      <c r="H32" s="5047"/>
      <c r="I32" s="5047"/>
      <c r="J32" s="5047"/>
      <c r="K32" s="5048"/>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-51</v>
      </c>
      <c r="D36" s="2914"/>
      <c r="E36" s="2914"/>
      <c r="F36" s="176"/>
      <c r="G36" s="2947" t="s">
        <v>3397</v>
      </c>
      <c r="H36" s="2914"/>
      <c r="I36" s="2914"/>
      <c r="J36" s="2914"/>
      <c r="K36" s="2915"/>
    </row>
    <row r="37" spans="1:11" s="3024" customFormat="1" ht="15" thickBot="1">
      <c r="A37" s="2927">
        <v>10</v>
      </c>
      <c r="B37" s="2928" t="s">
        <v>3472</v>
      </c>
      <c r="C37" s="3021">
        <f ca="1">ROUND(C36*(1+F37),0)</f>
        <v>-56</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49</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49</v>
      </c>
      <c r="D53" s="659"/>
      <c r="E53" s="659"/>
      <c r="F53" s="659"/>
      <c r="G53" s="659"/>
    </row>
    <row r="54" spans="1:7" s="3466" customFormat="1">
      <c r="A54" s="3666" t="s">
        <v>3383</v>
      </c>
      <c r="B54" s="3667" t="s">
        <v>3500</v>
      </c>
      <c r="C54" s="3668">
        <f ca="1">C20</f>
        <v>49</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0</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-51</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0"/>
      <c r="C2" s="4660"/>
      <c r="D2" s="4660"/>
      <c r="E2" s="4660"/>
    </row>
    <row r="3" spans="1:5" ht="17.399999999999999">
      <c r="A3" s="4661" t="str">
        <f>IF(项目基本情况!B9="房地产市场价值","估价结果一览表（市场价值不需“结果表-1”）","估价结果一览表")</f>
        <v>估价结果一览表</v>
      </c>
      <c r="B3" s="4661"/>
      <c r="C3" s="4661"/>
      <c r="D3" s="4661"/>
      <c r="E3" s="4661"/>
    </row>
    <row r="4" spans="1:5" ht="18" thickBot="1">
      <c r="A4" s="1098"/>
      <c r="B4" s="4659" t="s">
        <v>901</v>
      </c>
      <c r="C4" s="4659"/>
      <c r="D4" s="4659"/>
      <c r="E4" s="1098"/>
    </row>
    <row r="5" spans="1:5" ht="16.2" thickTop="1">
      <c r="A5" s="1096"/>
      <c r="B5" s="4657" t="s">
        <v>893</v>
      </c>
      <c r="C5" s="1099" t="s">
        <v>894</v>
      </c>
      <c r="D5" s="572">
        <f ca="1">结果表!H101</f>
        <v>1427.1095</v>
      </c>
      <c r="E5" s="1096"/>
    </row>
    <row r="6" spans="1:5" ht="31.2">
      <c r="A6" s="1096"/>
      <c r="B6" s="4657"/>
      <c r="C6" s="1099" t="s">
        <v>895</v>
      </c>
      <c r="D6" s="572" t="str">
        <f ca="1">NUMBERSTRING(INT(D5*10000),2)&amp;"元整"</f>
        <v>壹仟肆佰贰拾柒万壹仟零玖拾伍元整</v>
      </c>
      <c r="E6" s="1096"/>
    </row>
    <row r="7" spans="1:5" ht="15.6">
      <c r="A7" s="1096"/>
      <c r="B7" s="4662"/>
      <c r="C7" s="1100" t="s">
        <v>896</v>
      </c>
      <c r="D7" s="573">
        <f ca="1">结果表!H102</f>
        <v>23442</v>
      </c>
      <c r="E7" s="1096"/>
    </row>
    <row r="8" spans="1:5" ht="15.6">
      <c r="A8" s="1096"/>
      <c r="B8" s="4663" t="str">
        <f>结果表!E103</f>
        <v>2.估价师知悉的法定优先受偿款</v>
      </c>
      <c r="C8" s="1101" t="s">
        <v>897</v>
      </c>
      <c r="D8" s="573">
        <f>结果表!H103</f>
        <v>0</v>
      </c>
      <c r="E8" s="1096"/>
    </row>
    <row r="9" spans="1:5" ht="15.6">
      <c r="A9" s="1096"/>
      <c r="B9" s="4665"/>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6" t="str">
        <f>结果表!E107</f>
        <v>3.房地产抵押价值</v>
      </c>
      <c r="C13" s="1104" t="s">
        <v>894</v>
      </c>
      <c r="D13" s="575">
        <f ca="1">结果表!H107</f>
        <v>1427.1095</v>
      </c>
      <c r="E13" s="1096"/>
    </row>
    <row r="14" spans="1:5" ht="31.2">
      <c r="A14" s="1096"/>
      <c r="B14" s="4657"/>
      <c r="C14" s="1099" t="s">
        <v>895</v>
      </c>
      <c r="D14" s="572" t="str">
        <f ca="1">NUMBERSTRING(INT(D13*10000),2)&amp;"元整"</f>
        <v>壹仟肆佰贰拾柒万壹仟零玖拾伍元整</v>
      </c>
      <c r="E14" s="1096"/>
    </row>
    <row r="15" spans="1:5" ht="15.6">
      <c r="A15" s="1096"/>
      <c r="B15" s="4662"/>
      <c r="C15" s="1100" t="s">
        <v>905</v>
      </c>
      <c r="D15" s="580">
        <f ca="1">结果表!H108</f>
        <v>23442</v>
      </c>
      <c r="E15" s="1096"/>
    </row>
    <row r="16" spans="1:5" ht="15.6">
      <c r="A16" s="1096"/>
      <c r="B16" s="4663" t="str">
        <f>结果表!E109</f>
        <v>——</v>
      </c>
      <c r="C16" s="1104" t="s">
        <v>906</v>
      </c>
      <c r="D16" s="1105" t="str">
        <f>结果表!H109</f>
        <v>——</v>
      </c>
      <c r="E16" s="1096"/>
    </row>
    <row r="17" spans="1:5" ht="15.6">
      <c r="A17" s="1096"/>
      <c r="B17" s="4664"/>
      <c r="C17" s="1099" t="s">
        <v>907</v>
      </c>
      <c r="D17" s="572" t="e">
        <f>NUMBERSTRING(INT(D16*10000),2)&amp;"元整"</f>
        <v>#VALUE!</v>
      </c>
      <c r="E17" s="1096"/>
    </row>
    <row r="18" spans="1:5" ht="15.6">
      <c r="A18" s="1096"/>
      <c r="B18" s="4665"/>
      <c r="C18" s="1100" t="s">
        <v>896</v>
      </c>
      <c r="D18" s="580" t="str">
        <f>结果表!H110</f>
        <v>——</v>
      </c>
      <c r="E18" s="1096"/>
    </row>
    <row r="19" spans="1:5" ht="15.6">
      <c r="A19" s="1096"/>
      <c r="B19" s="4656" t="str">
        <f>结果表!E111</f>
        <v>——</v>
      </c>
      <c r="C19" s="1104" t="s">
        <v>894</v>
      </c>
      <c r="D19" s="573" t="str">
        <f>结果表!H111</f>
        <v>——</v>
      </c>
      <c r="E19" s="1096"/>
    </row>
    <row r="20" spans="1:5" ht="15.6">
      <c r="A20" s="1096"/>
      <c r="B20" s="4657"/>
      <c r="C20" s="1099" t="s">
        <v>907</v>
      </c>
      <c r="D20" s="572" t="e">
        <f>NUMBERSTRING(INT(D19*10000),2)&amp;"元整"</f>
        <v>#VALUE!</v>
      </c>
      <c r="E20" s="1096"/>
    </row>
    <row r="21" spans="1:5" ht="16.2" thickBot="1">
      <c r="A21" s="1096"/>
      <c r="B21" s="4658"/>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2467.34</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2467.34</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-896</v>
      </c>
      <c r="C2" s="175" t="s">
        <v>1531</v>
      </c>
      <c r="D2" s="175"/>
      <c r="E2" s="2224"/>
      <c r="F2" s="2224"/>
      <c r="G2" s="2224"/>
      <c r="H2" s="2224"/>
      <c r="I2" s="2224"/>
      <c r="J2" s="2224"/>
      <c r="K2" s="2224"/>
    </row>
    <row r="3" spans="1:33" ht="18" customHeight="1">
      <c r="A3" s="102" t="s">
        <v>1433</v>
      </c>
      <c r="B3" s="2756">
        <f ca="1">ROUND(B2*10000/IF(C1="",'数据-汇总表'!E3,INDIRECT("'数据-取费表'!K"&amp;$K$1)),0)</f>
        <v>-3631</v>
      </c>
      <c r="C3" s="175" t="s">
        <v>1532</v>
      </c>
      <c r="D3" s="175"/>
      <c r="E3" s="2224"/>
      <c r="F3" s="2224"/>
      <c r="G3" s="2224"/>
      <c r="H3" s="2224"/>
      <c r="I3" s="2224"/>
      <c r="J3" s="2224"/>
      <c r="K3" s="2224"/>
    </row>
    <row r="4" spans="1:33" ht="18" customHeight="1">
      <c r="A4" s="3646" t="s">
        <v>3628</v>
      </c>
      <c r="B4" s="2755" t="e">
        <f ca="1">ROUND(B2*10000/IF(C1="",'数据-汇总表'!D3,INDIRECT("'数据-取费表'!R"&amp;$K$1)),0)</f>
        <v>#DIV/0!</v>
      </c>
      <c r="C4" s="1434" t="s">
        <v>3630</v>
      </c>
      <c r="D4" s="175"/>
      <c r="E4" s="2224"/>
      <c r="F4" s="2224"/>
      <c r="G4" s="2224"/>
      <c r="H4" s="2224"/>
      <c r="I4" s="2224"/>
      <c r="J4" s="2224"/>
      <c r="K4" s="2224"/>
    </row>
    <row r="5" spans="1:33" ht="18" customHeight="1" thickBot="1">
      <c r="A5" s="98"/>
      <c r="B5" s="3655" t="e">
        <f ca="1">ROUND(B2/(IF(C1="",'数据-汇总表'!D3,INDIRECT("'数据-取费表'!R"&amp;$K$1))/666.67),0)</f>
        <v>#DIV/0!</v>
      </c>
      <c r="C5" s="3649" t="s">
        <v>3629</v>
      </c>
      <c r="D5" s="175"/>
      <c r="E5" s="2224"/>
      <c r="F5" s="2224"/>
      <c r="G5" s="2224"/>
      <c r="H5" s="2224"/>
      <c r="I5" s="2224"/>
      <c r="J5" s="2224"/>
      <c r="K5" s="2224"/>
    </row>
    <row r="6" spans="1:33" s="541" customFormat="1" ht="16.5" customHeight="1">
      <c r="A6" s="2889" t="s">
        <v>3517</v>
      </c>
      <c r="B6" s="2888"/>
      <c r="C6" s="5045" t="s">
        <v>3374</v>
      </c>
      <c r="D6" s="5045"/>
      <c r="E6" s="5045"/>
      <c r="F6" s="5045"/>
      <c r="G6" s="5045"/>
      <c r="H6" s="5045"/>
      <c r="I6" s="5045"/>
      <c r="J6" s="5045"/>
      <c r="K6" s="5046"/>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2" t="s">
        <v>3518</v>
      </c>
      <c r="B11" s="5053"/>
      <c r="C11" s="5053"/>
      <c r="D11" s="5053"/>
      <c r="E11" s="5053"/>
      <c r="F11" s="5053"/>
      <c r="G11" s="5053"/>
      <c r="H11" s="5053"/>
      <c r="I11" s="5053"/>
      <c r="J11" s="5053"/>
      <c r="K11" s="5054"/>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896</v>
      </c>
      <c r="D15" s="558"/>
      <c r="E15" s="177"/>
      <c r="F15" s="3484"/>
      <c r="G15" s="3611" t="s">
        <v>3537</v>
      </c>
      <c r="H15" s="554"/>
      <c r="I15" s="554"/>
      <c r="J15" s="554"/>
      <c r="K15" s="555"/>
    </row>
    <row r="16" spans="1:33" s="551" customFormat="1" ht="13.5" customHeight="1">
      <c r="A16" s="3622" t="s">
        <v>3587</v>
      </c>
      <c r="B16" s="3488" t="s">
        <v>3520</v>
      </c>
      <c r="C16" s="3489">
        <f ca="1">SUM(C17:C22)</f>
        <v>1069</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938</v>
      </c>
      <c r="D17" s="3491"/>
      <c r="E17" s="3492"/>
      <c r="F17" s="3504"/>
      <c r="G17" s="3612"/>
      <c r="H17" s="3609"/>
      <c r="I17" s="3609"/>
      <c r="J17" s="3609"/>
      <c r="K17" s="3621"/>
    </row>
    <row r="18" spans="1:33" s="551" customFormat="1" ht="13.5" customHeight="1">
      <c r="A18" s="3623" t="s">
        <v>3526</v>
      </c>
      <c r="B18" s="3475" t="s">
        <v>3527</v>
      </c>
      <c r="C18" s="2734">
        <f ca="1">ROUND(C17*F18,0)</f>
        <v>19</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74</v>
      </c>
      <c r="D20" s="3486">
        <f ca="1">IF(C1="",'数据-汇总表'!E3,INDIRECT("'数据-取费表'!K"&amp;$K$1)+INDIRECT("'数据-取费表'!S"&amp;$K$1))</f>
        <v>2467.34</v>
      </c>
      <c r="E20" s="3487">
        <f>'数据-取费表'!B35</f>
        <v>300</v>
      </c>
      <c r="F20" s="3486"/>
      <c r="G20" s="2730"/>
      <c r="H20" s="3609"/>
      <c r="I20" s="3609"/>
      <c r="J20" s="554"/>
      <c r="K20" s="555"/>
    </row>
    <row r="21" spans="1:33" s="551" customFormat="1" ht="13.5" customHeight="1">
      <c r="A21" s="3623" t="s">
        <v>3541</v>
      </c>
      <c r="B21" s="3477" t="s">
        <v>3498</v>
      </c>
      <c r="C21" s="2734">
        <f ca="1">ROUND(C17*F21,0)</f>
        <v>19</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19</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16+0.0002V建</v>
      </c>
      <c r="D25" s="3496"/>
      <c r="E25" s="3496"/>
      <c r="F25" s="3505">
        <f ca="1">'数据-取费表'!B41</f>
        <v>0.03</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16</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 ca="1">ROUND(IF('数据-取费表'!B20&lt;=1,F24*F25*'数据-取费表'!B20/2,F24*(POWER((1+F23),'数据-取费表'!B20/2)-1)),4)</f>
        <v>2.0000000000000001E-4</v>
      </c>
      <c r="D27" s="3465"/>
      <c r="E27" s="3465"/>
      <c r="F27" s="3504"/>
      <c r="G27" s="3615"/>
      <c r="H27" s="3609"/>
      <c r="I27" s="3609"/>
      <c r="J27" s="3609"/>
      <c r="K27" s="3621"/>
    </row>
    <row r="28" spans="1:33" s="551" customFormat="1" ht="13.5" customHeight="1">
      <c r="A28" s="3622" t="s">
        <v>3533</v>
      </c>
      <c r="B28" s="3488" t="s">
        <v>3550</v>
      </c>
      <c r="C28" s="2886" t="str">
        <f ca="1">C29&amp;"+"&amp;C30&amp;"V建"</f>
        <v>86+0.0008V建</v>
      </c>
      <c r="D28" s="1069"/>
      <c r="E28" s="1069"/>
      <c r="F28" s="3507">
        <f ca="1">IF(C1="",'数据-取费表'!Q16,INDIRECT("'数据-取费表'!q"&amp;$K$1))</f>
        <v>0.08</v>
      </c>
      <c r="G28" s="5055" t="s">
        <v>3534</v>
      </c>
      <c r="H28" s="3609"/>
      <c r="I28" s="3609"/>
      <c r="J28" s="3609"/>
      <c r="K28" s="3621"/>
    </row>
    <row r="29" spans="1:33" s="551" customFormat="1" ht="13.5" customHeight="1">
      <c r="A29" s="3623" t="s">
        <v>3546</v>
      </c>
      <c r="B29" s="3477" t="s">
        <v>3551</v>
      </c>
      <c r="C29" s="2887">
        <f ca="1">ROUND((C16+C23)*F28,0)</f>
        <v>86</v>
      </c>
      <c r="D29" s="1069"/>
      <c r="E29" s="1069"/>
      <c r="F29" s="2956"/>
      <c r="G29" s="5055"/>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1195</v>
      </c>
      <c r="D32" s="3499"/>
      <c r="E32" s="3500"/>
      <c r="F32" s="3486"/>
      <c r="G32" s="3619" t="s">
        <v>3524</v>
      </c>
      <c r="H32" s="3620"/>
      <c r="I32" s="3620"/>
      <c r="J32" s="3620"/>
      <c r="K32" s="3627"/>
    </row>
    <row r="33" spans="1:11" s="180" customFormat="1" ht="13.5" customHeight="1">
      <c r="A33" s="3622" t="s">
        <v>3545</v>
      </c>
      <c r="B33" s="3501" t="s">
        <v>3535</v>
      </c>
      <c r="C33" s="3502">
        <f ca="1">ROUND(C32*(1-F33),0)</f>
        <v>299</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-896</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108</v>
      </c>
      <c r="C2" s="98" t="s">
        <v>1432</v>
      </c>
      <c r="D2" s="98"/>
      <c r="E2" s="2743"/>
      <c r="F2" s="98"/>
      <c r="G2" s="98"/>
    </row>
    <row r="3" spans="1:7" s="99" customFormat="1" ht="15.6">
      <c r="A3" s="102" t="s">
        <v>1433</v>
      </c>
      <c r="B3" s="2756">
        <f ca="1">ROUND(B2*10000/(IF(C1="",'数据-汇总表'!E3,INDIRECT("'数据-取费表'!k"&amp;$G$1))),0)</f>
        <v>438</v>
      </c>
      <c r="C3" s="98" t="s">
        <v>1434</v>
      </c>
      <c r="D3" s="98"/>
      <c r="E3" s="2743"/>
      <c r="F3" s="98"/>
      <c r="G3" s="98"/>
    </row>
    <row r="4" spans="1:7" s="99" customFormat="1" ht="15.6">
      <c r="A4" s="3646" t="s">
        <v>3628</v>
      </c>
      <c r="B4" s="2755" t="e">
        <f ca="1">ROUND(B2*10000/'数据-汇总表'!D3,0)</f>
        <v>#DIV/0!</v>
      </c>
      <c r="C4" s="100" t="s">
        <v>3630</v>
      </c>
      <c r="D4" s="98"/>
      <c r="E4" s="2743"/>
      <c r="F4" s="98"/>
      <c r="G4" s="98"/>
    </row>
    <row r="5" spans="1:7" s="99" customFormat="1" ht="16.2" thickBot="1">
      <c r="A5" s="98"/>
      <c r="B5" s="3655" t="e">
        <f ca="1">ROUND(B2/('数据-汇总表'!D3/666.67),0)</f>
        <v>#DIV/0!</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139</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49</v>
      </c>
      <c r="D23" s="3508">
        <f ca="1">IF(C1="",'数据-汇总表'!E6,IF(INDIRECT("'数据-取费表'!c"&amp;$G$1)="住宅",INDIRECT("'数据-取费表'!s"&amp;$G$1),INDIRECT("'数据-取费表'!k"&amp;$G$1)+INDIRECT("'数据-取费表'!s"&amp;$G$1)))</f>
        <v>2467.34</v>
      </c>
      <c r="E23" s="3508">
        <f>'数据-取费表'!B28</f>
        <v>200</v>
      </c>
      <c r="F23" s="2786"/>
      <c r="G23" s="3604"/>
    </row>
    <row r="24" spans="1:9" s="113" customFormat="1" ht="14.4">
      <c r="A24" s="3480" t="s">
        <v>3579</v>
      </c>
      <c r="B24" s="3517" t="s">
        <v>3595</v>
      </c>
      <c r="C24" s="2795">
        <f ca="1">IF(G24="已包含在土地取得成本中","0",ROUND(D24*E24/10000,0))</f>
        <v>65</v>
      </c>
      <c r="D24" s="3509">
        <f ca="1">D22+D23</f>
        <v>2467.34</v>
      </c>
      <c r="E24" s="3509">
        <f>'数据-取费表'!B31</f>
        <v>265</v>
      </c>
      <c r="F24" s="3518"/>
      <c r="G24" s="1436"/>
    </row>
    <row r="25" spans="1:9" s="113" customFormat="1" ht="14.4">
      <c r="A25" s="3480" t="s">
        <v>337</v>
      </c>
      <c r="B25" s="3517" t="s">
        <v>3596</v>
      </c>
      <c r="C25" s="2795">
        <f ca="1">ROUND(E25*D25/10000,0)</f>
        <v>74</v>
      </c>
      <c r="D25" s="3509">
        <f ca="1">D24</f>
        <v>2467.34</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0.03</v>
      </c>
      <c r="G29" s="3607" t="str">
        <f>IF('数据-取费表'!B19&lt;=1,"单利计息","复利计息")</f>
        <v>单利计息</v>
      </c>
    </row>
    <row r="30" spans="1:9" s="2766" customFormat="1" ht="15.6">
      <c r="A30" s="3533" t="s">
        <v>3603</v>
      </c>
      <c r="B30" s="2736" t="s">
        <v>3604</v>
      </c>
      <c r="C30" s="2773">
        <f ca="1">ROUND((C7+C20+C26)*F30,0)</f>
        <v>11</v>
      </c>
      <c r="D30" s="2771"/>
      <c r="E30" s="302"/>
      <c r="F30" s="3524">
        <f ca="1">IF(C1="",'数据-取费表'!Q16,INDIRECT("'数据-取费表'!q"&amp;$G$1))</f>
        <v>0.08</v>
      </c>
      <c r="G30" s="3607"/>
    </row>
    <row r="31" spans="1:9" s="113" customFormat="1" ht="15.6">
      <c r="A31" s="2737" t="s">
        <v>3584</v>
      </c>
      <c r="B31" s="2736" t="s">
        <v>3576</v>
      </c>
      <c r="C31" s="2758">
        <f ca="1">C7+C20+C29+C30</f>
        <v>150</v>
      </c>
      <c r="D31" s="2749"/>
      <c r="E31" s="2749"/>
      <c r="F31" s="2748"/>
      <c r="G31" s="2750" t="s">
        <v>3607</v>
      </c>
    </row>
    <row r="32" spans="1:9" s="113" customFormat="1" ht="15.6">
      <c r="A32" s="2737" t="s">
        <v>3575</v>
      </c>
      <c r="B32" s="2736" t="s">
        <v>3574</v>
      </c>
      <c r="C32" s="3590">
        <f ca="1">ROUND(C31*F32,0)</f>
        <v>15</v>
      </c>
      <c r="D32" s="134"/>
      <c r="E32" s="135"/>
      <c r="F32" s="3525">
        <v>0.1</v>
      </c>
      <c r="G32" s="3608"/>
    </row>
    <row r="33" spans="1:14" s="113" customFormat="1" ht="15.6">
      <c r="A33" s="3589">
        <v>8</v>
      </c>
      <c r="B33" s="2736" t="s">
        <v>3586</v>
      </c>
      <c r="C33" s="2758">
        <f ca="1">C31+C32</f>
        <v>165</v>
      </c>
      <c r="D33" s="2749"/>
      <c r="E33" s="2749"/>
      <c r="F33" s="3526"/>
      <c r="G33" s="2750" t="s">
        <v>3606</v>
      </c>
    </row>
    <row r="34" spans="1:14" s="122" customFormat="1" ht="16.2" thickBot="1">
      <c r="A34" s="3540">
        <v>9</v>
      </c>
      <c r="B34" s="3541" t="s">
        <v>3585</v>
      </c>
      <c r="C34" s="2758">
        <f ca="1">ROUND(C33*F34,0)</f>
        <v>108</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64" t="s">
        <v>3996</v>
      </c>
      <c r="K44" s="5065"/>
      <c r="L44" s="5066"/>
      <c r="M44" s="4615" t="s">
        <v>3997</v>
      </c>
      <c r="N44" s="4615" t="s">
        <v>3998</v>
      </c>
    </row>
    <row r="45" spans="1:14">
      <c r="J45" s="5064" t="s">
        <v>3999</v>
      </c>
      <c r="K45" s="5065"/>
      <c r="L45" s="5066"/>
      <c r="M45" s="4615" t="s">
        <v>4000</v>
      </c>
      <c r="N45" s="5061" t="s">
        <v>4001</v>
      </c>
    </row>
    <row r="46" spans="1:14">
      <c r="J46" s="5064" t="s">
        <v>4002</v>
      </c>
      <c r="K46" s="5065"/>
      <c r="L46" s="5066"/>
      <c r="M46" s="5057" t="s">
        <v>4003</v>
      </c>
      <c r="N46" s="5062"/>
    </row>
    <row r="47" spans="1:14">
      <c r="J47" s="5064" t="s">
        <v>4004</v>
      </c>
      <c r="K47" s="5065"/>
      <c r="L47" s="5066"/>
      <c r="M47" s="5059"/>
      <c r="N47" s="5062"/>
    </row>
    <row r="48" spans="1:14">
      <c r="J48" s="5061" t="s">
        <v>4015</v>
      </c>
      <c r="K48" s="5057"/>
      <c r="L48" s="4615" t="s">
        <v>4005</v>
      </c>
      <c r="M48" s="5057" t="s">
        <v>4006</v>
      </c>
      <c r="N48" s="5062"/>
    </row>
    <row r="49" spans="10:15">
      <c r="J49" s="5062"/>
      <c r="K49" s="5058"/>
      <c r="L49" s="4615" t="s">
        <v>4007</v>
      </c>
      <c r="M49" s="5058"/>
      <c r="N49" s="5062"/>
    </row>
    <row r="50" spans="10:15">
      <c r="J50" s="5062"/>
      <c r="K50" s="5059"/>
      <c r="L50" s="4615" t="s">
        <v>4008</v>
      </c>
      <c r="M50" s="5058"/>
      <c r="N50" s="5062"/>
    </row>
    <row r="51" spans="10:15">
      <c r="J51" s="5062"/>
      <c r="K51" s="5061" t="s">
        <v>4016</v>
      </c>
      <c r="L51" s="4615" t="s">
        <v>4009</v>
      </c>
      <c r="M51" s="5058"/>
      <c r="N51" s="5062"/>
    </row>
    <row r="52" spans="10:15">
      <c r="J52" s="5063"/>
      <c r="K52" s="5062"/>
      <c r="L52" s="4615" t="s">
        <v>4017</v>
      </c>
      <c r="M52" s="5058"/>
      <c r="N52" s="5062"/>
    </row>
    <row r="53" spans="10:15">
      <c r="J53" s="5057"/>
      <c r="K53" s="5062"/>
      <c r="L53" s="4615" t="s">
        <v>4018</v>
      </c>
      <c r="M53" s="5058"/>
      <c r="N53" s="5062"/>
    </row>
    <row r="54" spans="10:15">
      <c r="J54" s="5058"/>
      <c r="K54" s="5062"/>
      <c r="L54" s="4615" t="s">
        <v>4010</v>
      </c>
      <c r="M54" s="5058"/>
      <c r="N54" s="5062"/>
    </row>
    <row r="55" spans="10:15">
      <c r="J55" s="5058"/>
      <c r="K55" s="5062"/>
      <c r="L55" s="4615" t="s">
        <v>4011</v>
      </c>
      <c r="M55" s="5058"/>
      <c r="N55" s="5062"/>
    </row>
    <row r="56" spans="10:15">
      <c r="J56" s="5058"/>
      <c r="K56" s="5062"/>
      <c r="L56" s="4615" t="s">
        <v>4012</v>
      </c>
      <c r="M56" s="5059"/>
      <c r="N56" s="5062"/>
    </row>
    <row r="57" spans="10:15">
      <c r="J57" s="5059"/>
      <c r="K57" s="5063"/>
      <c r="L57" s="4615" t="s">
        <v>4013</v>
      </c>
      <c r="M57" s="4616" t="s">
        <v>4014</v>
      </c>
      <c r="N57" s="5063"/>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0" t="s">
        <v>4034</v>
      </c>
      <c r="M68" s="5060"/>
      <c r="N68" s="5060"/>
      <c r="O68" s="4613" t="s">
        <v>3998</v>
      </c>
    </row>
    <row r="69" spans="10:15" ht="26.4">
      <c r="J69" s="4613" t="s">
        <v>4035</v>
      </c>
      <c r="K69" s="4618" t="s">
        <v>4036</v>
      </c>
      <c r="L69" s="5056" t="s">
        <v>4037</v>
      </c>
      <c r="M69" s="5056"/>
      <c r="N69" s="5056"/>
      <c r="O69" s="4613"/>
    </row>
    <row r="70" spans="10:15" ht="26.4">
      <c r="J70" s="4613" t="s">
        <v>4038</v>
      </c>
      <c r="K70" s="4618" t="s">
        <v>4039</v>
      </c>
      <c r="L70" s="5056" t="s">
        <v>4040</v>
      </c>
      <c r="M70" s="5056"/>
      <c r="N70" s="5056"/>
      <c r="O70" s="4613"/>
    </row>
    <row r="71" spans="10:15" ht="26.4">
      <c r="J71" s="4613" t="s">
        <v>4041</v>
      </c>
      <c r="K71" s="4618" t="s">
        <v>4042</v>
      </c>
      <c r="L71" s="5056" t="s">
        <v>4043</v>
      </c>
      <c r="M71" s="5056"/>
      <c r="N71" s="5056"/>
      <c r="O71" s="4613"/>
    </row>
    <row r="72" spans="10:15" ht="27" customHeight="1">
      <c r="J72" s="4613" t="s">
        <v>4044</v>
      </c>
      <c r="K72" s="4618" t="s">
        <v>4045</v>
      </c>
      <c r="L72" s="5056" t="s">
        <v>4057</v>
      </c>
      <c r="M72" s="5056"/>
      <c r="N72" s="5056"/>
      <c r="O72" s="4613"/>
    </row>
    <row r="73" spans="10:15" ht="30" customHeight="1">
      <c r="J73" s="4613" t="s">
        <v>4046</v>
      </c>
      <c r="K73" s="4618" t="s">
        <v>4047</v>
      </c>
      <c r="L73" s="5056" t="s">
        <v>4048</v>
      </c>
      <c r="M73" s="5056"/>
      <c r="N73" s="5056"/>
      <c r="O73" s="4613" t="s">
        <v>2202</v>
      </c>
    </row>
    <row r="74" spans="10:15" ht="57.75" customHeight="1">
      <c r="J74" s="4613" t="s">
        <v>4049</v>
      </c>
      <c r="K74" s="4618" t="s">
        <v>4050</v>
      </c>
      <c r="L74" s="5056" t="s">
        <v>4051</v>
      </c>
      <c r="M74" s="5056"/>
      <c r="N74" s="5056"/>
      <c r="O74" s="4613" t="s">
        <v>4052</v>
      </c>
    </row>
    <row r="75" spans="10:15" ht="32.25" customHeight="1">
      <c r="J75" s="4613" t="s">
        <v>4053</v>
      </c>
      <c r="K75" s="4618" t="s">
        <v>4054</v>
      </c>
      <c r="L75" s="5056" t="s">
        <v>4055</v>
      </c>
      <c r="M75" s="5056"/>
      <c r="N75" s="5056"/>
      <c r="O75" s="4613"/>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7" t="s">
        <v>2494</v>
      </c>
      <c r="B20" s="5067" t="s">
        <v>2515</v>
      </c>
      <c r="C20" s="2723" t="s">
        <v>2326</v>
      </c>
      <c r="D20" s="2723"/>
      <c r="E20" s="3302">
        <v>1</v>
      </c>
      <c r="F20" s="2439" t="s">
        <v>2327</v>
      </c>
      <c r="G20" s="2439"/>
    </row>
    <row r="21" spans="1:13" ht="19.5" customHeight="1">
      <c r="A21" s="5078"/>
      <c r="B21" s="5068"/>
      <c r="C21" s="2716" t="s">
        <v>2328</v>
      </c>
      <c r="D21" s="2716"/>
      <c r="E21" s="3303">
        <v>1</v>
      </c>
      <c r="F21" s="2439" t="s">
        <v>2329</v>
      </c>
      <c r="G21" s="2439"/>
    </row>
    <row r="22" spans="1:13" ht="19.5" customHeight="1">
      <c r="A22" s="5078"/>
      <c r="B22" s="5068"/>
      <c r="C22" s="2716" t="s">
        <v>2330</v>
      </c>
      <c r="D22" s="2716"/>
      <c r="E22" s="3303">
        <v>0.9</v>
      </c>
      <c r="F22" s="2439" t="s">
        <v>2331</v>
      </c>
      <c r="G22" s="2439"/>
    </row>
    <row r="23" spans="1:13" ht="19.5" customHeight="1">
      <c r="A23" s="5078"/>
      <c r="B23" s="5068"/>
      <c r="C23" s="2716" t="s">
        <v>2332</v>
      </c>
      <c r="D23" s="2716"/>
      <c r="E23" s="3303">
        <v>0.9</v>
      </c>
      <c r="F23" s="2439" t="s">
        <v>2333</v>
      </c>
      <c r="G23" s="2439"/>
    </row>
    <row r="24" spans="1:13" ht="19.5" customHeight="1">
      <c r="A24" s="5078"/>
      <c r="B24" s="5068"/>
      <c r="C24" s="2716" t="s">
        <v>2334</v>
      </c>
      <c r="D24" s="2716"/>
      <c r="E24" s="3303">
        <v>0.8</v>
      </c>
      <c r="F24" s="2439" t="s">
        <v>2335</v>
      </c>
      <c r="G24" s="2439"/>
    </row>
    <row r="25" spans="1:13" ht="19.5" customHeight="1">
      <c r="A25" s="5078"/>
      <c r="B25" s="5068"/>
      <c r="C25" s="2716" t="s">
        <v>2336</v>
      </c>
      <c r="D25" s="2716"/>
      <c r="E25" s="3303">
        <v>0.8</v>
      </c>
      <c r="F25" s="2439"/>
      <c r="G25" s="2439"/>
    </row>
    <row r="26" spans="1:13" ht="19.5" customHeight="1">
      <c r="A26" s="5078"/>
      <c r="B26" s="5068"/>
      <c r="C26" s="2719" t="s">
        <v>3275</v>
      </c>
      <c r="D26" s="2719"/>
      <c r="E26" s="3303">
        <v>0.43</v>
      </c>
      <c r="F26" s="2439"/>
      <c r="G26" s="2439"/>
    </row>
    <row r="27" spans="1:13" ht="19.5" customHeight="1" thickBot="1">
      <c r="A27" s="5079"/>
      <c r="B27" s="5069"/>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0" t="s">
        <v>2518</v>
      </c>
      <c r="B29" s="5073" t="s">
        <v>2499</v>
      </c>
      <c r="C29" s="2437" t="s">
        <v>2339</v>
      </c>
      <c r="D29" s="2438"/>
      <c r="E29" s="3302">
        <v>1</v>
      </c>
      <c r="F29" s="2439" t="s">
        <v>2340</v>
      </c>
      <c r="G29" s="2439"/>
    </row>
    <row r="30" spans="1:13" ht="19.5" customHeight="1">
      <c r="A30" s="5071"/>
      <c r="B30" s="5074"/>
      <c r="C30" s="2440" t="s">
        <v>2341</v>
      </c>
      <c r="D30" s="2441"/>
      <c r="E30" s="3303">
        <v>1</v>
      </c>
      <c r="F30" s="2439" t="s">
        <v>2342</v>
      </c>
      <c r="G30" s="2439"/>
    </row>
    <row r="31" spans="1:13" ht="19.5" customHeight="1">
      <c r="A31" s="5071"/>
      <c r="B31" s="5074"/>
      <c r="C31" s="2440" t="s">
        <v>2343</v>
      </c>
      <c r="D31" s="2441"/>
      <c r="E31" s="3303">
        <v>0.8</v>
      </c>
      <c r="F31" s="2439" t="s">
        <v>2344</v>
      </c>
      <c r="G31" s="2439"/>
    </row>
    <row r="32" spans="1:13" ht="19.5" customHeight="1">
      <c r="A32" s="5071"/>
      <c r="B32" s="5074"/>
      <c r="C32" s="2440" t="s">
        <v>2345</v>
      </c>
      <c r="D32" s="2441"/>
      <c r="E32" s="3303">
        <v>0.8</v>
      </c>
      <c r="F32" s="2439" t="s">
        <v>2346</v>
      </c>
      <c r="G32" s="2439"/>
    </row>
    <row r="33" spans="1:7" ht="19.5" customHeight="1">
      <c r="A33" s="5071"/>
      <c r="B33" s="5074"/>
      <c r="C33" s="2440" t="s">
        <v>2347</v>
      </c>
      <c r="D33" s="2441"/>
      <c r="E33" s="3303">
        <v>0.8</v>
      </c>
      <c r="F33" s="2439" t="s">
        <v>2348</v>
      </c>
      <c r="G33" s="2439"/>
    </row>
    <row r="34" spans="1:7" ht="19.5" customHeight="1">
      <c r="A34" s="5071"/>
      <c r="B34" s="5074"/>
      <c r="C34" s="2440" t="s">
        <v>2349</v>
      </c>
      <c r="D34" s="2441"/>
      <c r="E34" s="3303">
        <v>0.7</v>
      </c>
      <c r="F34" s="2439" t="s">
        <v>2350</v>
      </c>
      <c r="G34" s="2439"/>
    </row>
    <row r="35" spans="1:7" ht="19.5" customHeight="1">
      <c r="A35" s="5071"/>
      <c r="B35" s="5074"/>
      <c r="C35" s="2440" t="s">
        <v>2351</v>
      </c>
      <c r="D35" s="2441"/>
      <c r="E35" s="3303">
        <v>0.8</v>
      </c>
      <c r="F35" s="2439" t="s">
        <v>2352</v>
      </c>
      <c r="G35" s="2439"/>
    </row>
    <row r="36" spans="1:7" ht="19.5" customHeight="1">
      <c r="A36" s="5071"/>
      <c r="B36" s="5074"/>
      <c r="C36" s="2440" t="s">
        <v>2353</v>
      </c>
      <c r="D36" s="2441"/>
      <c r="E36" s="3303">
        <v>0.6</v>
      </c>
      <c r="F36" s="2439" t="s">
        <v>2354</v>
      </c>
      <c r="G36" s="2439"/>
    </row>
    <row r="37" spans="1:7" ht="19.5" customHeight="1">
      <c r="A37" s="5071"/>
      <c r="B37" s="5074"/>
      <c r="C37" s="2440" t="s">
        <v>2355</v>
      </c>
      <c r="D37" s="2441"/>
      <c r="E37" s="3303">
        <v>0.2</v>
      </c>
      <c r="F37" s="2439" t="s">
        <v>2356</v>
      </c>
      <c r="G37" s="2439"/>
    </row>
    <row r="38" spans="1:7" ht="19.5" customHeight="1">
      <c r="A38" s="5071"/>
      <c r="B38" s="5074"/>
      <c r="C38" s="2440" t="s">
        <v>2357</v>
      </c>
      <c r="D38" s="2441"/>
      <c r="E38" s="3303">
        <v>0.2</v>
      </c>
      <c r="F38" s="2439" t="s">
        <v>2358</v>
      </c>
      <c r="G38" s="2439"/>
    </row>
    <row r="39" spans="1:7" ht="19.5" customHeight="1">
      <c r="A39" s="5071"/>
      <c r="B39" s="5075" t="s">
        <v>2519</v>
      </c>
      <c r="C39" s="2440" t="s">
        <v>2359</v>
      </c>
      <c r="D39" s="2441"/>
      <c r="E39" s="3303">
        <v>0.6</v>
      </c>
      <c r="F39" s="2439" t="s">
        <v>2360</v>
      </c>
      <c r="G39" s="2439"/>
    </row>
    <row r="40" spans="1:7" ht="19.5" customHeight="1">
      <c r="A40" s="5071"/>
      <c r="B40" s="5074"/>
      <c r="C40" s="2440" t="s">
        <v>2361</v>
      </c>
      <c r="D40" s="2441"/>
      <c r="E40" s="3303">
        <v>0.6</v>
      </c>
      <c r="F40" s="2439" t="s">
        <v>2362</v>
      </c>
      <c r="G40" s="2439"/>
    </row>
    <row r="41" spans="1:7" ht="19.5" customHeight="1" thickBot="1">
      <c r="A41" s="5072"/>
      <c r="B41" s="5076"/>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7" t="s">
        <v>2497</v>
      </c>
      <c r="B43" s="5073" t="s">
        <v>2521</v>
      </c>
      <c r="C43" s="2437" t="s">
        <v>2366</v>
      </c>
      <c r="D43" s="2438"/>
      <c r="E43" s="3302">
        <v>1</v>
      </c>
      <c r="F43" s="2439" t="s">
        <v>2367</v>
      </c>
      <c r="G43" s="2439"/>
    </row>
    <row r="44" spans="1:7" ht="19.5" customHeight="1">
      <c r="A44" s="5078"/>
      <c r="B44" s="5074"/>
      <c r="C44" s="2440" t="s">
        <v>2368</v>
      </c>
      <c r="D44" s="2441"/>
      <c r="E44" s="3303">
        <v>1</v>
      </c>
      <c r="F44" s="2439" t="s">
        <v>2369</v>
      </c>
      <c r="G44" s="2439"/>
    </row>
    <row r="45" spans="1:7" ht="19.5" customHeight="1">
      <c r="A45" s="5078"/>
      <c r="B45" s="5080"/>
      <c r="C45" s="2440" t="s">
        <v>2370</v>
      </c>
      <c r="D45" s="2441"/>
      <c r="E45" s="3303">
        <v>1.5</v>
      </c>
      <c r="F45" s="2439" t="s">
        <v>2371</v>
      </c>
      <c r="G45" s="2439"/>
    </row>
    <row r="46" spans="1:7" ht="19.5" customHeight="1">
      <c r="A46" s="5078"/>
      <c r="B46" s="2448" t="s">
        <v>2522</v>
      </c>
      <c r="C46" s="2440" t="s">
        <v>2523</v>
      </c>
      <c r="D46" s="2441"/>
      <c r="E46" s="3303">
        <v>2</v>
      </c>
      <c r="F46" s="2439" t="s">
        <v>2372</v>
      </c>
      <c r="G46" s="2439"/>
    </row>
    <row r="47" spans="1:7" ht="19.5" customHeight="1">
      <c r="A47" s="5078"/>
      <c r="B47" s="5075" t="s">
        <v>2524</v>
      </c>
      <c r="C47" s="2440" t="s">
        <v>2373</v>
      </c>
      <c r="D47" s="2441"/>
      <c r="E47" s="3303">
        <v>1</v>
      </c>
      <c r="F47" s="2439" t="s">
        <v>2374</v>
      </c>
      <c r="G47" s="2439"/>
    </row>
    <row r="48" spans="1:7" ht="19.5" customHeight="1">
      <c r="A48" s="5078"/>
      <c r="B48" s="5074"/>
      <c r="C48" s="2440" t="s">
        <v>2375</v>
      </c>
      <c r="D48" s="2441"/>
      <c r="E48" s="3303">
        <v>1</v>
      </c>
      <c r="F48" s="2439" t="s">
        <v>2376</v>
      </c>
      <c r="G48" s="2439"/>
    </row>
    <row r="49" spans="1:7" ht="19.5" customHeight="1">
      <c r="A49" s="5078"/>
      <c r="B49" s="5074"/>
      <c r="C49" s="2440" t="s">
        <v>2377</v>
      </c>
      <c r="D49" s="2441"/>
      <c r="E49" s="3303">
        <v>1</v>
      </c>
      <c r="F49" s="2439" t="s">
        <v>2378</v>
      </c>
      <c r="G49" s="2439"/>
    </row>
    <row r="50" spans="1:7" ht="19.5" customHeight="1">
      <c r="A50" s="5078"/>
      <c r="B50" s="5074"/>
      <c r="C50" s="2440" t="s">
        <v>2379</v>
      </c>
      <c r="D50" s="2441"/>
      <c r="E50" s="3303">
        <v>1</v>
      </c>
      <c r="F50" s="2439" t="s">
        <v>2380</v>
      </c>
      <c r="G50" s="2439"/>
    </row>
    <row r="51" spans="1:7" ht="19.5" customHeight="1">
      <c r="A51" s="5078"/>
      <c r="B51" s="5074"/>
      <c r="C51" s="2440" t="s">
        <v>2381</v>
      </c>
      <c r="D51" s="2441"/>
      <c r="E51" s="3303">
        <v>1</v>
      </c>
      <c r="F51" s="2439" t="s">
        <v>2382</v>
      </c>
      <c r="G51" s="2439"/>
    </row>
    <row r="52" spans="1:7" ht="19.5" customHeight="1">
      <c r="A52" s="5078"/>
      <c r="B52" s="5074"/>
      <c r="C52" s="2440" t="s">
        <v>2383</v>
      </c>
      <c r="D52" s="2441"/>
      <c r="E52" s="3303">
        <v>1</v>
      </c>
      <c r="F52" s="2439" t="s">
        <v>2384</v>
      </c>
      <c r="G52" s="2439"/>
    </row>
    <row r="53" spans="1:7" ht="19.5" customHeight="1" thickBot="1">
      <c r="A53" s="5079"/>
      <c r="B53" s="5076"/>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75" t="s">
        <v>2538</v>
      </c>
      <c r="C75" s="2428" t="s">
        <v>2539</v>
      </c>
      <c r="D75" s="2428" t="s">
        <v>2540</v>
      </c>
      <c r="E75" s="3308">
        <v>0.2</v>
      </c>
      <c r="F75" s="3309">
        <v>25</v>
      </c>
    </row>
    <row r="76" spans="1:7" ht="24">
      <c r="A76" s="2448">
        <v>2</v>
      </c>
      <c r="B76" s="5074"/>
      <c r="C76" s="2428" t="s">
        <v>2541</v>
      </c>
      <c r="D76" s="2428" t="s">
        <v>2542</v>
      </c>
      <c r="E76" s="3308">
        <v>0.2</v>
      </c>
      <c r="F76" s="3309">
        <v>25</v>
      </c>
    </row>
    <row r="77" spans="1:7" ht="24">
      <c r="A77" s="2448">
        <v>3</v>
      </c>
      <c r="B77" s="5074"/>
      <c r="C77" s="2428" t="s">
        <v>2543</v>
      </c>
      <c r="D77" s="2428" t="s">
        <v>2544</v>
      </c>
      <c r="E77" s="3308">
        <v>0.2</v>
      </c>
      <c r="F77" s="3309">
        <v>25</v>
      </c>
    </row>
    <row r="78" spans="1:7" ht="14.4">
      <c r="A78" s="2448">
        <v>4</v>
      </c>
      <c r="B78" s="5074"/>
      <c r="C78" s="2428" t="s">
        <v>2545</v>
      </c>
      <c r="D78" s="2428" t="s">
        <v>2546</v>
      </c>
      <c r="E78" s="3308">
        <v>0.15</v>
      </c>
      <c r="F78" s="3309">
        <v>20</v>
      </c>
    </row>
    <row r="79" spans="1:7" ht="24">
      <c r="A79" s="2448">
        <v>5</v>
      </c>
      <c r="B79" s="5074"/>
      <c r="C79" s="2428" t="s">
        <v>2547</v>
      </c>
      <c r="D79" s="2428" t="s">
        <v>2548</v>
      </c>
      <c r="E79" s="3308">
        <v>0.15</v>
      </c>
      <c r="F79" s="3309">
        <v>20</v>
      </c>
    </row>
    <row r="80" spans="1:7" ht="24">
      <c r="A80" s="2448">
        <v>6</v>
      </c>
      <c r="B80" s="5074"/>
      <c r="C80" s="2428" t="s">
        <v>2549</v>
      </c>
      <c r="D80" s="2428" t="s">
        <v>2550</v>
      </c>
      <c r="E80" s="3308">
        <v>0.15</v>
      </c>
      <c r="F80" s="3309">
        <v>20</v>
      </c>
    </row>
    <row r="81" spans="1:6" ht="24">
      <c r="A81" s="2448">
        <v>7</v>
      </c>
      <c r="B81" s="5074"/>
      <c r="C81" s="2428" t="s">
        <v>2551</v>
      </c>
      <c r="D81" s="2428" t="s">
        <v>2552</v>
      </c>
      <c r="E81" s="3308">
        <v>0.15</v>
      </c>
      <c r="F81" s="3309">
        <v>20</v>
      </c>
    </row>
    <row r="82" spans="1:6" ht="24">
      <c r="A82" s="2448">
        <v>8</v>
      </c>
      <c r="B82" s="5074"/>
      <c r="C82" s="2428" t="s">
        <v>2553</v>
      </c>
      <c r="D82" s="2428" t="s">
        <v>2554</v>
      </c>
      <c r="E82" s="3308">
        <v>0.1</v>
      </c>
      <c r="F82" s="3309">
        <v>15</v>
      </c>
    </row>
    <row r="83" spans="1:6" ht="24">
      <c r="A83" s="2448">
        <v>9</v>
      </c>
      <c r="B83" s="5074"/>
      <c r="C83" s="2428" t="s">
        <v>2555</v>
      </c>
      <c r="D83" s="2428" t="s">
        <v>2556</v>
      </c>
      <c r="E83" s="3308">
        <v>0.1</v>
      </c>
      <c r="F83" s="3309">
        <v>15</v>
      </c>
    </row>
    <row r="84" spans="1:6" ht="24">
      <c r="A84" s="2448">
        <v>10</v>
      </c>
      <c r="B84" s="5074"/>
      <c r="C84" s="2428" t="s">
        <v>2557</v>
      </c>
      <c r="D84" s="2428" t="s">
        <v>2558</v>
      </c>
      <c r="E84" s="3308">
        <v>0.1</v>
      </c>
      <c r="F84" s="3309">
        <v>15</v>
      </c>
    </row>
    <row r="85" spans="1:6" ht="24">
      <c r="A85" s="2448">
        <v>11</v>
      </c>
      <c r="B85" s="5074"/>
      <c r="C85" s="2428" t="s">
        <v>2559</v>
      </c>
      <c r="D85" s="2428" t="s">
        <v>2560</v>
      </c>
      <c r="E85" s="3308">
        <v>0.1</v>
      </c>
      <c r="F85" s="3309">
        <v>15</v>
      </c>
    </row>
    <row r="86" spans="1:6" ht="24">
      <c r="A86" s="2448">
        <v>12</v>
      </c>
      <c r="B86" s="5074"/>
      <c r="C86" s="2428" t="s">
        <v>2561</v>
      </c>
      <c r="D86" s="2428" t="s">
        <v>2562</v>
      </c>
      <c r="E86" s="3308">
        <v>0.1</v>
      </c>
      <c r="F86" s="3309">
        <v>15</v>
      </c>
    </row>
    <row r="87" spans="1:6" ht="24">
      <c r="A87" s="2448">
        <v>13</v>
      </c>
      <c r="B87" s="5074"/>
      <c r="C87" s="2428" t="s">
        <v>2563</v>
      </c>
      <c r="D87" s="2428" t="s">
        <v>2564</v>
      </c>
      <c r="E87" s="3308">
        <v>0.1</v>
      </c>
      <c r="F87" s="3309">
        <v>15</v>
      </c>
    </row>
    <row r="88" spans="1:6" ht="24">
      <c r="A88" s="2448">
        <v>14</v>
      </c>
      <c r="B88" s="5074"/>
      <c r="C88" s="2428" t="s">
        <v>2565</v>
      </c>
      <c r="D88" s="2428" t="s">
        <v>2566</v>
      </c>
      <c r="E88" s="3308">
        <v>0.1</v>
      </c>
      <c r="F88" s="3309">
        <v>15</v>
      </c>
    </row>
    <row r="89" spans="1:6" ht="24">
      <c r="A89" s="2448">
        <v>15</v>
      </c>
      <c r="B89" s="5074"/>
      <c r="C89" s="2428" t="s">
        <v>2567</v>
      </c>
      <c r="D89" s="2428" t="s">
        <v>2568</v>
      </c>
      <c r="E89" s="3308">
        <v>0.1</v>
      </c>
      <c r="F89" s="3309">
        <v>15</v>
      </c>
    </row>
    <row r="90" spans="1:6" ht="24">
      <c r="A90" s="2448">
        <v>16</v>
      </c>
      <c r="B90" s="5074"/>
      <c r="C90" s="2428" t="s">
        <v>2569</v>
      </c>
      <c r="D90" s="2428" t="s">
        <v>2570</v>
      </c>
      <c r="E90" s="3308">
        <v>0.1</v>
      </c>
      <c r="F90" s="3309">
        <v>15</v>
      </c>
    </row>
    <row r="91" spans="1:6" ht="24">
      <c r="A91" s="2448">
        <v>17</v>
      </c>
      <c r="B91" s="5080"/>
      <c r="C91" s="2428" t="s">
        <v>2571</v>
      </c>
      <c r="D91" s="2428" t="s">
        <v>2572</v>
      </c>
      <c r="E91" s="3308">
        <v>0.1</v>
      </c>
      <c r="F91" s="3309">
        <v>15</v>
      </c>
    </row>
    <row r="92" spans="1:6" ht="14.4">
      <c r="A92" s="2448">
        <v>18</v>
      </c>
      <c r="B92" s="5075" t="s">
        <v>2573</v>
      </c>
      <c r="C92" s="2428" t="s">
        <v>2574</v>
      </c>
      <c r="D92" s="2428" t="s">
        <v>2575</v>
      </c>
      <c r="E92" s="3308">
        <v>0.2</v>
      </c>
      <c r="F92" s="3309">
        <v>25</v>
      </c>
    </row>
    <row r="93" spans="1:6" ht="24">
      <c r="A93" s="2448">
        <v>19</v>
      </c>
      <c r="B93" s="5074"/>
      <c r="C93" s="2428" t="s">
        <v>2576</v>
      </c>
      <c r="D93" s="2428" t="s">
        <v>2577</v>
      </c>
      <c r="E93" s="3308">
        <v>0.2</v>
      </c>
      <c r="F93" s="3309">
        <v>25</v>
      </c>
    </row>
    <row r="94" spans="1:6" ht="14.4">
      <c r="A94" s="2448">
        <v>20</v>
      </c>
      <c r="B94" s="5074"/>
      <c r="C94" s="2428" t="s">
        <v>2578</v>
      </c>
      <c r="D94" s="2428" t="s">
        <v>2579</v>
      </c>
      <c r="E94" s="3308">
        <v>0.15</v>
      </c>
      <c r="F94" s="3309">
        <v>20</v>
      </c>
    </row>
    <row r="95" spans="1:6" ht="24">
      <c r="A95" s="2448">
        <v>21</v>
      </c>
      <c r="B95" s="5074"/>
      <c r="C95" s="2428" t="s">
        <v>2580</v>
      </c>
      <c r="D95" s="2428" t="s">
        <v>2581</v>
      </c>
      <c r="E95" s="3308">
        <v>0.15</v>
      </c>
      <c r="F95" s="3309">
        <v>20</v>
      </c>
    </row>
    <row r="96" spans="1:6" ht="24">
      <c r="A96" s="2448">
        <v>22</v>
      </c>
      <c r="B96" s="5074"/>
      <c r="C96" s="2428" t="s">
        <v>2582</v>
      </c>
      <c r="D96" s="2428" t="s">
        <v>2583</v>
      </c>
      <c r="E96" s="3308">
        <v>0.15</v>
      </c>
      <c r="F96" s="3309">
        <v>20</v>
      </c>
    </row>
    <row r="97" spans="1:6" ht="36">
      <c r="A97" s="2448">
        <v>23</v>
      </c>
      <c r="B97" s="5074"/>
      <c r="C97" s="2428" t="s">
        <v>2584</v>
      </c>
      <c r="D97" s="2428" t="s">
        <v>2585</v>
      </c>
      <c r="E97" s="3308">
        <v>0.15</v>
      </c>
      <c r="F97" s="3309">
        <v>20</v>
      </c>
    </row>
    <row r="98" spans="1:6" ht="24">
      <c r="A98" s="2448">
        <v>24</v>
      </c>
      <c r="B98" s="5074"/>
      <c r="C98" s="2428" t="s">
        <v>2586</v>
      </c>
      <c r="D98" s="2428" t="s">
        <v>2587</v>
      </c>
      <c r="E98" s="3308">
        <v>0.1</v>
      </c>
      <c r="F98" s="3309">
        <v>15</v>
      </c>
    </row>
    <row r="99" spans="1:6" ht="24">
      <c r="A99" s="2448">
        <v>25</v>
      </c>
      <c r="B99" s="5074"/>
      <c r="C99" s="2428" t="s">
        <v>2588</v>
      </c>
      <c r="D99" s="2428" t="s">
        <v>2589</v>
      </c>
      <c r="E99" s="3308">
        <v>0.1</v>
      </c>
      <c r="F99" s="3309">
        <v>15</v>
      </c>
    </row>
    <row r="100" spans="1:6" ht="24">
      <c r="A100" s="2448">
        <v>26</v>
      </c>
      <c r="B100" s="5074"/>
      <c r="C100" s="2428" t="s">
        <v>2590</v>
      </c>
      <c r="D100" s="2428" t="s">
        <v>2591</v>
      </c>
      <c r="E100" s="3308">
        <v>0.1</v>
      </c>
      <c r="F100" s="3309">
        <v>15</v>
      </c>
    </row>
    <row r="101" spans="1:6" ht="24">
      <c r="A101" s="2448">
        <v>27</v>
      </c>
      <c r="B101" s="5074"/>
      <c r="C101" s="2428" t="s">
        <v>2592</v>
      </c>
      <c r="D101" s="2428" t="s">
        <v>2593</v>
      </c>
      <c r="E101" s="3308">
        <v>0.1</v>
      </c>
      <c r="F101" s="3309">
        <v>15</v>
      </c>
    </row>
    <row r="102" spans="1:6" ht="24">
      <c r="A102" s="2448">
        <v>28</v>
      </c>
      <c r="B102" s="5074"/>
      <c r="C102" s="2428" t="s">
        <v>2594</v>
      </c>
      <c r="D102" s="2428" t="s">
        <v>2595</v>
      </c>
      <c r="E102" s="3308">
        <v>0.1</v>
      </c>
      <c r="F102" s="3309">
        <v>15</v>
      </c>
    </row>
    <row r="103" spans="1:6" ht="24">
      <c r="A103" s="2448">
        <v>29</v>
      </c>
      <c r="B103" s="5074"/>
      <c r="C103" s="2428" t="s">
        <v>2596</v>
      </c>
      <c r="D103" s="2428" t="s">
        <v>2597</v>
      </c>
      <c r="E103" s="3308">
        <v>0.1</v>
      </c>
      <c r="F103" s="3309">
        <v>15</v>
      </c>
    </row>
    <row r="104" spans="1:6" ht="24">
      <c r="A104" s="2448">
        <v>30</v>
      </c>
      <c r="B104" s="5074"/>
      <c r="C104" s="2428" t="s">
        <v>2598</v>
      </c>
      <c r="D104" s="2428" t="s">
        <v>2599</v>
      </c>
      <c r="E104" s="3308">
        <v>0.1</v>
      </c>
      <c r="F104" s="3309">
        <v>15</v>
      </c>
    </row>
    <row r="105" spans="1:6" ht="24">
      <c r="A105" s="2448">
        <v>31</v>
      </c>
      <c r="B105" s="5074"/>
      <c r="C105" s="2428" t="s">
        <v>2600</v>
      </c>
      <c r="D105" s="2428" t="s">
        <v>2601</v>
      </c>
      <c r="E105" s="3308">
        <v>0.1</v>
      </c>
      <c r="F105" s="3309">
        <v>15</v>
      </c>
    </row>
    <row r="106" spans="1:6" ht="24">
      <c r="A106" s="2448">
        <v>32</v>
      </c>
      <c r="B106" s="5074"/>
      <c r="C106" s="2428" t="s">
        <v>2602</v>
      </c>
      <c r="D106" s="2428" t="s">
        <v>2603</v>
      </c>
      <c r="E106" s="3308">
        <v>0.1</v>
      </c>
      <c r="F106" s="3309">
        <v>15</v>
      </c>
    </row>
    <row r="107" spans="1:6" ht="24">
      <c r="A107" s="2448">
        <v>33</v>
      </c>
      <c r="B107" s="5074"/>
      <c r="C107" s="2428" t="s">
        <v>2604</v>
      </c>
      <c r="D107" s="2428" t="s">
        <v>2605</v>
      </c>
      <c r="E107" s="3308">
        <v>0.1</v>
      </c>
      <c r="F107" s="3309">
        <v>15</v>
      </c>
    </row>
    <row r="108" spans="1:6" ht="24">
      <c r="A108" s="2448">
        <v>34</v>
      </c>
      <c r="B108" s="5080"/>
      <c r="C108" s="2428" t="s">
        <v>2606</v>
      </c>
      <c r="D108" s="2428" t="s">
        <v>2607</v>
      </c>
      <c r="E108" s="3308">
        <v>0.1</v>
      </c>
      <c r="F108" s="3309">
        <v>15</v>
      </c>
    </row>
    <row r="109" spans="1:6" ht="36">
      <c r="A109" s="2448">
        <v>35</v>
      </c>
      <c r="B109" s="5075" t="s">
        <v>2608</v>
      </c>
      <c r="C109" s="2448" t="s">
        <v>2609</v>
      </c>
      <c r="D109" s="2428" t="s">
        <v>2610</v>
      </c>
      <c r="E109" s="3308">
        <v>0.15</v>
      </c>
      <c r="F109" s="3309">
        <v>20</v>
      </c>
    </row>
    <row r="110" spans="1:6" ht="24">
      <c r="A110" s="2448">
        <v>36</v>
      </c>
      <c r="B110" s="5074"/>
      <c r="C110" s="2448" t="s">
        <v>2611</v>
      </c>
      <c r="D110" s="2428" t="s">
        <v>2612</v>
      </c>
      <c r="E110" s="3308">
        <v>0.15</v>
      </c>
      <c r="F110" s="3309">
        <v>20</v>
      </c>
    </row>
    <row r="111" spans="1:6" ht="24">
      <c r="A111" s="2448">
        <v>37</v>
      </c>
      <c r="B111" s="5074"/>
      <c r="C111" s="2448" t="s">
        <v>2613</v>
      </c>
      <c r="D111" s="2428" t="s">
        <v>2614</v>
      </c>
      <c r="E111" s="3308">
        <v>0.15</v>
      </c>
      <c r="F111" s="3309">
        <v>20</v>
      </c>
    </row>
    <row r="112" spans="1:6" ht="24">
      <c r="A112" s="2448">
        <v>38</v>
      </c>
      <c r="B112" s="5074"/>
      <c r="C112" s="2448" t="s">
        <v>2615</v>
      </c>
      <c r="D112" s="2428" t="s">
        <v>2616</v>
      </c>
      <c r="E112" s="3308">
        <v>0.1</v>
      </c>
      <c r="F112" s="3309">
        <v>15</v>
      </c>
    </row>
    <row r="113" spans="1:6" ht="24">
      <c r="A113" s="2448">
        <v>39</v>
      </c>
      <c r="B113" s="5074"/>
      <c r="C113" s="2448" t="s">
        <v>2617</v>
      </c>
      <c r="D113" s="2428" t="s">
        <v>2618</v>
      </c>
      <c r="E113" s="3308">
        <v>0.1</v>
      </c>
      <c r="F113" s="3309">
        <v>15</v>
      </c>
    </row>
    <row r="114" spans="1:6" ht="24">
      <c r="A114" s="2448">
        <v>40</v>
      </c>
      <c r="B114" s="5080"/>
      <c r="C114" s="2448" t="s">
        <v>2619</v>
      </c>
      <c r="D114" s="2428" t="s">
        <v>2620</v>
      </c>
      <c r="E114" s="3308">
        <v>0.1</v>
      </c>
      <c r="F114" s="3309">
        <v>15</v>
      </c>
    </row>
    <row r="115" spans="1:6" ht="24">
      <c r="A115" s="2448">
        <v>41</v>
      </c>
      <c r="B115" s="5068" t="s">
        <v>2621</v>
      </c>
      <c r="C115" s="2448" t="s">
        <v>2622</v>
      </c>
      <c r="D115" s="2428" t="s">
        <v>2623</v>
      </c>
      <c r="E115" s="3308">
        <v>0.1</v>
      </c>
      <c r="F115" s="3309">
        <v>15</v>
      </c>
    </row>
    <row r="116" spans="1:6" ht="24">
      <c r="A116" s="2448">
        <v>42</v>
      </c>
      <c r="B116" s="5068"/>
      <c r="C116" s="2448" t="s">
        <v>2624</v>
      </c>
      <c r="D116" s="2428" t="s">
        <v>2625</v>
      </c>
      <c r="E116" s="3308">
        <v>0.1</v>
      </c>
      <c r="F116" s="3309">
        <v>15</v>
      </c>
    </row>
    <row r="117" spans="1:6" ht="24">
      <c r="A117" s="2448">
        <v>43</v>
      </c>
      <c r="B117" s="5068"/>
      <c r="C117" s="2448" t="s">
        <v>2626</v>
      </c>
      <c r="D117" s="2428" t="s">
        <v>2627</v>
      </c>
      <c r="E117" s="3308">
        <v>0.1</v>
      </c>
      <c r="F117" s="3309">
        <v>15</v>
      </c>
    </row>
    <row r="118" spans="1:6" ht="24">
      <c r="A118" s="2448">
        <v>44</v>
      </c>
      <c r="B118" s="5075" t="s">
        <v>2628</v>
      </c>
      <c r="C118" s="2448" t="s">
        <v>2629</v>
      </c>
      <c r="D118" s="2428" t="s">
        <v>2630</v>
      </c>
      <c r="E118" s="3308">
        <v>0.1</v>
      </c>
      <c r="F118" s="3309">
        <v>15</v>
      </c>
    </row>
    <row r="119" spans="1:6" ht="24">
      <c r="A119" s="2448">
        <v>45</v>
      </c>
      <c r="B119" s="5080"/>
      <c r="C119" s="2428" t="s">
        <v>2631</v>
      </c>
      <c r="D119" s="2428" t="s">
        <v>2632</v>
      </c>
      <c r="E119" s="3308">
        <v>0.1</v>
      </c>
      <c r="F119" s="3309">
        <v>15</v>
      </c>
    </row>
    <row r="120" spans="1:6" ht="24">
      <c r="A120" s="2448">
        <v>46</v>
      </c>
      <c r="B120" s="5075" t="s">
        <v>2633</v>
      </c>
      <c r="C120" s="2448" t="s">
        <v>2634</v>
      </c>
      <c r="D120" s="2428" t="s">
        <v>2635</v>
      </c>
      <c r="E120" s="3308">
        <v>0.1</v>
      </c>
      <c r="F120" s="3309">
        <v>15</v>
      </c>
    </row>
    <row r="121" spans="1:6" ht="24">
      <c r="A121" s="2448">
        <v>47</v>
      </c>
      <c r="B121" s="5080"/>
      <c r="C121" s="2448" t="s">
        <v>2636</v>
      </c>
      <c r="D121" s="2428" t="s">
        <v>2637</v>
      </c>
      <c r="E121" s="3308">
        <v>0.1</v>
      </c>
      <c r="F121" s="3309">
        <v>15</v>
      </c>
    </row>
    <row r="122" spans="1:6" ht="24">
      <c r="A122" s="2448">
        <v>48</v>
      </c>
      <c r="B122" s="5075" t="s">
        <v>2638</v>
      </c>
      <c r="C122" s="2448" t="s">
        <v>2639</v>
      </c>
      <c r="D122" s="2428" t="s">
        <v>2640</v>
      </c>
      <c r="E122" s="3308">
        <v>0.1</v>
      </c>
      <c r="F122" s="3309">
        <v>15</v>
      </c>
    </row>
    <row r="123" spans="1:6" ht="24">
      <c r="A123" s="2448">
        <v>49</v>
      </c>
      <c r="B123" s="5080"/>
      <c r="C123" s="2448" t="s">
        <v>2641</v>
      </c>
      <c r="D123" s="2428" t="s">
        <v>2642</v>
      </c>
      <c r="E123" s="3308">
        <v>0.1</v>
      </c>
      <c r="F123" s="3309">
        <v>15</v>
      </c>
    </row>
    <row r="124" spans="1:6" ht="24">
      <c r="A124" s="2448">
        <v>50</v>
      </c>
      <c r="B124" s="5068" t="s">
        <v>2643</v>
      </c>
      <c r="C124" s="2448" t="s">
        <v>2644</v>
      </c>
      <c r="D124" s="2428" t="s">
        <v>2645</v>
      </c>
      <c r="E124" s="3308">
        <v>0.1</v>
      </c>
      <c r="F124" s="3309">
        <v>15</v>
      </c>
    </row>
    <row r="125" spans="1:6" ht="24">
      <c r="A125" s="2448">
        <v>51</v>
      </c>
      <c r="B125" s="5068"/>
      <c r="C125" s="2448" t="s">
        <v>2646</v>
      </c>
      <c r="D125" s="2428" t="s">
        <v>2647</v>
      </c>
      <c r="E125" s="3308">
        <v>0.1</v>
      </c>
      <c r="F125" s="3309">
        <v>15</v>
      </c>
    </row>
    <row r="126" spans="1:6" ht="24">
      <c r="A126" s="2448">
        <v>52</v>
      </c>
      <c r="B126" s="5068" t="s">
        <v>2648</v>
      </c>
      <c r="C126" s="2448" t="s">
        <v>2649</v>
      </c>
      <c r="D126" s="2428" t="s">
        <v>2650</v>
      </c>
      <c r="E126" s="3308">
        <v>0.1</v>
      </c>
      <c r="F126" s="3309">
        <v>15</v>
      </c>
    </row>
    <row r="127" spans="1:6" ht="24">
      <c r="A127" s="2448">
        <v>53</v>
      </c>
      <c r="B127" s="5068"/>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8" t="s">
        <v>2656</v>
      </c>
      <c r="C129" s="2448" t="s">
        <v>2657</v>
      </c>
      <c r="D129" s="2428" t="s">
        <v>2658</v>
      </c>
      <c r="E129" s="3308">
        <v>0.1</v>
      </c>
      <c r="F129" s="3309">
        <v>15</v>
      </c>
    </row>
    <row r="130" spans="1:6" ht="24">
      <c r="A130" s="2448">
        <v>56</v>
      </c>
      <c r="B130" s="5068"/>
      <c r="C130" s="2448" t="s">
        <v>2659</v>
      </c>
      <c r="D130" s="2428" t="s">
        <v>2660</v>
      </c>
      <c r="E130" s="3308">
        <v>0.1</v>
      </c>
      <c r="F130" s="3309">
        <v>15</v>
      </c>
    </row>
    <row r="131" spans="1:6" ht="24">
      <c r="A131" s="2448">
        <v>57</v>
      </c>
      <c r="B131" s="5068"/>
      <c r="C131" s="2448" t="s">
        <v>2661</v>
      </c>
      <c r="D131" s="2428" t="s">
        <v>2662</v>
      </c>
      <c r="E131" s="3308">
        <v>0.1</v>
      </c>
      <c r="F131" s="3309">
        <v>15</v>
      </c>
    </row>
    <row r="132" spans="1:6" ht="24">
      <c r="A132" s="2448">
        <v>58</v>
      </c>
      <c r="B132" s="5068" t="s">
        <v>2663</v>
      </c>
      <c r="C132" s="2448" t="s">
        <v>2664</v>
      </c>
      <c r="D132" s="2428" t="s">
        <v>2665</v>
      </c>
      <c r="E132" s="3308">
        <v>0.1</v>
      </c>
      <c r="F132" s="3309">
        <v>15</v>
      </c>
    </row>
    <row r="133" spans="1:6" ht="24">
      <c r="A133" s="2448">
        <v>59</v>
      </c>
      <c r="B133" s="5068"/>
      <c r="C133" s="2448" t="s">
        <v>2666</v>
      </c>
      <c r="D133" s="2428" t="s">
        <v>2667</v>
      </c>
      <c r="E133" s="3308">
        <v>0.1</v>
      </c>
      <c r="F133" s="3309">
        <v>15</v>
      </c>
    </row>
    <row r="134" spans="1:6" ht="24">
      <c r="A134" s="2448">
        <v>60</v>
      </c>
      <c r="B134" s="5075" t="s">
        <v>2668</v>
      </c>
      <c r="C134" s="2448" t="s">
        <v>2669</v>
      </c>
      <c r="D134" s="2428" t="s">
        <v>2670</v>
      </c>
      <c r="E134" s="3308">
        <v>0.1</v>
      </c>
      <c r="F134" s="3309">
        <v>15</v>
      </c>
    </row>
    <row r="135" spans="1:6" ht="24">
      <c r="A135" s="2448">
        <v>61</v>
      </c>
      <c r="B135" s="5080"/>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8" t="s">
        <v>2676</v>
      </c>
      <c r="C137" s="2448" t="s">
        <v>2677</v>
      </c>
      <c r="D137" s="2428" t="s">
        <v>2678</v>
      </c>
      <c r="E137" s="3308">
        <v>0.1</v>
      </c>
      <c r="F137" s="3309">
        <v>15</v>
      </c>
    </row>
    <row r="138" spans="1:6" ht="24">
      <c r="A138" s="2448">
        <v>64</v>
      </c>
      <c r="B138" s="5068"/>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1.0558000000000001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1</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24315</v>
      </c>
      <c r="C2" s="2" t="s">
        <v>104</v>
      </c>
      <c r="D2" s="98"/>
      <c r="E2" s="98"/>
      <c r="F2" s="98"/>
      <c r="G2" s="98"/>
    </row>
    <row r="3" spans="1:7" s="99" customFormat="1" ht="18" customHeight="1" thickBot="1">
      <c r="A3" s="102" t="s">
        <v>56</v>
      </c>
      <c r="B3" s="103">
        <f ca="1">ROUND(B2*10000/'数据-汇总表'!E3,0)</f>
        <v>98547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49</v>
      </c>
      <c r="D10" s="567">
        <f>'数据-汇总表'!E6</f>
        <v>2467.34</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65</v>
      </c>
      <c r="D19" s="571">
        <f>'数据-汇总表'!E3</f>
        <v>2467.34</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623</v>
      </c>
      <c r="D22" s="134">
        <f ca="1">C26</f>
        <v>2.0000000000000001E-4</v>
      </c>
      <c r="E22" s="135" t="s">
        <v>97</v>
      </c>
      <c r="F22" s="136">
        <f ca="1">'数据-取费表'!B41</f>
        <v>0.03</v>
      </c>
      <c r="G22" s="742" t="str">
        <f>IF('数据-取费表'!B22&lt;=1,"单利计息","复利计息")</f>
        <v>单利计息</v>
      </c>
    </row>
    <row r="23" spans="1:7" s="113" customFormat="1" ht="13.5" customHeight="1">
      <c r="A23" s="539" t="s">
        <v>347</v>
      </c>
      <c r="B23" s="114" t="s">
        <v>417</v>
      </c>
      <c r="C23" s="779">
        <f ca="1">ROUND(IF('数据-取费表'!B22&lt;=1,C5*F22*'数据-取费表'!B23,C5*(POWER((1+F22),'数据-取费表'!B23)-1)),0)</f>
        <v>618</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2</v>
      </c>
      <c r="D24" s="137"/>
      <c r="E24" s="137"/>
      <c r="F24" s="138"/>
      <c r="G24" s="139" t="s">
        <v>80</v>
      </c>
    </row>
    <row r="25" spans="1:7" s="113" customFormat="1" ht="24">
      <c r="A25" s="539" t="s">
        <v>346</v>
      </c>
      <c r="B25" s="114" t="s">
        <v>414</v>
      </c>
      <c r="C25" s="779">
        <f ca="1">ROUND(IF('数据-取费表'!B22&lt;=1,C20*F22*'数据-取费表'!B23/2,C20*(POWER((1+F22),'数据-取费表'!B23/2)-1)),0)</f>
        <v>3</v>
      </c>
      <c r="D25" s="137"/>
      <c r="E25" s="140"/>
      <c r="F25" s="138"/>
      <c r="G25" s="141" t="s">
        <v>81</v>
      </c>
    </row>
    <row r="26" spans="1:7" s="113" customFormat="1">
      <c r="A26" s="539" t="s">
        <v>348</v>
      </c>
      <c r="B26" s="114" t="s">
        <v>416</v>
      </c>
      <c r="C26" s="137">
        <f ca="1">ROUND(IF('数据-取费表'!B22&lt;=1,F21*F22*'数据-取费表'!B23/2,F21*(POWER((1+F22),'数据-取费表'!B23/2)-1)),4)</f>
        <v>2.0000000000000001E-4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23434</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1050</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938</v>
      </c>
      <c r="D34" s="116"/>
      <c r="E34" s="119"/>
      <c r="F34" s="156">
        <f>IF('数据-取费表'!B24=0,1,'数据-取费表'!N16)</f>
        <v>1</v>
      </c>
      <c r="G34" s="118" t="s">
        <v>87</v>
      </c>
    </row>
    <row r="35" spans="1:7" ht="13.5" customHeight="1">
      <c r="A35" s="539" t="s">
        <v>349</v>
      </c>
      <c r="B35" s="114" t="s">
        <v>31</v>
      </c>
      <c r="C35" s="119">
        <f>ROUND(C34*F35,0)</f>
        <v>19</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74</v>
      </c>
      <c r="D37" s="116">
        <f>'数据-汇总表'!E3</f>
        <v>2467.34</v>
      </c>
      <c r="E37" s="148">
        <f>'数据-取费表'!B35</f>
        <v>300</v>
      </c>
      <c r="F37" s="158"/>
      <c r="G37" s="160" t="s">
        <v>90</v>
      </c>
    </row>
    <row r="38" spans="1:7" ht="13.5" customHeight="1">
      <c r="A38" s="539" t="s">
        <v>352</v>
      </c>
      <c r="B38" s="114" t="s">
        <v>34</v>
      </c>
      <c r="C38" s="119">
        <f>ROUND(C34*F38,0)</f>
        <v>19</v>
      </c>
      <c r="D38" s="119"/>
      <c r="E38" s="119"/>
      <c r="F38" s="158">
        <f>'数据-取费表'!B36</f>
        <v>0.02</v>
      </c>
      <c r="G38" s="118" t="s">
        <v>88</v>
      </c>
    </row>
    <row r="39" spans="1:7" s="113" customFormat="1" ht="13.5" customHeight="1">
      <c r="A39" s="536" t="s">
        <v>336</v>
      </c>
      <c r="B39" s="109" t="s">
        <v>75</v>
      </c>
      <c r="C39" s="131">
        <f>ROUND(C33*F20,0)</f>
        <v>11</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16</v>
      </c>
      <c r="D41" s="134">
        <f ca="1">C44</f>
        <v>2.0000000000000001E-4</v>
      </c>
      <c r="E41" s="135" t="s">
        <v>100</v>
      </c>
      <c r="F41" s="136"/>
      <c r="G41" s="742" t="str">
        <f>IF('数据-取费表'!B22&lt;=1,"单利计息","复利计息")</f>
        <v>单利计息</v>
      </c>
    </row>
    <row r="42" spans="1:7" ht="13.5" customHeight="1">
      <c r="A42" s="539" t="s">
        <v>347</v>
      </c>
      <c r="B42" s="114" t="s">
        <v>417</v>
      </c>
      <c r="C42" s="137">
        <f ca="1">ROUND(IF('数据-取费表'!B22&lt;=1,C33*F22*'数据-取费表'!B21/2,C33*(POWER((1+F22),'数据-取费表'!B21/2)-1)),0)</f>
        <v>16</v>
      </c>
      <c r="D42" s="137"/>
      <c r="E42" s="137"/>
      <c r="F42" s="138"/>
      <c r="G42" s="4870" t="s">
        <v>92</v>
      </c>
    </row>
    <row r="43" spans="1:7" ht="13.5" customHeight="1">
      <c r="A43" s="539" t="s">
        <v>345</v>
      </c>
      <c r="B43" s="114" t="s">
        <v>420</v>
      </c>
      <c r="C43" s="137">
        <f ca="1">ROUND(IF('数据-取费表'!B22&lt;=1,C39*F22*'数据-取费表'!B21/2,C39*(POWER((1+F22),'数据-取费表'!B21/2)-1)),0)</f>
        <v>0</v>
      </c>
      <c r="D43" s="137"/>
      <c r="E43" s="137"/>
      <c r="F43" s="138"/>
      <c r="G43" s="4919"/>
    </row>
    <row r="44" spans="1:7" ht="13.5" customHeight="1">
      <c r="A44" s="539" t="s">
        <v>346</v>
      </c>
      <c r="B44" s="114" t="s">
        <v>422</v>
      </c>
      <c r="C44" s="137">
        <f ca="1">ROUND(IF('数据-取费表'!B22&lt;=1,C40*F22*'数据-取费表'!B21/2,C40*(POWER((1+F22),'数据-取费表'!B21/2)-1)),4)</f>
        <v>2.0000000000000001E-4</v>
      </c>
      <c r="D44" s="137"/>
      <c r="E44" s="137"/>
      <c r="F44" s="138"/>
      <c r="G44" s="4871"/>
    </row>
    <row r="45" spans="1:7" s="113" customFormat="1" ht="13.5" customHeight="1">
      <c r="A45" s="536" t="s">
        <v>339</v>
      </c>
      <c r="B45" s="143" t="s">
        <v>83</v>
      </c>
      <c r="C45" s="144">
        <f>C46</f>
        <v>85</v>
      </c>
      <c r="D45" s="134">
        <f>C47</f>
        <v>8.0000000000000004E-4</v>
      </c>
      <c r="E45" s="135" t="s">
        <v>100</v>
      </c>
      <c r="F45" s="145"/>
      <c r="G45" s="146" t="s">
        <v>428</v>
      </c>
    </row>
    <row r="46" spans="1:7" s="113" customFormat="1" ht="13.5" customHeight="1">
      <c r="A46" s="539" t="s">
        <v>347</v>
      </c>
      <c r="B46" s="147" t="s">
        <v>421</v>
      </c>
      <c r="C46" s="148">
        <f>ROUND((C33+C39)*F27,0)</f>
        <v>85</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1175</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881</v>
      </c>
      <c r="D51" s="131"/>
      <c r="E51" s="131"/>
      <c r="F51" s="163"/>
      <c r="G51" s="133" t="s">
        <v>35</v>
      </c>
    </row>
    <row r="52" spans="1:7" s="107" customFormat="1" ht="16.8" thickBot="1">
      <c r="A52" s="164" t="s">
        <v>36</v>
      </c>
      <c r="B52" s="165"/>
      <c r="C52" s="166">
        <f ca="1">C31+C51</f>
        <v>24315</v>
      </c>
      <c r="D52" s="165"/>
      <c r="E52" s="165"/>
      <c r="F52" s="165"/>
      <c r="G52" s="167"/>
    </row>
    <row r="55" spans="1:7" ht="15">
      <c r="B55" s="169" t="s">
        <v>37</v>
      </c>
      <c r="C55" s="170"/>
    </row>
    <row r="56" spans="1:7">
      <c r="B56" s="172" t="s">
        <v>38</v>
      </c>
      <c r="C56" s="173">
        <f ca="1">ROUND(C51/C52,3)</f>
        <v>3.5999999999999997E-2</v>
      </c>
    </row>
    <row r="57" spans="1:7">
      <c r="B57" s="172" t="s">
        <v>39</v>
      </c>
      <c r="C57" s="174">
        <f ca="1">1-C56</f>
        <v>0.96399999999999997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1" t="s">
        <v>3068</v>
      </c>
      <c r="B1" s="5081"/>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2" t="s">
        <v>3119</v>
      </c>
      <c r="B1" s="5082"/>
      <c r="C1" s="5082"/>
      <c r="D1" s="5082"/>
      <c r="E1" s="5082"/>
      <c r="F1" s="5083"/>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4" t="s">
        <v>450</v>
      </c>
      <c r="S1" s="5085"/>
      <c r="T1" s="5085"/>
      <c r="U1" s="5085"/>
      <c r="V1" s="5085"/>
      <c r="W1" s="5085"/>
      <c r="X1" s="2494"/>
      <c r="Y1" s="5084" t="s">
        <v>451</v>
      </c>
      <c r="Z1" s="5085"/>
      <c r="AA1" s="5085"/>
      <c r="AB1" s="5085"/>
      <c r="AC1" s="5085"/>
      <c r="AD1" s="5085"/>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4" t="s">
        <v>2714</v>
      </c>
      <c r="S33" s="5085"/>
      <c r="T33" s="5085"/>
      <c r="U33" s="5085"/>
      <c r="V33" s="5085"/>
      <c r="W33" s="5085"/>
      <c r="X33" s="2494"/>
      <c r="Y33" s="5084" t="s">
        <v>2715</v>
      </c>
      <c r="Z33" s="5085"/>
      <c r="AA33" s="5085"/>
      <c r="AB33" s="5085"/>
      <c r="AC33" s="5085"/>
      <c r="AD33" s="5085"/>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1" t="s">
        <v>446</v>
      </c>
      <c r="C1" s="5091"/>
      <c r="D1" s="5091"/>
      <c r="E1" s="5091"/>
      <c r="F1" s="5091"/>
      <c r="G1" s="5087" t="s">
        <v>447</v>
      </c>
      <c r="H1" s="5087"/>
      <c r="I1" s="5087"/>
      <c r="J1" s="5087"/>
      <c r="K1" s="5087"/>
      <c r="L1" s="5087"/>
      <c r="N1" s="5087" t="s">
        <v>448</v>
      </c>
      <c r="O1" s="5087"/>
      <c r="P1" s="5087"/>
      <c r="Q1" s="5087"/>
      <c r="S1" s="5087" t="s">
        <v>449</v>
      </c>
      <c r="T1" s="5087"/>
      <c r="U1" s="5087"/>
      <c r="V1" s="5087"/>
      <c r="X1" s="5086" t="s">
        <v>450</v>
      </c>
      <c r="Y1" s="5087"/>
      <c r="Z1" s="5087"/>
      <c r="AA1" s="5087"/>
      <c r="AB1" s="5087"/>
      <c r="AD1" s="5086" t="s">
        <v>451</v>
      </c>
      <c r="AE1" s="5087"/>
      <c r="AF1" s="5087"/>
      <c r="AG1" s="5087"/>
      <c r="AH1" s="5087"/>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9">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9"/>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9"/>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6"/>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2">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9"/>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9"/>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6"/>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2">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9"/>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9"/>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90"/>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8">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9"/>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9"/>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90"/>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8">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9"/>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9"/>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90"/>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3">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4"/>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4"/>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5"/>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8">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9"/>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9"/>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90"/>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8">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9">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9">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90">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8">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9">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9">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90">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8">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9">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9">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90">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8">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9">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9">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90">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8">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9">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9">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90">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8">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9">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9">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90">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8">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9">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9">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90">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8">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9">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9">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90">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8">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9">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9">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90">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8">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9">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9">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90">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66" t="str">
        <f>IF(项目基本情况!B9="房地产市场价值","估价结果一览表","结果表-2")</f>
        <v>结果表-2</v>
      </c>
      <c r="B1" s="4666"/>
      <c r="C1" s="4666"/>
      <c r="D1" s="4666"/>
      <c r="E1" s="4666"/>
      <c r="F1" s="4666"/>
      <c r="G1" s="4666"/>
      <c r="H1" s="4666"/>
      <c r="I1" s="4666"/>
    </row>
    <row r="2" spans="1:9" ht="30" customHeight="1" thickTop="1">
      <c r="A2" s="4667" t="s">
        <v>912</v>
      </c>
      <c r="B2" s="4667" t="s">
        <v>913</v>
      </c>
      <c r="C2" s="4667" t="s">
        <v>914</v>
      </c>
      <c r="D2" s="4667" t="str">
        <f>结果表!D116</f>
        <v>出让国有建设用地使用权价值</v>
      </c>
      <c r="E2" s="4667"/>
      <c r="F2" s="4667">
        <f>结果表!F116</f>
        <v>0</v>
      </c>
      <c r="G2" s="4667"/>
      <c r="H2" s="4667" t="str">
        <f>IF(项目基本情况!B9="房地产市场价值","房地产市场价值","房地产价值")</f>
        <v>房地产价值</v>
      </c>
      <c r="I2" s="4667"/>
    </row>
    <row r="3" spans="1:9" ht="15.6">
      <c r="A3" s="4668"/>
      <c r="B3" s="4668"/>
      <c r="C3" s="4668"/>
      <c r="D3" s="576" t="s">
        <v>909</v>
      </c>
      <c r="E3" s="576" t="s">
        <v>915</v>
      </c>
      <c r="F3" s="576" t="s">
        <v>909</v>
      </c>
      <c r="G3" s="576" t="s">
        <v>910</v>
      </c>
      <c r="H3" s="576" t="s">
        <v>909</v>
      </c>
      <c r="I3" s="576" t="s">
        <v>910</v>
      </c>
    </row>
    <row r="4" spans="1:9" ht="15">
      <c r="A4" s="1110" t="str">
        <f>项目基本情况!S2</f>
        <v>北京市房地产</v>
      </c>
      <c r="B4" s="576">
        <f>项目基本情况!C17</f>
        <v>2467.34</v>
      </c>
      <c r="C4" s="576">
        <f>项目基本情况!C18</f>
        <v>0</v>
      </c>
      <c r="D4" s="576" t="e">
        <f ca="1">结果表!E118</f>
        <v>#REF!</v>
      </c>
      <c r="E4" s="576" t="e">
        <f ca="1">结果表!D118</f>
        <v>#REF!</v>
      </c>
      <c r="F4" s="576" t="e">
        <f ca="1">结果表!G118</f>
        <v>#REF!</v>
      </c>
      <c r="G4" s="576" t="e">
        <f ca="1">结果表!F118</f>
        <v>#REF!</v>
      </c>
      <c r="H4" s="576">
        <f ca="1">结果表!I118</f>
        <v>1427.1095</v>
      </c>
      <c r="I4" s="576">
        <f ca="1">结果表!H118</f>
        <v>23442</v>
      </c>
    </row>
    <row r="5" spans="1:9" ht="30" customHeight="1">
      <c r="A5" s="4668" t="s">
        <v>911</v>
      </c>
      <c r="B5" s="4668"/>
      <c r="C5" s="4668"/>
      <c r="D5" s="4668" t="e">
        <f ca="1">结果表!D119</f>
        <v>#REF!</v>
      </c>
      <c r="E5" s="4668"/>
      <c r="F5" s="4668" t="e">
        <f ca="1">结果表!F119</f>
        <v>#REF!</v>
      </c>
      <c r="G5" s="4668"/>
      <c r="H5" s="4668" t="str">
        <f ca="1">结果表!H119</f>
        <v>壹仟肆佰贰拾柒万壹仟零玖拾伍元整</v>
      </c>
      <c r="I5" s="4668"/>
    </row>
    <row r="6" spans="1:9" ht="15.6">
      <c r="A6" s="4669" t="str">
        <f>结果表!A120</f>
        <v>估价师知悉的法定优先受偿款</v>
      </c>
      <c r="B6" s="4669"/>
      <c r="C6" s="4669"/>
      <c r="D6" s="4669">
        <f>结果表!H120</f>
        <v>0</v>
      </c>
      <c r="E6" s="4669"/>
      <c r="F6" s="4669"/>
      <c r="G6" s="4669"/>
      <c r="H6" s="4669"/>
      <c r="I6" s="4669"/>
    </row>
    <row r="7" spans="1:9" ht="15">
      <c r="A7" s="4668" t="s">
        <v>911</v>
      </c>
      <c r="B7" s="4668"/>
      <c r="C7" s="4668"/>
      <c r="D7" s="4670" t="str">
        <f>结果表!H121</f>
        <v>零元整</v>
      </c>
      <c r="E7" s="4671"/>
      <c r="F7" s="4671"/>
      <c r="G7" s="4671"/>
      <c r="H7" s="4671"/>
      <c r="I7" s="4672"/>
    </row>
    <row r="8" spans="1:9" ht="15.6">
      <c r="A8" s="4669" t="str">
        <f>结果表!A122</f>
        <v>房地产抵押价值</v>
      </c>
      <c r="B8" s="4669"/>
      <c r="C8" s="4669"/>
      <c r="D8" s="4669">
        <f ca="1">结果表!H122</f>
        <v>1427.1095</v>
      </c>
      <c r="E8" s="4669"/>
      <c r="F8" s="4669"/>
      <c r="G8" s="4669"/>
      <c r="H8" s="4669"/>
      <c r="I8" s="4669"/>
    </row>
    <row r="9" spans="1:9" ht="15">
      <c r="A9" s="4668" t="s">
        <v>911</v>
      </c>
      <c r="B9" s="4668"/>
      <c r="C9" s="4668"/>
      <c r="D9" s="4668" t="str">
        <f ca="1">结果表!H123</f>
        <v>壹仟肆佰贰拾柒万壹仟零玖拾伍元整</v>
      </c>
      <c r="E9" s="4668"/>
      <c r="F9" s="4668"/>
      <c r="G9" s="4668"/>
      <c r="H9" s="4668"/>
      <c r="I9" s="4668"/>
    </row>
    <row r="10" spans="1:9" ht="15.6">
      <c r="A10" s="4669" t="str">
        <f>结果表!A124</f>
        <v/>
      </c>
      <c r="B10" s="4669"/>
      <c r="C10" s="4669"/>
      <c r="D10" s="4669" t="str">
        <f>结果表!H124</f>
        <v>——</v>
      </c>
      <c r="E10" s="4669"/>
      <c r="F10" s="4669"/>
      <c r="G10" s="4669"/>
      <c r="H10" s="4669"/>
      <c r="I10" s="4669"/>
    </row>
    <row r="11" spans="1:9" ht="15">
      <c r="A11" s="4668" t="s">
        <v>911</v>
      </c>
      <c r="B11" s="4668"/>
      <c r="C11" s="4668"/>
      <c r="D11" s="4668" t="e">
        <f>结果表!H125</f>
        <v>#VALUE!</v>
      </c>
      <c r="E11" s="4668"/>
      <c r="F11" s="4668"/>
      <c r="G11" s="4668"/>
      <c r="H11" s="4668"/>
      <c r="I11" s="4668"/>
    </row>
    <row r="12" spans="1:9" ht="15.6">
      <c r="A12" s="4669" t="str">
        <f>结果表!A126</f>
        <v/>
      </c>
      <c r="B12" s="4669"/>
      <c r="C12" s="4669"/>
      <c r="D12" s="4669" t="str">
        <f>结果表!H126</f>
        <v>——</v>
      </c>
      <c r="E12" s="4669"/>
      <c r="F12" s="4669"/>
      <c r="G12" s="4669"/>
      <c r="H12" s="4669"/>
      <c r="I12" s="4669"/>
    </row>
    <row r="13" spans="1:9" ht="15.6" thickBot="1">
      <c r="A13" s="4673" t="s">
        <v>911</v>
      </c>
      <c r="B13" s="4673"/>
      <c r="C13" s="4673"/>
      <c r="D13" s="4673" t="e">
        <f>结果表!H127</f>
        <v>#VALUE!</v>
      </c>
      <c r="E13" s="4673"/>
      <c r="F13" s="4673"/>
      <c r="G13" s="4673"/>
      <c r="H13" s="4673"/>
      <c r="I13" s="4673"/>
    </row>
    <row r="14" spans="1:9" ht="14.4" thickTop="1">
      <c r="A14" s="4674" t="s">
        <v>916</v>
      </c>
      <c r="B14" s="4674"/>
      <c r="C14" s="4674"/>
      <c r="D14" s="4674"/>
      <c r="E14" s="4674"/>
      <c r="F14" s="4674"/>
      <c r="G14" s="4674"/>
      <c r="H14" s="4674"/>
      <c r="I14" s="4674"/>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9" t="s">
        <v>2726</v>
      </c>
      <c r="B1" s="5099"/>
      <c r="C1" s="5099"/>
      <c r="D1" s="5099"/>
      <c r="E1" s="5099"/>
      <c r="F1" s="5099"/>
      <c r="G1" s="5100"/>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7"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8"/>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1</v>
      </c>
      <c r="F1" s="925" t="s">
        <v>598</v>
      </c>
      <c r="G1" s="921">
        <f ca="1">IF(OR(C1&lt;C27,E1&lt;=1),INDIRECT("d"&amp;$K$1)/100,ROUND((D5+(E1-C5)*(D7-D5)/(C7-C5))/100,4))</f>
        <v>0.03</v>
      </c>
      <c r="H1" s="925" t="s">
        <v>628</v>
      </c>
      <c r="I1" s="921">
        <f ca="1">F4/100</f>
        <v>1.4999999999999999E-2</v>
      </c>
      <c r="J1" s="926">
        <f>IF(C1&gt;C13,0,MATCH(C1,C$13:C$115,-1))+IF(SUMIF(C13:C115,C1,D13:D115)=0,13,12)</f>
        <v>13</v>
      </c>
      <c r="K1" s="926">
        <f ca="1">MATCH(E1,C3:C7,1)+IF(SUMIF(C3:C7,E1,D3:D7)=0,2,1)</f>
        <v>4</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75" t="s">
        <v>933</v>
      </c>
      <c r="B1" s="4675"/>
      <c r="C1" s="4675"/>
      <c r="D1" s="4675"/>
    </row>
    <row r="2" spans="1:4" ht="17.399999999999999">
      <c r="A2" s="4676" t="s">
        <v>917</v>
      </c>
      <c r="B2" s="4676"/>
      <c r="C2" s="4676"/>
      <c r="D2" s="4676"/>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76" t="s">
        <v>923</v>
      </c>
      <c r="B6" s="4676"/>
      <c r="C6" s="4676"/>
      <c r="D6" s="4676"/>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77" t="s">
        <v>926</v>
      </c>
      <c r="B11" s="4678"/>
      <c r="C11" s="4678"/>
      <c r="D11" s="4678"/>
    </row>
    <row r="12" spans="1:4" ht="15.6">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9"/>
      <c r="C12" s="4679"/>
      <c r="D12" s="4679"/>
    </row>
    <row r="13" spans="1:4" ht="30" customHeight="1">
      <c r="A13" s="4678" t="str">
        <f>IF(项目基本情况!B8="抵押","3.抵押双方在办理抵押登记手续时，应使用本公司出具的正式《房地产评估报告》，特提醒报告使用者注意。","——")</f>
        <v>——</v>
      </c>
      <c r="B13" s="4679"/>
      <c r="C13" s="4679"/>
      <c r="D13" s="4679"/>
    </row>
    <row r="14" spans="1:4" ht="15.75" customHeight="1">
      <c r="A14" s="4678" t="str">
        <f>IF(项目基本情况!B8="抵押","4.本次评估估价师所知悉的法定优先受偿款情况说明如下：","——")</f>
        <v>——</v>
      </c>
      <c r="B14" s="4679"/>
      <c r="C14" s="4679"/>
      <c r="D14" s="4679"/>
    </row>
    <row r="15" spans="1:4" ht="42" customHeight="1">
      <c r="A15" s="4678" t="str">
        <f>IF(项目基本情况!B8="抵押","（1）"&amp;CONCATENATE(项目基本情况!L20,项目基本情况!L21,项目基本情况!L22),"——")</f>
        <v>——</v>
      </c>
      <c r="B15" s="4678"/>
      <c r="C15" s="4678"/>
      <c r="D15" s="4678"/>
    </row>
    <row r="16" spans="1:4" ht="30" customHeight="1">
      <c r="A16" s="4681" t="s">
        <v>927</v>
      </c>
      <c r="B16" s="4681"/>
      <c r="C16" s="4681"/>
      <c r="D16" s="4681"/>
    </row>
    <row r="17" spans="1:4" ht="144" customHeight="1">
      <c r="A17" s="4681" t="s">
        <v>928</v>
      </c>
      <c r="B17" s="4681"/>
      <c r="C17" s="4681"/>
      <c r="D17" s="4681"/>
    </row>
    <row r="18" spans="1:4" ht="15.75" customHeight="1">
      <c r="A18" s="4678" t="str">
        <f>IF(项目基本情况!B8="抵押",结果表!K120,"——")</f>
        <v>——</v>
      </c>
      <c r="B18" s="4678"/>
      <c r="C18" s="4678"/>
      <c r="D18" s="4678"/>
    </row>
    <row r="19" spans="1:4" ht="46.5" customHeight="1">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spans="1:4" ht="57.75" customHeight="1">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8"/>
      <c r="C20" s="4678"/>
      <c r="D20" s="4678"/>
    </row>
    <row r="21" spans="1:4" ht="57.75" customHeight="1">
      <c r="A21" s="4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82"/>
      <c r="C21" s="4682"/>
      <c r="D21" s="4682"/>
    </row>
    <row r="22" spans="1:4" ht="18.75" customHeight="1">
      <c r="A22" s="4683" t="s">
        <v>929</v>
      </c>
      <c r="B22" s="4683"/>
      <c r="C22" s="4683"/>
      <c r="D22" s="4683"/>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80">
        <v>42551</v>
      </c>
      <c r="D31" s="468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9" t="s">
        <v>940</v>
      </c>
      <c r="B15" s="4684" t="s">
        <v>107</v>
      </c>
      <c r="C15" s="4685"/>
    </row>
    <row r="16" spans="1:7" ht="14.4">
      <c r="A16" s="4690"/>
      <c r="B16" s="4684" t="s">
        <v>40</v>
      </c>
      <c r="C16" s="4685"/>
    </row>
    <row r="17" spans="1:3" ht="14.4">
      <c r="A17" s="4690"/>
      <c r="B17" s="4687" t="s">
        <v>941</v>
      </c>
      <c r="C17" s="1137" t="s">
        <v>940</v>
      </c>
    </row>
    <row r="18" spans="1:3" ht="14.4">
      <c r="A18" s="4690"/>
      <c r="B18" s="4687"/>
      <c r="C18" s="1137" t="s">
        <v>942</v>
      </c>
    </row>
    <row r="19" spans="1:3" ht="14.4">
      <c r="A19" s="4690"/>
      <c r="B19" s="4687"/>
      <c r="C19" s="1137" t="s">
        <v>943</v>
      </c>
    </row>
    <row r="20" spans="1:3" ht="14.4">
      <c r="A20" s="4691"/>
      <c r="B20" s="4686" t="s">
        <v>944</v>
      </c>
      <c r="C20" s="4685"/>
    </row>
    <row r="21" spans="1:3" ht="14.4">
      <c r="A21" s="1138" t="s">
        <v>945</v>
      </c>
      <c r="B21" s="1139"/>
      <c r="C21" s="1140"/>
    </row>
    <row r="22" spans="1:3" ht="14.4">
      <c r="A22" s="4688" t="s">
        <v>946</v>
      </c>
      <c r="B22" s="4686" t="s">
        <v>947</v>
      </c>
      <c r="C22" s="4685"/>
    </row>
    <row r="23" spans="1:3" ht="14.4">
      <c r="A23" s="4688"/>
      <c r="B23" s="4686" t="s">
        <v>948</v>
      </c>
      <c r="C23" s="4685"/>
    </row>
    <row r="24" spans="1:3" ht="14.4">
      <c r="A24" s="4688"/>
      <c r="B24" s="4686" t="s">
        <v>949</v>
      </c>
      <c r="C24" s="4685"/>
    </row>
    <row r="25" spans="1:3" ht="14.4">
      <c r="A25" s="4688"/>
      <c r="B25" s="4687" t="s">
        <v>950</v>
      </c>
      <c r="C25" s="1137" t="s">
        <v>951</v>
      </c>
    </row>
    <row r="26" spans="1:3" ht="14.4">
      <c r="A26" s="4688"/>
      <c r="B26" s="4687"/>
      <c r="C26" s="1137" t="s">
        <v>952</v>
      </c>
    </row>
    <row r="27" spans="1:3" ht="14.4">
      <c r="A27" s="4688"/>
      <c r="B27" s="4687"/>
      <c r="C27" s="1137" t="s">
        <v>953</v>
      </c>
    </row>
    <row r="28" spans="1:3" ht="14.4">
      <c r="A28" s="4688"/>
      <c r="B28" s="4687"/>
      <c r="C28" s="1137" t="s">
        <v>954</v>
      </c>
    </row>
    <row r="29" spans="1:3" ht="14.4">
      <c r="A29" s="4688"/>
      <c r="B29" s="4687"/>
      <c r="C29" s="1137" t="s">
        <v>955</v>
      </c>
    </row>
    <row r="30" spans="1:3" ht="14.4">
      <c r="A30" s="4688"/>
      <c r="B30" s="4687"/>
      <c r="C30" s="1137" t="s">
        <v>956</v>
      </c>
    </row>
    <row r="31" spans="1:3" ht="14.4">
      <c r="A31" s="4688"/>
      <c r="B31" s="4687"/>
      <c r="C31" s="1137" t="s">
        <v>957</v>
      </c>
    </row>
    <row r="32" spans="1:3" ht="14.4">
      <c r="A32" s="4688"/>
      <c r="B32" s="4687"/>
      <c r="C32" s="1137" t="s">
        <v>958</v>
      </c>
    </row>
    <row r="33" spans="1:3" ht="14.4">
      <c r="A33" s="4688"/>
      <c r="B33" s="4687"/>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46129</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2" t="s">
        <v>2062</v>
      </c>
      <c r="B17" s="4692"/>
      <c r="C17" s="4692"/>
      <c r="D17" s="4692"/>
      <c r="E17" s="4692"/>
      <c r="F17" s="4692"/>
      <c r="G17" s="4692"/>
      <c r="H17" s="4692"/>
    </row>
    <row r="18" spans="1:8" ht="24" customHeight="1">
      <c r="A18" s="4693" t="s">
        <v>2063</v>
      </c>
      <c r="B18" s="4693"/>
      <c r="C18" s="4693"/>
      <c r="D18" s="1836"/>
      <c r="E18" s="4694" t="s">
        <v>2064</v>
      </c>
      <c r="F18" s="4693"/>
      <c r="G18" s="4693"/>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2026-04-17T02:17:32Z</dcterms:modified>
</cp:coreProperties>
</file>